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10EF4DA7-0B23-374A-919B-33D09DC919F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T10" i="1"/>
  <c r="BF11" i="1"/>
  <c r="BT11" i="1"/>
  <c r="BF12" i="1"/>
  <c r="BT12" i="1"/>
  <c r="BF13" i="1"/>
  <c r="BT13" i="1"/>
  <c r="BF14" i="1"/>
  <c r="BT14" i="1"/>
  <c r="BF15" i="1"/>
  <c r="BT15" i="1"/>
  <c r="BF16" i="1"/>
  <c r="BT16" i="1"/>
  <c r="BF17" i="1"/>
  <c r="BT17" i="1"/>
  <c r="BF18" i="1"/>
  <c r="BT18" i="1"/>
  <c r="BF19" i="1"/>
  <c r="BT19" i="1"/>
  <c r="BF20" i="1"/>
  <c r="BT20"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T69" i="1"/>
  <c r="BT70" i="1"/>
  <c r="BT71" i="1"/>
  <c r="BF72" i="1"/>
  <c r="BT72" i="1"/>
  <c r="BF73" i="1"/>
  <c r="BT73" i="1"/>
  <c r="BF74" i="1"/>
  <c r="BT74" i="1"/>
  <c r="BF75" i="1"/>
  <c r="BT75"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T148" i="1"/>
  <c r="BT149" i="1"/>
  <c r="BT150" i="1"/>
  <c r="BF151" i="1"/>
  <c r="BT151" i="1"/>
  <c r="BF152" i="1"/>
  <c r="BT152" i="1"/>
  <c r="BF153" i="1"/>
  <c r="BT153" i="1"/>
  <c r="BT154" i="1"/>
  <c r="BF155" i="1"/>
  <c r="BT155" i="1"/>
  <c r="BF156" i="1"/>
  <c r="BT156" i="1"/>
  <c r="BF157" i="1"/>
  <c r="BT157" i="1"/>
  <c r="BF158" i="1"/>
  <c r="BT158" i="1"/>
  <c r="BF159" i="1"/>
  <c r="BT159" i="1"/>
  <c r="BF160" i="1"/>
  <c r="BT160" i="1"/>
  <c r="BF161" i="1"/>
  <c r="BT161" i="1"/>
  <c r="BT162" i="1"/>
  <c r="BF163" i="1"/>
  <c r="BT163" i="1"/>
  <c r="BF164" i="1"/>
  <c r="BT164" i="1"/>
  <c r="BF165" i="1"/>
  <c r="BT165"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T260" i="1"/>
  <c r="BT261" i="1"/>
  <c r="BT262" i="1"/>
  <c r="BF263" i="1"/>
  <c r="BT263" i="1"/>
  <c r="BT264"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T405" i="1"/>
  <c r="BF406" i="1"/>
  <c r="BT406" i="1"/>
  <c r="BF407" i="1"/>
  <c r="BT407" i="1"/>
  <c r="BF408" i="1"/>
  <c r="BT408" i="1"/>
  <c r="BF409" i="1"/>
  <c r="BT409" i="1"/>
  <c r="BF410" i="1"/>
  <c r="BT410" i="1"/>
  <c r="BF411" i="1"/>
  <c r="BT411" i="1"/>
  <c r="BF412" i="1"/>
  <c r="BT412" i="1"/>
  <c r="BF413" i="1"/>
  <c r="BT413" i="1"/>
  <c r="BF414" i="1"/>
  <c r="BT414"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T445" i="1"/>
  <c r="BT446" i="1"/>
  <c r="BT447" i="1"/>
  <c r="BF448" i="1"/>
  <c r="BT448" i="1"/>
  <c r="BF449" i="1"/>
  <c r="BT449" i="1"/>
  <c r="BF450" i="1"/>
  <c r="BT450" i="1"/>
  <c r="BF451" i="1"/>
  <c r="BT451" i="1"/>
  <c r="BF452" i="1"/>
  <c r="BT452" i="1"/>
  <c r="BF453" i="1"/>
  <c r="BT453" i="1"/>
  <c r="BT454"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T483" i="1"/>
  <c r="BF484" i="1"/>
  <c r="BT484" i="1"/>
  <c r="BF485" i="1"/>
  <c r="BT485" i="1"/>
  <c r="BF486" i="1"/>
  <c r="BT486" i="1"/>
  <c r="BF487" i="1"/>
  <c r="BT487" i="1"/>
  <c r="BF488" i="1"/>
  <c r="BT488" i="1"/>
  <c r="BF489" i="1"/>
  <c r="BT489" i="1"/>
  <c r="BF490" i="1"/>
  <c r="BT490" i="1"/>
  <c r="BF491" i="1"/>
  <c r="BT491" i="1"/>
  <c r="BF492" i="1"/>
  <c r="BT492" i="1"/>
  <c r="BT493" i="1"/>
  <c r="BF494" i="1"/>
  <c r="BT494" i="1"/>
  <c r="BF495" i="1"/>
  <c r="BT495" i="1"/>
  <c r="BF496" i="1"/>
  <c r="BT496" i="1"/>
  <c r="BF497" i="1"/>
  <c r="BT497" i="1"/>
  <c r="BF498" i="1"/>
  <c r="BT498" i="1"/>
  <c r="BT499" i="1"/>
  <c r="BT500" i="1"/>
  <c r="BT501" i="1"/>
  <c r="BT502" i="1"/>
  <c r="BT503" i="1"/>
  <c r="BF504" i="1"/>
  <c r="BT504" i="1"/>
  <c r="BF505" i="1"/>
  <c r="BT505" i="1"/>
  <c r="BF506" i="1"/>
  <c r="BT506" i="1"/>
  <c r="BF507" i="1"/>
  <c r="BT507" i="1"/>
  <c r="BF508" i="1"/>
  <c r="BT508" i="1"/>
  <c r="BF509" i="1"/>
  <c r="BT509" i="1"/>
  <c r="BF510" i="1"/>
  <c r="BT510" i="1"/>
  <c r="BF511" i="1"/>
  <c r="BT511" i="1"/>
  <c r="BF512" i="1"/>
  <c r="BT512" i="1"/>
  <c r="BF513" i="1"/>
  <c r="BT513" i="1"/>
  <c r="BT514" i="1"/>
  <c r="BT515" i="1"/>
  <c r="BT516" i="1"/>
  <c r="BF517" i="1"/>
  <c r="BT517" i="1"/>
  <c r="BF518" i="1"/>
  <c r="BT518" i="1"/>
  <c r="BF519" i="1"/>
  <c r="BT519" i="1"/>
  <c r="BF520" i="1"/>
  <c r="BT520" i="1"/>
  <c r="BF521" i="1"/>
  <c r="BT521"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T565" i="1"/>
  <c r="BT566" i="1"/>
  <c r="BT567" i="1"/>
  <c r="BT568" i="1"/>
  <c r="BT569" i="1"/>
  <c r="BT570" i="1"/>
  <c r="BT571" i="1"/>
  <c r="BT572" i="1"/>
  <c r="BT573" i="1"/>
  <c r="BT574" i="1"/>
  <c r="BT575" i="1"/>
  <c r="BF576" i="1"/>
  <c r="BT576" i="1"/>
  <c r="BF577" i="1"/>
  <c r="BT577" i="1"/>
  <c r="BF578" i="1"/>
  <c r="BT578" i="1"/>
  <c r="BT579" i="1"/>
  <c r="BF580" i="1"/>
  <c r="BT580" i="1"/>
  <c r="BT581" i="1"/>
  <c r="BT582" i="1"/>
  <c r="BF583" i="1"/>
  <c r="BT583" i="1"/>
  <c r="BF584" i="1"/>
  <c r="BT584" i="1"/>
  <c r="BF585" i="1"/>
  <c r="BT585" i="1"/>
  <c r="BF586" i="1"/>
  <c r="BT586" i="1"/>
  <c r="BF587" i="1"/>
  <c r="BT587" i="1"/>
  <c r="BF588" i="1"/>
  <c r="BT588" i="1"/>
  <c r="BF589" i="1"/>
  <c r="BT589" i="1"/>
  <c r="BF590" i="1"/>
  <c r="BT590" i="1"/>
  <c r="BF591" i="1"/>
  <c r="BT591" i="1"/>
  <c r="BT592" i="1"/>
  <c r="BF593" i="1"/>
  <c r="BT593" i="1"/>
  <c r="BT594" i="1"/>
  <c r="BT595" i="1"/>
  <c r="BT596" i="1"/>
  <c r="BT597" i="1"/>
  <c r="BF598" i="1"/>
  <c r="BT598" i="1"/>
  <c r="BF599" i="1"/>
  <c r="BT599" i="1"/>
  <c r="BT600" i="1"/>
  <c r="BT601" i="1"/>
  <c r="BT602" i="1"/>
  <c r="BF603" i="1"/>
  <c r="BT603" i="1"/>
  <c r="BF604" i="1"/>
  <c r="BT604" i="1"/>
  <c r="BF605" i="1"/>
  <c r="BT605" i="1"/>
  <c r="BF606" i="1"/>
  <c r="BT606" i="1"/>
  <c r="BF607" i="1"/>
  <c r="BT607" i="1"/>
  <c r="BF608" i="1"/>
  <c r="BT608" i="1"/>
  <c r="BF609" i="1"/>
  <c r="BT609" i="1"/>
  <c r="BT610" i="1"/>
  <c r="BF611" i="1"/>
  <c r="BT611" i="1"/>
  <c r="BF612" i="1"/>
  <c r="BT612" i="1"/>
  <c r="BF613" i="1"/>
  <c r="BT613" i="1"/>
  <c r="BF614" i="1"/>
  <c r="BT614" i="1"/>
  <c r="BF615" i="1"/>
  <c r="BT615" i="1"/>
  <c r="BF616" i="1"/>
  <c r="BT616" i="1"/>
  <c r="BF617" i="1"/>
  <c r="BT617" i="1"/>
  <c r="BT618" i="1"/>
  <c r="BF619" i="1"/>
  <c r="BT619" i="1"/>
  <c r="BF620" i="1"/>
  <c r="BT620" i="1"/>
  <c r="BF621" i="1"/>
  <c r="BT621" i="1"/>
  <c r="BF622" i="1"/>
  <c r="BT622" i="1"/>
  <c r="BF623" i="1"/>
  <c r="BT623" i="1"/>
  <c r="BT624" i="1"/>
  <c r="BT625" i="1"/>
  <c r="BT626" i="1"/>
  <c r="BT627"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T662" i="1"/>
  <c r="BT663" i="1"/>
  <c r="BF664" i="1"/>
  <c r="BT664" i="1"/>
  <c r="BT665" i="1"/>
  <c r="BT666" i="1"/>
  <c r="BT667" i="1"/>
  <c r="BT668" i="1"/>
  <c r="BF669" i="1"/>
  <c r="BT669" i="1"/>
  <c r="BF670" i="1"/>
  <c r="BT670" i="1"/>
  <c r="BF671" i="1"/>
  <c r="BT671" i="1"/>
  <c r="BF672" i="1"/>
  <c r="BT672" i="1"/>
  <c r="BF673" i="1"/>
  <c r="BT673" i="1"/>
  <c r="BF674" i="1"/>
  <c r="BT674" i="1"/>
  <c r="BT675" i="1"/>
  <c r="BT676" i="1"/>
  <c r="BF677" i="1"/>
  <c r="BT677"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T708" i="1"/>
  <c r="BF709" i="1"/>
  <c r="BT709" i="1"/>
  <c r="BF710" i="1"/>
  <c r="BT710"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T725" i="1"/>
  <c r="BT726" i="1"/>
  <c r="BT727" i="1"/>
  <c r="BT728" i="1"/>
  <c r="BT729" i="1"/>
  <c r="BF730" i="1"/>
  <c r="BT730" i="1"/>
  <c r="BF731" i="1"/>
  <c r="BT731" i="1"/>
  <c r="BF732" i="1"/>
  <c r="BT732" i="1"/>
  <c r="BF733" i="1"/>
  <c r="BT733" i="1"/>
  <c r="BF734" i="1"/>
  <c r="BT734" i="1"/>
  <c r="BF735" i="1"/>
  <c r="BT735" i="1"/>
  <c r="BT736" i="1"/>
  <c r="BF737" i="1"/>
  <c r="BT737" i="1"/>
  <c r="BF738" i="1"/>
  <c r="BT738" i="1"/>
  <c r="BF739" i="1"/>
  <c r="BT739" i="1"/>
  <c r="BF740" i="1"/>
  <c r="BT740" i="1"/>
  <c r="BF741" i="1"/>
  <c r="BT741" i="1"/>
  <c r="BF742" i="1"/>
  <c r="BT742" i="1"/>
  <c r="BF743" i="1"/>
  <c r="BT743" i="1"/>
  <c r="BF744" i="1"/>
  <c r="BT744"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T768" i="1"/>
  <c r="BF769" i="1"/>
  <c r="BT769" i="1"/>
  <c r="BF770" i="1"/>
  <c r="BT770" i="1"/>
  <c r="BF771" i="1"/>
  <c r="BT771" i="1"/>
  <c r="BF772" i="1"/>
  <c r="BT772"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T794"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T829" i="1"/>
  <c r="BT830" i="1"/>
  <c r="BF831" i="1"/>
  <c r="BT831" i="1"/>
  <c r="BT832" i="1"/>
  <c r="BT833"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T846" i="1"/>
  <c r="BT847"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T861" i="1"/>
  <c r="BF862" i="1"/>
  <c r="BT862" i="1"/>
  <c r="BF863" i="1"/>
  <c r="BT863" i="1"/>
  <c r="BF864" i="1"/>
  <c r="BT864" i="1"/>
  <c r="BF865" i="1"/>
  <c r="BT865"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T882" i="1"/>
  <c r="BT883" i="1"/>
  <c r="BT884" i="1"/>
  <c r="BT885" i="1"/>
  <c r="BT886" i="1"/>
  <c r="BT887" i="1"/>
  <c r="BT888" i="1"/>
  <c r="BT889" i="1"/>
  <c r="BT890" i="1"/>
  <c r="BT891" i="1"/>
  <c r="BT892"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T916" i="1"/>
  <c r="BT917" i="1"/>
  <c r="BT918" i="1"/>
  <c r="BT919" i="1"/>
  <c r="BF920" i="1"/>
  <c r="BT920" i="1"/>
  <c r="BF921" i="1"/>
  <c r="BT921" i="1"/>
  <c r="BF922" i="1"/>
  <c r="BT922" i="1"/>
  <c r="BF923" i="1"/>
  <c r="BT923" i="1"/>
  <c r="BF924" i="1"/>
  <c r="BT924" i="1"/>
  <c r="BF925" i="1"/>
  <c r="BT925" i="1"/>
  <c r="BF926" i="1"/>
  <c r="BT926" i="1"/>
  <c r="BT927" i="1"/>
  <c r="BT928" i="1"/>
  <c r="BT929" i="1"/>
  <c r="BF930" i="1"/>
  <c r="BT930" i="1"/>
  <c r="BF931" i="1"/>
  <c r="BT931"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T957" i="1"/>
  <c r="BT958" i="1"/>
  <c r="BT959" i="1"/>
  <c r="BT960" i="1"/>
  <c r="BT961" i="1"/>
  <c r="BT962" i="1"/>
  <c r="BF963" i="1"/>
  <c r="BT963" i="1"/>
  <c r="BT964" i="1"/>
  <c r="BT965" i="1"/>
  <c r="BF966" i="1"/>
  <c r="BT966" i="1"/>
  <c r="BT967" i="1"/>
  <c r="BT968" i="1"/>
  <c r="BT969" i="1"/>
  <c r="BF970" i="1"/>
  <c r="BT970" i="1"/>
  <c r="BT971" i="1"/>
  <c r="BT972" i="1"/>
  <c r="BT973" i="1"/>
  <c r="BF974" i="1"/>
  <c r="BT974" i="1"/>
  <c r="BF975" i="1"/>
  <c r="BT975" i="1"/>
  <c r="BT976" i="1"/>
  <c r="BF977" i="1"/>
  <c r="BT977" i="1"/>
  <c r="BF978" i="1"/>
  <c r="BT978" i="1"/>
  <c r="BF979" i="1"/>
  <c r="BT979" i="1"/>
  <c r="BF980" i="1"/>
  <c r="BT980" i="1"/>
  <c r="BF981" i="1"/>
  <c r="BT981" i="1"/>
  <c r="BF982" i="1"/>
  <c r="BT982" i="1"/>
  <c r="BT983" i="1"/>
  <c r="BT984" i="1"/>
  <c r="BT985" i="1"/>
  <c r="BT986" i="1"/>
  <c r="BF987" i="1"/>
  <c r="BT987" i="1"/>
  <c r="BT988" i="1"/>
  <c r="BF989" i="1"/>
  <c r="BT989" i="1"/>
  <c r="BF990" i="1"/>
  <c r="BT990" i="1"/>
  <c r="BF991" i="1"/>
  <c r="BT991" i="1"/>
  <c r="BT992" i="1"/>
  <c r="BF993" i="1"/>
  <c r="BT993" i="1"/>
  <c r="BF994" i="1"/>
  <c r="BT994" i="1"/>
  <c r="BF995" i="1"/>
  <c r="BT995" i="1"/>
  <c r="BF996" i="1"/>
  <c r="BT996" i="1"/>
  <c r="BF997" i="1"/>
  <c r="BT997" i="1"/>
  <c r="BT998" i="1"/>
  <c r="BF999" i="1"/>
  <c r="BT999" i="1"/>
  <c r="BT1000" i="1"/>
  <c r="BF1001" i="1"/>
  <c r="BT1001" i="1"/>
</calcChain>
</file>

<file path=xl/sharedStrings.xml><?xml version="1.0" encoding="utf-8"?>
<sst xmlns="http://schemas.openxmlformats.org/spreadsheetml/2006/main" count="59764" uniqueCount="17589">
  <si>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</si>
  <si>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</si>
  <si>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</si>
  <si>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</si>
  <si>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</si>
  <si>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</si>
  <si>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</si>
  <si>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</si>
  <si>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</si>
  <si>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</si>
  <si>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</si>
  <si>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</si>
  <si>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</si>
  <si>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</si>
  <si>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</si>
  <si>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</si>
  <si>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</si>
  <si>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</si>
  <si>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</si>
  <si>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</si>
  <si>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</si>
  <si>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</si>
  <si>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</si>
  <si>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</si>
  <si>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</si>
  <si>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</si>
  <si>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</si>
  <si>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</si>
  <si>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</si>
  <si>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</si>
  <si>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</si>
  <si>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</si>
  <si>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</si>
  <si>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</si>
  <si>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</si>
  <si>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</si>
  <si>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</si>
  <si>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</si>
  <si>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</si>
  <si>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</si>
  <si>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</si>
  <si>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</si>
  <si>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</si>
  <si>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</si>
  <si>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</si>
  <si>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</si>
  <si>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</si>
  <si>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</si>
  <si>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</si>
  <si>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</si>
  <si>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</si>
  <si>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</si>
  <si>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</si>
  <si>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</si>
  <si>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</si>
  <si>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</si>
  <si>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</si>
  <si>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</si>
  <si>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</si>
  <si>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</si>
  <si>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</si>
  <si>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</si>
  <si>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</si>
  <si>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</si>
  <si>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</si>
  <si>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</si>
  <si>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</si>
  <si>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</si>
  <si>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</si>
  <si>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</si>
  <si>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</si>
  <si>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</si>
  <si>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</si>
  <si>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Brown, PJ; Bakker, DCE; Schuster, U; Watson, AJ</t>
  </si>
  <si>
    <t/>
  </si>
  <si>
    <t>Brown, Peter J.; Bakker, Dorothee C. E.; Schuster, Ute; Watson, Andrew J.</t>
  </si>
  <si>
    <t>Anthropogenic carbon accumulation in the subtropical North Atlantic</t>
  </si>
  <si>
    <t>JOURNAL OF GEOPHYSICAL RESEARCH-OCEANS</t>
  </si>
  <si>
    <t>English</t>
  </si>
  <si>
    <t>Article</t>
  </si>
  <si>
    <t>WESTERN BOUNDARY CURRENT; ANTARCTIC BOTTOM WATER; LABRADOR SEA-WATER; 26.5 DEGREES N; INDIAN-OCEAN; INORGANIC CARBON; DEEP-WATER; INTERANNUAL VARIABILITY; MEDITERRANEAN OUTFLOW; TROPICAL ATLANTIC</t>
  </si>
  <si>
    <t>\Recent data suggest the accumulation of anthropogenic carbon dioxide (Delta C-anth) in the subtropical North Atlantic is not occurring at a steady rate throughout the water column. Carbon measurements from three transatlantic cruises along 24.5 degrees N in 1992, 1998, and 2004 were investigated for changes in C-anth using both a back-calculation shortcut technique and extended multiple linear regression. For three time periods (1992-1998, 1998-2004, and 1992-2004) we observed spatial and vertical changes in C-anth storage, along with a general increase in total concentration. In the surface layers, total dissolved inorganic carbon (TCO2) and C-anth concentrations increased in line with atmospheric CO2 levels: TCO2 +8.8 +/- 0.5 mmol kg(-1) for 1992-1998 and +8.6 +/-0.5 mu mol kg(-1) for 1998-2004 and C-anth + 8.0 +/- 0.2 mmol kg(-1) for 1992-1998 and + 6.8 +/- 0.3 mmol kg(-1) for 1998-2004. In deeper waters, Delta C-anth was significantly different than zero for all depths above 5000 dbar between 1992 and 2004, while on a subdecadal timescale, significant variability was observed for Delta C-anth at a depth range of 800-1000 dbar. Evidence is presented for the arrival at 24.5 degrees N at depth of freshly ventilated Labrador Sea Water from the subpolar North Atlantic between 1992 and 1998, as well as consistent smaller Delta C-anth signals alongside the Mid-Atlantic Ridge. This is in addition to low-level, stable increases identified in the deep eastern basin between 1992 and 2004, the first time that Delta C-anth has been detected and confirmed by new measurements of carbon tetrachloride and CFC-11 from 2004. These results highlight the importance of the subtropics as a site for long-term Delta C-anth storage away from the surface.</t>
  </si>
  <si>
    <t>[Brown, Peter J.; Bakker, Dorothee C. E.; Schuster, Ute; Watson, Andrew J.] Univ E Anglia, Sch Environm Sci, Norwich NR4 7TJ, Norfolk, England</t>
  </si>
  <si>
    <t>University of East Anglia</t>
  </si>
  <si>
    <t>Brown, PJ (corresponding author), Univ E Anglia, Sch Environm Sci, Norwich NR4 7TJ, Norfolk, England.</t>
  </si>
  <si>
    <t>p.j.brown@uea.ac.uk</t>
  </si>
  <si>
    <t>Brown, Peter/AAN-4372-2020; Bakker, Dorothee/E-4951-2015</t>
  </si>
  <si>
    <t>Brown, Peter/0000-0002-1152-1114; Bakker, Dorothee/0000-0001-9234-5337; Watson, Andrew/0000-0002-9654-8147</t>
  </si>
  <si>
    <t>Rapid Climate Change Program (RAPID); Natural Environment Research Council (NERC), UK; NERC [NER/S/A/2004/12255]; Natural Environment Research Council [NE/F01242X/1] Funding Source: researchfish; NERC [NE/F01242X/1] Funding Source: UKRI</t>
  </si>
  <si>
    <t>Rapid Climate Change Program (RAPID); Natural Environment Research Council (NERC), UK(UK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</si>
  <si>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supported by the Rapid Climate Change Program (RAPID), Natural Environment Research Council (NERC), UK, and by NERC studentship NER/S/A/2004/12255. Comments on a previous version of the manuscript by Stuart Cunningham improved this work. We wish to thank the captain and crew of the RRS Discovery, Richard Sanders for supplying the oxygen and nutrients data, Rana Fine and James Happell for contributing the CCl4 and CFC-11 data, and Gareth Lee and Maria Nielsdottir for technical support during cruise DI279. We also thank the four reviewers whose constructive comments have improved the manuscript.</t>
  </si>
  <si>
    <t>AMER GEOPHYSICAL UNION</t>
  </si>
  <si>
    <t>WASHINGTON</t>
  </si>
  <si>
    <t>2000 FLORIDA AVE NW, WASHINGTON, DC 20009 USA</t>
  </si>
  <si>
    <t>2169-9275</t>
  </si>
  <si>
    <t>2169-9291</t>
  </si>
  <si>
    <t>J GEOPHYS RES-OCEANS</t>
  </si>
  <si>
    <t>J. Geophys. Res.-Oceans</t>
  </si>
  <si>
    <t>APR 15</t>
  </si>
  <si>
    <t>C04016</t>
  </si>
  <si>
    <t>10.1029/2008JC005043</t>
  </si>
  <si>
    <t>Oceanography</t>
  </si>
  <si>
    <t>Science Citation Index Expanded (SCI-EXPANDED)</t>
  </si>
  <si>
    <t>585MO</t>
  </si>
  <si>
    <t>Bronze</t>
  </si>
  <si>
    <t>2024-04-21</t>
  </si>
  <si>
    <t>WOS:000276829800001</t>
  </si>
  <si>
    <t>Yang, SX; Hou, GY; Dai, JH; Chang, CH; Chang, BC</t>
  </si>
  <si>
    <t>Yang, Shi-Xing; Hou, Guang-Yi; Dai, Jian-Hang; Chang, Chih-Hsuan; Chang, Bor-Chen</t>
  </si>
  <si>
    <t>Spectroscopic Investigation of the Multiphoton Photolysis Reactions of Bromomethanes (CHBr3, CHBr2Cl, CHBrCl2, and CH2Br2) at Near-Ultraviolet Wavelengths</t>
  </si>
  <si>
    <t>JOURNAL OF PHYSICAL CHEMISTRY A</t>
  </si>
  <si>
    <t>Article; Proceedings Paper</t>
  </si>
  <si>
    <t>30th International Symposium on Free Radicals</t>
  </si>
  <si>
    <t>JUL 25-30, 2009</t>
  </si>
  <si>
    <t>Savonlinna, FINLAND</t>
  </si>
  <si>
    <t>DISPERSED FLUORESCENCE; ABSORPTION-SPECTROSCOPY; NM PHOTODISSOCIATION; ANTARCTIC OZONE; BROMOFORM; CH(A(2)DELTA); SPECTRA; DISSOCIATION; DESTRUCTION; ATMOSPHERE</t>
  </si>
  <si>
    <t>Nascent emission and laser-induced dispersed fluorescence spectra of products or intermediates from the multiphoton photolysis reaction of bromomethanes (CHBr3, CHBr2Cl, CHBrCl2, and CH2Br2) at 266 nm were recorded in a slow flow cell. Electronically excited species including CH (A(2)Delta, B-2 Sigma(-) and C-2 Sigma(+)), C-2 (d(3)Pi(g)), and atomic Br (D-4(J) and P-4(J)) were observed in the nascent emission spectra. Free radicals such CHBr or CHCl were also successfully found using laser-induced dispersed fluorescence spectroscopy. The reactive intermediate, CHBr, was seen only in the photolysis of CHBr3, whereas CHCl was only discovered when the precursor was CHBr2Cl or CHBrCl2. More experiments including the power dependence and temporal waveform measurements were conducted. The present study reports the first direct measurements of the intermediate products in the multiphoton photodissociation reaction of these bromomethanes at 266 nm. Nascent emission spectra following the photolysis at longer near-ultraviolet wavelengths (280 and 355 nm) were also acquired. On the bassis of these results, the multiphoton photodissociation mechanism of these bromomethanes at 266 nm can be confirmed.</t>
  </si>
  <si>
    <t>[Yang, Shi-Xing; Hou, Guang-Yi; Dai, Jian-Hang; Chang, Chih-Hsuan; Chang, Bor-Chen] Natl Cent Univ, Dept Chem, Jhongli 32001, Taiwan</t>
  </si>
  <si>
    <t>National Central University</t>
  </si>
  <si>
    <t>Chang, BC (corresponding author), Natl Cent Univ, Dept Chem, 300 Jhongda Rd, Jhongli 32001, Taiwan.</t>
  </si>
  <si>
    <t>bchang@ncu.edu.tw</t>
  </si>
  <si>
    <t>AMER CHEMICAL SOC</t>
  </si>
  <si>
    <t>1155 16TH ST, NW, WASHINGTON, DC 20036 USA</t>
  </si>
  <si>
    <t>1089-5639</t>
  </si>
  <si>
    <t>J PHYS CHEM A</t>
  </si>
  <si>
    <t>J. Phys. Chem. A</t>
  </si>
  <si>
    <t>10.1021/jp909875k</t>
  </si>
  <si>
    <t>Chemistry, Physical; Physics, Atomic, Molecular &amp; Chemical</t>
  </si>
  <si>
    <t>Science Citation Index Expanded (SCI-EXPANDED); Conference Proceedings Citation Index - Science (CPCI-S)</t>
  </si>
  <si>
    <t>Chemistry; Physics</t>
  </si>
  <si>
    <t>579BL</t>
  </si>
  <si>
    <t>WOS:000276341300013</t>
  </si>
  <si>
    <t>Carter, L; Orpin, AR; Kuehl, SA</t>
  </si>
  <si>
    <t>Carter, Lionel; Orpin, Alan R.; Kuehl, Steven A.</t>
  </si>
  <si>
    <t>From mountain source to ocean sink - the passage of sediment across an active margin, Waipaoa Sedimentary System, New Zealand</t>
  </si>
  <si>
    <t>MARINE GEOLOGY</t>
  </si>
  <si>
    <t>sediment; source; transfer; sink; convergent margin; Waipaoa; MARGINS</t>
  </si>
  <si>
    <t>HIKURANGI SUBDUCTION ZONE; EASTERN NORTH-ISLAND; CONTINENTAL-MARGIN; ORGANIC-CARBON; POVERTY BAY; INTERCORRELATED TERRESTRIAL; CLIMATE-CHANGE; LAKE TUTIRA; DEEP-OCEAN; SEA-LEVEL</t>
  </si>
  <si>
    <t>The joint US-NZ Source-to-Sink initiative aims to unravel the tectonic, climatic and other processes that shape the landscape from the mountains to deep ocean. Of two focus areas chosen world-wide, the Waipaoa Sedimentary System (WSS) of north-eastern New Zealand was identified as an example of a mid-latitude, high sediment input system. It resides within the westerly wind belt and extends across the convergence zone of the Australian and Pacific plates. Accordingly, the tectonic and climatic drivers are prominent and their influences on the WSS are decipherable as is documented in the suite of Source-to-Sink studies presented in this special issue of Marine Geology. The WSS is forced at several temporal and spatial scales, which collectively appear as short-term events (storms, earthquakes and volcanic eruptions) superimposed on long-term, behavioural shifts (tectonic uplift and eustatic sea level change). Overall, the WSS is undergoing uplift, which has been contributing to valley incision since the Last Glacial Maximum. Uplift is both gradual and intermittent, the latter relating to fault- and subduction-related earthquakes. Such seismic activity destabilises the landscape and, together with frequent storms, generates large amounts of sediment. As this sediment passes through the system, part is captured in traps formed by local subsidence of the coastal plain and middle continental shelf where large thicknesses of Holocene and probably older sediment are sequestered (e.g., similar to 200 m under the coastal plain). Nevertheless, substantial sediment still reaches the continental slope to accumulate in canyon heads and slope basins with other deposits redistributed down-slope in mass flows. Major volcanic eruptions also affect the sediment flux via direct input from ash-fall and by enhanced erosion following volcanic destruction of terrestrial vegetation. Frequent storms of varying intensity play a key role in the generation and transfer of sediment. Major events such as Cyclone Bola of 1988, inundated the shelf with sediment, but identifiable flood deposits were preserved only locally, attesting to the effectiveness of shelf physical and biological mixing regimes. Despite the storms, earthquakes and volcanic eruptions, the largest perturbation of the WSS, at least in the last similar to 2400 years, has been the human deforestation of the landscape. The resultant influx of sediment overwhelmed the shelf's storage capacity. Instead of capturing 90% the fluvial input, as in pre-human times, the modern shelf retains only similar to 25%, the remainder escaping to the slope and elsewhere. (C) 2010 Elsevier By. All rights reserved.</t>
  </si>
  <si>
    <t>[Carter, Lionel] Victoria Univ, Antarctic Res Ctr, Wellington, New Zealand; [Carter, Lionel; Orpin, Alan R.] Natl Inst Water &amp; Atmospher Res NIWA, Wellington, New Zealand; [Kuehl, Steven A.] Virginia Inst Marine Sci, Coll William &amp; Mary, Gloucester Point, VA 23062 USA</t>
  </si>
  <si>
    <t>Victoria University Wellington; National Institute of Water &amp; Atmospheric Research (NIWA) - New Zealand; William &amp; Mary; Virginia Institute of Marine Science</t>
  </si>
  <si>
    <t>Carter, L (corresponding author), Victoria Univ, Antarctic Res Ctr, POB 600, Wellington, New Zealand.</t>
  </si>
  <si>
    <t>lionel.carter@vuw.ac.nz</t>
  </si>
  <si>
    <t>Kuehl, Steven/0000-0002-5768-3274</t>
  </si>
  <si>
    <t>ELSEVIER</t>
  </si>
  <si>
    <t>AMSTERDAM</t>
  </si>
  <si>
    <t>RADARWEG 29, 1043 NX AMSTERDAM, NETHERLANDS</t>
  </si>
  <si>
    <t>0025-3227</t>
  </si>
  <si>
    <t>1872-6151</t>
  </si>
  <si>
    <t>MAR GEOL</t>
  </si>
  <si>
    <t>Mar. Geol.</t>
  </si>
  <si>
    <t>1-4</t>
  </si>
  <si>
    <t>SI</t>
  </si>
  <si>
    <t>10.1016/j.margeo.2009.12.010</t>
  </si>
  <si>
    <t>Geosciences, Multidisciplinary; Oceanography</t>
  </si>
  <si>
    <t>Geology; Oceanography</t>
  </si>
  <si>
    <t>576IF</t>
  </si>
  <si>
    <t>WOS:000276137100001</t>
  </si>
  <si>
    <t>Orpin, AR; Carter, L; Page, MJ; Cochran, UA; Trustrum, NA; Gomez, B; Palmer, AS; Mildenhall, DC; Rogers, KM; Brackley, HL; Northcote, L</t>
  </si>
  <si>
    <t>Orpin, A. R.; Carter, L.; Page, M. J.; Cochran, U. A.; Trustrum, N. A.; Gomez, B.; Palmer, A. S.; Mildenhall, D. C.; Rogers, K. M.; Brackley, H. L.; Northcote, L.</t>
  </si>
  <si>
    <t>Holocene sedimentary record from Lake Tutira: A template for upland watershed erosion proximal to the Waipaoa Sedimentary System, northeastern New Zealand</t>
  </si>
  <si>
    <t>lake sedimentation; storms; earthquakes; mass-transport deposit; diatoms; climate; ENSO; colonisation; erosion; Holocene; New Zealand</t>
  </si>
  <si>
    <t>EASTERN NORTH-ISLAND; HAWKES BAY; INTERCORRELATED TERRESTRIAL; STEEPLAND CATCHMENT; SUBDUCTION ZONE; PACIFIC CLIMATE; VOLCANIC-CENTER; NZ-INTIMATE; STRATIGRAPHY; MARGIN</t>
  </si>
  <si>
    <t>A Holocene lake record from northeastern New Zealand provides a detailed record of environmental controls on upper watershed sedimentation, and is proximal to the Waipaoa MARGINS Source-to-Sink focus site. In that context, Lake Tutira in Hawke's Bay was cored in 2003 to recover a complete sedimentary record since the lake's formation ca 7.2 ka. The 27.14 m-long core contains alternating lithotypes that are sedimentary responses to lacustrine organic accumulation, normal to severe rainfalls, earthquakes and volcanism. A diatom allochthonous ranking scheme, pollen counts, and C and N percentages were used to identify intra-lake and watershed-derived storm deposits and modes of lithotype deposition. The lithotypes and depositional modes are: tephras (volcanic airfall); organic-rich mud (algal-rich lake sedimentation); massive to weakly graded, brown silty clay beds (homogenites and redeposited lake sediments); grey, graded sandy mud beds (intense storm-delivered sediment); and, thin yellow clay layers (run-off from small storms). Using 12 tephras and 3 radiocarbon ages to provide a chronology, the long-term sedimentation rate is ca 3.3 mm/year, which increases to &gt;10 mm/year following European colonisation. Storm beds occur in response to rainfall events, with no obvious correlation to El Nino-Southern Oscillation polarity or strength. Moreover, no single climate index appears to correlate strongly with the historic rainfall event record. Having characterised and identified storm-beds over the lake's history, a hindcast relationship implies that around 53 pre-historic storms occurred with a magnitude similar to the severe Cyclone Bola event of 1988, plus 7 potentially larger storm events. Despite the prominence of storm beds, a summation of the total percent thickness as an indication of the relative modes of emplacement for each lithotype shows that proportionally, the balance of intra-lake versus storm sources preserved in the lake bed is 69% and 26%, respectively. As well as storms, lake sedimentation is strongly influenced by earthquakes that destabilize the terrigenous, sediment-laden lake margins to generate homogenites, represented by the brown silty clay beds. These deposits tend to be thicker after a hiatus in seismic activity and after sustained periods of lake-margin loading, as inferred from the occurrence of thick graded storm beds. Comparison with marine records on the adjacent continental margin suggests that more terrestrial events are captured in the lake record, due to: (i) close hillslope-lake connectivity, with little intervening storage of sediment compared with the Waipaoa sedimentary system; and, (ii) the preservation of event stratigraphy at Tutira compared to its reduced preservation in the dynamic marine environment. Only major storms such as Cyclone Bola leave an imprint traceable to the ocean, whereas identifiable sedimentary responses to individual earthquakes are localized, although through landscape preconditioning and sediment production they contribute to the overall high terrigenous input to the ocean. In contrast, low-frequency, high magnitude perturbations (volcanic eruptions, European deforestation) are preserved through the Source-to-Sink sedimentary system, consistent with earlier hypotheses. (C) 2009 Elsevier B.V. All rights reserved.</t>
  </si>
  <si>
    <t>[Orpin, A. R.; Carter, L.; Northcote, L.] Natl Inst Water &amp; Atmospher Res NIWA, Wellington, New Zealand; [Carter, L.] Victoria Univ, Antarctic Res Ctr, Wellington, New Zealand; [Page, M. J.; Cochran, U. A.; Trustrum, N. A.; Mildenhall, D. C.; Brackley, H. L.] GNS Sci, Lower Hutt 5040, New Zealand; [Page, M. J.; Trustrum, N. A.; Rogers, K. M.; Brackley, H. L.] Manaaki Whenua Landcare Res, Palmerston North, New Zealand; [Gomez, B.] Indiana State Univ, Geomorphol Lab, Terre Haute, IN 47809 USA; [Palmer, A. S.] Massey Univ, Inst Nat Resources, Palmerston North, New Zealand</t>
  </si>
  <si>
    <t>National Institute of Water &amp; Atmospheric Research (NIWA) - New Zealand; Victoria University Wellington; GNS Science - New Zealand; Landcare Research - New Zealand; Indiana State University; Massey University</t>
  </si>
  <si>
    <t>Orpin, AR (corresponding author), Natl Inst Water &amp; Atmospher Res NIWA, Private Bag 14-901, Wellington, New Zealand.</t>
  </si>
  <si>
    <t>a.orpin@niwa.co.nz</t>
  </si>
  <si>
    <t>Rogers, Karyne/ABF-9317-2021</t>
  </si>
  <si>
    <t>Rogers, Karyne/0000-0001-8464-4337; Gomez, Basil/0000-0002-5762-3183; Cochran, Ursula/0000-0001-8002-4958</t>
  </si>
  <si>
    <t>Foundation for Research Science and Technology; NIWA [aC01X0203, C01X0702, C09X0213, C05X0701]; NSF [SBR-907195, BCS-0317570]; Victoria University of Wellington [VICX0704]</t>
  </si>
  <si>
    <t>Foundation for Research Science and Technology(New Zealand Foundation for Research, Science and Technology); NIWA; NSF(National Science Foundation (NSF)); Victoria University of Wellington</t>
  </si>
  <si>
    <t>This research was supported by the Foundation for Research Science and Technology: NIWA contract aC01X0203 and C01X0702 Landcare contract C09X0213, and GNS Science contract C05X0701. BC as supported by NSF grants SBR-907195 and BCS-0317570. More recently, LC was supported by Victoria University of Wellington contract VICX0704. Brett Mullan, James Renwick and Sam Dean NIWA) provided summary climate data and valuable discussion bout ENSO. We are most grateful for the skilful and patient assistance offered by Josh Reed (ANDRILL-USA, University of Nebraska-Lincoln) and Rob Mackay (ARC, Victoria University of Wellington) creating the graphic log in PSICAT. The professionalism and determination of the Webster Drilling crew were key ingredients toward the success of this drilling initiative. The Department of Conservation are thanked for heir assistance with access to the lake. Arne Pallentin and Micah Kemp NIWA) digitized the lake bathymetry and assisted with GIS tasks. Harvey Betts and Marilyn Brackley provided field support during the coring campaign. The final manuscript benefitted considerably from he constructive and detailed comments offered by B. Alloway, M. Lewis, and an anonymous reviewer.</t>
  </si>
  <si>
    <t>ELSEVIER SCIENCE BV</t>
  </si>
  <si>
    <t>PO BOX 211, 1000 AE AMSTERDAM, NETHERLANDS</t>
  </si>
  <si>
    <t>10.1016/j.margeo.2009.10.022</t>
  </si>
  <si>
    <t>WOS:000276137100002</t>
  </si>
  <si>
    <t>Page, MJ; Trustrum, NA; Orpin, AR; Carter, L; Gomez, B; Cochran, UA; Mildenhall, DC; Rogers, KM; Brackley, HL; Palmer, AS; Northcote, L</t>
  </si>
  <si>
    <t>Page, M. J.; Trustrum, N. A.; Orpin, A. R.; Carter, L.; Gomez, B.; Cochran, U. A.; Mildenhall, D. C.; Rogers, K. M.; Brackley, H. L.; Palmer, A. S.; Northcote, L.</t>
  </si>
  <si>
    <t>Storm frequency and magnitude in response to Holocene climate variability, Lake Tutira, North-Eastern New Zealand</t>
  </si>
  <si>
    <t>storm magnitude-frequency; climate variability; erosion; ENSO; lake sediment; Holocene; New Zealand</t>
  </si>
  <si>
    <t>WAIPAOA SEDIMENTARY SYSTEM; SOUTHERN-OSCILLATION SIGNAL; HIGH-RESOLUTION RECORD; EL-NINO; HAWKES BAY; SOUTHWEST PACIFIC; INTERCORRELATED TERRESTRIAL; ENVIRONMENTAL-CHANGE; STEEPLAND CATCHMENT; VEGETATION CHANGE</t>
  </si>
  <si>
    <t>A mid to late Holocene record of storm events is preserved in the sediments of Lake Tutira, located on the eastern North Island of New Zealand. Previous studies of a 6 m sediment core established a storm chronology for the last 2250 years (Eden, D.N., Page, M.J., 1998. Palaeoclimatic implications of a storm erosion record from late Holocene lake sediments, North Island, New Zealand. Palaeogeogr. Palaeoclimatol. Palaeoecol. 139, 37-58). Here we extend the record, using a 27 m sediment core, to lake formation similar to 7200 cal. yr ago. Outside the last similar to 500 yr of human influence, the core records landscape response to natural climate variability and to tectonism/volcanism associated with the active collisional plate boundary setting. Based on sedimentological and biogeochemical analyses, 1400 layers of dominantly terrigenous, storm-derived sediment have been identified. A storm event chronology, supported by twelve tephra and three C-14 ages, indicates that storm magnitude and frequency has varied over the last 7200 yr. Twenty-five periods with an increased frequency of large storms occur, typically of decadal to centennial duration. Periods of major storm activity occur at about 500-700, 1100-1250, 1850-2100, 2850-3200, 3600-4000, 4300-4500, 4700-4900, 5700-5900, and 6850-6900 cal. yr BP. Several other local and regional climate proxies record conditions that are consistent with the timing and periodicity of major storms in the Tutira record. A period centred on 2000 yr ago has the highest incidence of storms, with a recurrence of 1 storm/2.9 yr. This is identified as a time of major environmental change by several other records. By comparison, average storm frequency throughout the record is similar to 1 storm/5 yr, and while this is consistent with modern El Nino-Southern Oscillation (ENSO) periodicity, the record shows no increase in frequency around 4000 years at the time of ENSO intensification. This likely reflects New Zealand's location between tropical and polar latitudes, where climate shifts are driven by the interplay between ENSO, Interdecadal Pacific Oscillation (IPO), and the Southern Annular Mode (SAM). The Lake Tutira record provides support for the growing evidence that climate variability during the Holocene has involved periods of rapid change. Correlation of this detailed storm event and sediment flux record with other geomorphic and sedimentary records in the nearby Waipaoa Source-to-Sink sedimentary system, improves understanding of the timing and rates of climatically-induced landscape change, and its downstream effects. (C) 2009 Elsevier B.V. All rights reserved.</t>
  </si>
  <si>
    <t>[Page, M. J.; Trustrum, N. A.; Cochran, U. A.; Mildenhall, D. C.; Rogers, K. M.; Brackley, H. L.] Inst Geol &amp; Nucl Sci, Lower Hutt, New Zealand; [Page, M. J.; Trustrum, N. A.; Brackley, H. L.] Landcare Res New Zealand, Palmerston North, New Zealand; [Orpin, A. R.; Carter, L.; Northcote, L.] Natl Inst Water &amp; Atmospher Res, Wellington, New Zealand; [Carter, L.] Victoria Univ, Antarctic Res Ctr, Wellington, New Zealand; [Gomez, B.] Indiana State Univ, Geomorphol Lab, Terre Haute, IN 47809 USA; [Palmer, A. S.] Massey Univ, Inst Nat Resources, Coll Sci, Palmerston North, New Zealand</t>
  </si>
  <si>
    <t>GNS Science - New Zealand; Landcare Research - New Zealand; National Institute of Water &amp; Atmospheric Research (NIWA) - New Zealand; Victoria University Wellington; Indiana State University; Massey University</t>
  </si>
  <si>
    <t>Page, MJ (corresponding author), Inst Geol &amp; Nucl Sci, POB 30 368, Lower Hutt, New Zealand.</t>
  </si>
  <si>
    <t>m.page@gns.cri.nz</t>
  </si>
  <si>
    <t>Foundation for Research, Science and Technology [C09X0213]; NIWA [C01X0203, C05X0701]; NSF [SBR-907195, BCS-0317570]; FRST [VICX0704]</t>
  </si>
  <si>
    <t>Foundation for Research, Science and Technology(New Zealand Foundation for Research, Science and Technology); NIWA; NSF(National Science Foundation (NSF)); FRST(New Zealand Foundation for Research, Science and Technology)</t>
  </si>
  <si>
    <t>Funds for this research were provided by The Foundation for Research, Science and Technology under Landcare Research contract C09X0213, NIWA contract C01X0203, and GNS Science contract C05X0701. Basil Gomez was supported by NSF grant numbers SBR-907195 and BCS-0317570. More recently, Lionel Carter was supported by FRST contract VICX0704. Biljana Lukovic (GNS Science) provided graphic support.</t>
  </si>
  <si>
    <t>10.1016/j.margeo.2009.10.019</t>
  </si>
  <si>
    <t>WOS:000276137100003</t>
  </si>
  <si>
    <t>Kniskern, TA; Kuehl, SA; Harris, CK; Carter, L</t>
  </si>
  <si>
    <t>Kniskern, Tara A.; Kuehl, Steven A.; Harris, Courtney K.; Carter, Lionel</t>
  </si>
  <si>
    <t>Sediment accumulation patterns and fine-scale strata formation on the Waiapu River shelf, New Zealand</t>
  </si>
  <si>
    <t>continental shelf; sedimentation; Pb-210; Be-7; New Zealand; gravity-flows</t>
  </si>
  <si>
    <t>NORTHERN CALIFORNIA SHELF; PAPUA-NEW-GUINEA; HIGH-YIELD RIVER; CONTINENTAL-SHELF; SEPIK RIVER; INNER SHELF; EAST CAPE; EEL SHELF; TRANSPORT; RATES</t>
  </si>
  <si>
    <t>Multiple sediment transport and reworking processes influence fine, cm-scale strata formation and long-term accumulation on the Waiapu River shelf, New Zealand. Gravity cores collected during two cruises, in August 2003 and May 2004, were analyzed using Be-7 and Pb-210 geochronologies, bulk carbon, delta C-13, X-radiographs, and grain-size to investigate sediment mixing and accumulation patterns. The presence of Be-7 on the inner- and mid-shelf regions (</t>
  </si>
  <si>
    <t>[Kniskern, Tara A.; Kuehl, Steven A.; Harris, Courtney K.] Virginia Inst Marine Sci, Coll William &amp; Mary, Gloucester Point, VA 23062 USA; [Carter, Lionel] Victoria Univ, Antarctic Res Ctr, Wellington 6001, New Zealand</t>
  </si>
  <si>
    <t>William &amp; Mary; Virginia Institute of Marine Science; Victoria University Wellington</t>
  </si>
  <si>
    <t>Kniskern, TA (corresponding author), Virginia Inst Marine Sci, Coll William &amp; Mary, POB 1346, Gloucester Point, VA 23062 USA.</t>
  </si>
  <si>
    <t>knista@vims.edu; kuehl@vims.edu; ckharris@vims.edu; Lionel.Carter@vuw.ac.nz</t>
  </si>
  <si>
    <t>Kuehl, Steven/0000-0002-5768-3274; Harris, Courtney/0000-0001-5357-5906</t>
  </si>
  <si>
    <t>National Science Foundation [OCE-0326831]; Foundation for Research Science and Technology [CO1X0203]</t>
  </si>
  <si>
    <t>National Science Foundation(National Science Foundation (NSF)); Foundation for Research Science and Technology(New Zealand Foundation for Research, Science and Technology)</t>
  </si>
  <si>
    <t>The authors thank the National Institute of Water and Atmospheric Research (NIWA) together with the scientific and ships crew of RV Tangaroa, and the University of Hawaii's RV Kilo Moana. Special thanks are extended to the people of the Ngati Porou Iwi, who graciously shared their land and culture. Comments by Murray Hicks, Chris Sommerfield, and Rob Wheatcroft greatly improved this paper. Our research was funded by the National Science Foundation, project number OCE-0326831 and Foundation for Research Science and Technology contract CO1X0203.</t>
  </si>
  <si>
    <t>10.1016/j.margeo.2008.12.003</t>
  </si>
  <si>
    <t>WOS:000276137100014</t>
  </si>
  <si>
    <t>Lu, P; Li, ZJ; Cheng, B; Lei, RB; Zhang, R</t>
  </si>
  <si>
    <t>Lu, Peng; Li, Zhijun; Cheng, Bin; Lei, Ruibo; Zhang, Rui</t>
  </si>
  <si>
    <t>Sea ice surface features in Arctic summer 2008: Aerial observations</t>
  </si>
  <si>
    <t>REMOTE SENSING OF ENVIRONMENT</t>
  </si>
  <si>
    <t>Arctic; Sea ice; Aerial photography; AMSR-E; Melt pond</t>
  </si>
  <si>
    <t>MELT PONDS; ALBEDO; EVOLUTION</t>
  </si>
  <si>
    <t>Eight helicopter flights were conducted, and more than 9000 aerial images were obtained during the Third Chinese National Arctic Research Expedition in 2008 in the Pacific Arctic Sector (PAS). Along the cruise tracks between 77 degrees N and 86 degrees N, area fractions of open water and ice cover varied from 0.96 to 0.12 and from 0.03 to 0.81, respectively, while the melt pond fraction varied between 0 and 0.2. The ice concentrations derived from aerial images and the AMSR-E/ASI products were comparable to each other, especially in the range of 50-90%. However, the satellite-derived data overestimated the aerial observations by 14 +/- 9% in areas with large ice concentrations (&gt;90%), and nearly ignored those with very low ice concentrations (&lt;20%). In addition, a significantly higher amount of melt ponds was observed in the PAS in the summer of 2008 as compared to five years ago. The areally averaged albedo increased from 0.09 in the marginal ice zone at 77 degrees N to 0.63 in the far north zone at 86 degrees N, where the ice concentration was 90%. The albedo was significantly smaller than those reported in earlier studies in the PAS for the same region because of an overall decrease in ice concentration. Compared with 2007 data, the lower ice concentration in 2008 may yield a smaller total ice-covered area, although the Arctic ice extent in 2008 was slightly larger than the record minimum in 2007. (C) 2009 Elsevier Inc. All rights reserved.</t>
  </si>
  <si>
    <t>[Lu, Peng; Li, Zhijun; Cheng, Bin; Lei, Ruibo; Zhang, Rui] Dalian Univ Technol, State Key Lab Coastal &amp; Offshore Engn, Dalian, Peoples R China; [Cheng, Bin] Finnish Meteorol Inst, FIN-00101 Helsinki, Finland</t>
  </si>
  <si>
    <t>Dalian University of Technology; Finnish Meteorological Institute</t>
  </si>
  <si>
    <t>Lu, P (corresponding author), Dalian Univ Technol, State Key Lab Coastal &amp; Offshore Engn, Dalian, Peoples R China.</t>
  </si>
  <si>
    <t>lupeng@dlut.edu.cn</t>
  </si>
  <si>
    <t>Cheng, Bin/D-4354-2013; Lu, Peng/HNR-4786-2023; Li, Zhijun/A-5299-2019</t>
  </si>
  <si>
    <t>Cheng, Bin/0000-0001-8156-8412; Li, Zhijun/0000-0002-2897-0450</t>
  </si>
  <si>
    <t>National Nature Science Foundation of China [40930848, 340806075]; National Key Technology Research and Development Program of China [2006BAB18B03]</t>
  </si>
  <si>
    <t>National Nature Science Foundation of China(National Natural Science Foundation of China (NSFC)); National Key Technology Research and Development Program of China(National Key Technology R&amp;D ProgramNational High Technology Research and Development Program of China)</t>
  </si>
  <si>
    <t>CHINARE2008 is a part of the IPY 2007-2008 China Program, organized by the Chinese Arctic and Antarctic Administration. This study was supported by the National Nature Science Foundation of China under contract numbers 40930848 and 40806075, and by the National Key Technology Research and Development Program of China under grant 2006BAB18B03. B.C. was supported by the DAMOCLES project (grant 18509) provided by the European Commission in the 6th framework Program and by the Norwegian Research Council project AMORA. We also thank the helicopter crew onboard the Xuelong for providing excellent logistic support. The comments of reviewers and editors helped to significantly improve the paper. The AMSR-E/ASI ice concentration data is available at http://www.iup.uni-bremen.de:8084/amsr/amsre.html.</t>
  </si>
  <si>
    <t>ELSEVIER SCIENCE INC</t>
  </si>
  <si>
    <t>NEW YORK</t>
  </si>
  <si>
    <t>STE 800, 230 PARK AVE, NEW YORK, NY 10169 USA</t>
  </si>
  <si>
    <t>0034-4257</t>
  </si>
  <si>
    <t>1879-0704</t>
  </si>
  <si>
    <t>REMOTE SENS ENVIRON</t>
  </si>
  <si>
    <t>Remote Sens. Environ.</t>
  </si>
  <si>
    <t>10.1016/j.rse.2009.11.009</t>
  </si>
  <si>
    <t>Environmental Sciences; Remote Sensing; Imaging Science &amp; Photographic Technology</t>
  </si>
  <si>
    <t>Environmental Sciences &amp; Ecology; Remote Sensing; Imaging Science &amp; Photographic Technology</t>
  </si>
  <si>
    <t>561MW</t>
  </si>
  <si>
    <t>WOS:000274982700001</t>
  </si>
  <si>
    <t>Hurwitz, MM; Newman, PA; Li, F; Oman, LD; Morgenstern, O; Braesicke, P; Pyle, JA</t>
  </si>
  <si>
    <t>Hurwitz, M. M.; Newman, P. A.; Li, F.; Oman, L. D.; Morgenstern, O.; Braesicke, P.; Pyle, J. A.</t>
  </si>
  <si>
    <t>Assessment of the breakup of the Antarctic polar vortex in two new chemistry-climate models</t>
  </si>
  <si>
    <t>JOURNAL OF GEOPHYSICAL RESEARCH-ATMOSPHERES</t>
  </si>
  <si>
    <t>SOUTHERN-HEMISPHERE; STRATOSPHERE; TEMPERATURE; IMPACT; WINTER</t>
  </si>
  <si>
    <t>Successful simulation of the breakup of the Antarctic polar vortex depends on the representation of tropospheric stationary waves at Southern Hemisphere middle latitudes. This paper assesses the vortex breakup in two new chemistry-climate models (CCMs). The stratospheric version of the UK Chemistry and Aerosols model is able to reproduce the observed timing of the vortex breakup. Version 2 of the Goddard Earth Observing System (GEOS V2) model is typical of CCMs in that the Antarctic polar vortex breaks up too late; at 10 hPa, the mean transition to easterlies at 60 S is delayed by 12-13 days as compared with the ERA-40 and National Centers for Environmental Prediction reanalyses. The two models' skill in simulating planetary wave driving during the October-November period accounts for differences in their simulation of the vortex breakup, with GEOS V2 unable to simulate the magnitude and tilt of geopotential height anomalies in the troposphere and thus underestimating the wave driving. In the GEOS V2 CCM the delayed breakup of the Antarctic vortex biases polar temperatures and trace gas distributions in the upper stratosphere in November and December.</t>
  </si>
  <si>
    <t>[Hurwitz, M. M.; Newman, P. A.; Oman, L. D.] NASA, Goddard Space Flight Ctr, Greenbelt, MD 20771 USA; [Hurwitz, M. M.] Oak Ridge Associated Univ, NASA Postdoctoral Program, Oak Ridge, TN USA; [Li, F.] Univ Maryland Baltimore Cty, Goddard Earth Sci &amp; Technol Ctr, Baltimore, MD 21228 USA; [Oman, L. D.] Johns Hopkins Univ, Dept Earth &amp; Planetary Sci, Baltimore, MD 21218 USA; [Morgenstern, O.] Natl Inst Water &amp; Atmospher Res, Omakau 9352, New Zealand; [Morgenstern, O.; Braesicke, P.; Pyle, J. A.] Univ Cambridge, Dept Chem, NCAS Climate Chem, Cambridge CB2 1EW, England</t>
  </si>
  <si>
    <t>National Aeronautics &amp; Space Administration (NASA); NASA Goddard Space Flight Center; National Aeronautics &amp; Space Administration (NASA); United States Department of Energy (DOE); Oak Ridge National Laboratory; National Aeronautics &amp; Space Administration (NASA); NASA Goddard Space Flight Center; University System of Maryland; University of Maryland Baltimore County; Johns Hopkins University; National Institute of Water &amp; Atmospheric Research (NIWA) - New Zealand; University of Cambridge</t>
  </si>
  <si>
    <t>Hurwitz, MM (corresponding author), NASA, Goddard Space Flight Ctr, Code 613-3, Greenbelt, MD 20771 USA.</t>
  </si>
  <si>
    <t>margaret.m.hurwitz@nasa.gov</t>
  </si>
  <si>
    <t>Li, Feng/H-2241-2012; Braesicke, Peter/D-8330-2016; Newman, Paul A./D-6208-2012; Oman, Luke/C-2778-2009</t>
  </si>
  <si>
    <t>Braesicke, Peter/0000-0003-1423-0619; Newman, Paul A./0000-0003-1139-2508; Oman, Luke/0000-0002-5487-2598; Li, Feng/0000-0002-7928-0775</t>
  </si>
  <si>
    <t>NASA Postdoctoral Program at Goddard Space Flight Center; Natural Environmental Research Council through the NCAS initiative; European Commission [SCOUT-O3 IP]; NERC [jwcrp01001] Funding Source: UKRI; Natural Environment Research Council [jwcrp01001, ncas10009] Funding Source: researchfish</t>
  </si>
  <si>
    <t>NASA Postdoctoral Program at Goddard Space Flight Center; Natural Environmental Research Council through the NCAS initiative; European Commission(European Union (EU)European Commission Joint Research Centre); NERC(UK Research &amp; Innovation (UKRI)Natural Environment Research Council (NERC)); Natural Environment Research Council(UK Research &amp; Innovation (UKRI)Natural Environment Research Council (NERC))</t>
  </si>
  <si>
    <t>The authors thank the Chemistry-Climate Model Validation Activity (CCMVal) of World Climate Research Programme-Stratospheric Processes and their Role in Climate (WCRP-SPARC) for organizing the model data analysis activity. The UK MetOffice is acknowledged for use of the MetUM. Furthermore, the authors thank NASA's MAP program, E. Nash for providing the streamline plotting code, and J. E. Nielsen for running the GEOS V2 simulation. M. M. Hurwitz is supported by an appointment to the NASA Postdoctoral Program at Goddard Space Flight Center, administered by Oak Ridge Associated Universities through a contract with NASA. O. Morgenstern, P. Braesicke and J. A. Pyle are supported by the Natural Environmental Research Council through the NCAS initiative and by the European Commission under the Framework 6 SCOUT-O3 IP.</t>
  </si>
  <si>
    <t>2169-897X</t>
  </si>
  <si>
    <t>2169-8996</t>
  </si>
  <si>
    <t>J GEOPHYS RES-ATMOS</t>
  </si>
  <si>
    <t>J. Geophys. Res.-Atmos.</t>
  </si>
  <si>
    <t>APR 14</t>
  </si>
  <si>
    <t>D07105</t>
  </si>
  <si>
    <t>10.1029/2009JD012788</t>
  </si>
  <si>
    <t>Meteorology &amp; Atmospheric Sciences</t>
  </si>
  <si>
    <t>585LM</t>
  </si>
  <si>
    <t>Bronze, Green Published</t>
  </si>
  <si>
    <t>WOS:000276827000002</t>
  </si>
  <si>
    <t>Kilgallen, NM</t>
  </si>
  <si>
    <t>Kilgallen, Niamh M.</t>
  </si>
  <si>
    <t>A new Antarctic species of Aristias Boeck (Crustacea, Amphipoda, Aristiidae), with remarks on the genus in Antarctica</t>
  </si>
  <si>
    <t>ZOOTAXA</t>
  </si>
  <si>
    <t>Aristiidae; Aristias excavatus; new species; Antarctica; sponge associate</t>
  </si>
  <si>
    <t>A new species of aristiid, Aristias excavatus sp. nov., is described from an Antarctic sponge. The systematics of the genus is discussed. There are now 28 known species in the genus Aristias, with just three recorded from Antarctic waters. The actual number of Antarctic species is likely to be higher, however, because many of these records were probably incorrectly attributed to A. antarcticus.</t>
  </si>
  <si>
    <t>Natl Inst Water &amp; Atmospher Res, Wellington, New Zealand</t>
  </si>
  <si>
    <t>National Institute of Water &amp; Atmospheric Research (NIWA) - New Zealand</t>
  </si>
  <si>
    <t>Kilgallen, NM (corresponding author), Natl Inst Water &amp; Atmospher Res, Private Bag 14901, Wellington, New Zealand.</t>
  </si>
  <si>
    <t>n.kilgallen@niwa.co.nz</t>
  </si>
  <si>
    <t>NIWA [BBIO103, CRDT093]</t>
  </si>
  <si>
    <t>NIWA</t>
  </si>
  <si>
    <t>This study was funded by the NIWA capability fund (Projects BBIO103 and CRDT093). The material was collected as part of the New Zealand International Polar Year - Census of Antarctic Marine Life, Ross Sea Biodiversity voyage 2008. I gratefully acknowledge project governance provided by the Ministry of Fisheries Science Team and the Ocean Survey 20/20 CAML Advisory Group (Land Information New Zealand, New Zealand Ministry of Fisheries, Antarctica New Zealand, Ministry of Foreign Affairs and Trade, and National Institute of Water and Atmosphere Ltd). Dr Michelle Kelly (NIWA) is kindly acknowledged for her work in identifying the host sponge (Project IPY200701). Finally, Dr Anne-Nina Lorz (NIWA) is sincerely thanked for her assistance in translating some of Schellenberg's German text into English.</t>
  </si>
  <si>
    <t>MAGNOLIA PRESS</t>
  </si>
  <si>
    <t>AUCKLAND</t>
  </si>
  <si>
    <t>PO BOX 41383, AUCKLAND, ST LUKES 1030, NEW ZEALAND</t>
  </si>
  <si>
    <t>1175-5326</t>
  </si>
  <si>
    <t>1175-5334</t>
  </si>
  <si>
    <t>Zootaxa</t>
  </si>
  <si>
    <t>Zoology</t>
  </si>
  <si>
    <t>583BB</t>
  </si>
  <si>
    <t>WOS:000276645300002</t>
  </si>
  <si>
    <t>Slusher, DL; Neff, WD; Kim, S; Huey, LG; Wang, Y; Zeng, T; Tanner, DJ; Blake, DR; Beyersdorf, A; Lefer, BL; Crawford, JH; Eisele, FL; Mauldin, RL; Kosciuch, E; Buhr, MP; Wallace, HW; Davis, DD</t>
  </si>
  <si>
    <t>Slusher, D. L.; Neff, W. D.; Kim, S.; Huey, L. G.; Wang, Y.; Zeng, T.; Tanner, D. J.; Blake, D. R.; Beyersdorf, A.; Lefer, B. L.; Crawford, J. H.; Eisele, F. L.; Mauldin, R. L.; Kosciuch, E.; Buhr, M. P.; Wallace, H. W.; Davis, D. D.</t>
  </si>
  <si>
    <t>Atmospheric chemistry results from the ANTCI 2005 Antarctic plateau airborne study</t>
  </si>
  <si>
    <t>PHOTOLYSIS FREQUENCY MEASUREMENTS; HO2NO2 PEROXYNITRIC ACID; POLAR ICE CORES; SOUTH-POLE; BOUNDARY-LAYER; PHOTOCHEMICAL PRODUCTION; HIGH-SENSITIVITY; PERNITRIC ACID; SURFACE-LAYER; NITRIC-OXIDE</t>
  </si>
  <si>
    <t>One of the major goals of the 2005 Antarctic Tropospheric Chemistry Investigation (ANTCI) was to bridge the information gap between current knowledge of South Pole (SP) chemistry and that of the plateau. The former has been extensively studied, but its geographical position on the edge of the plateau makes extrapolating these findings across the plateau problematic. The airborne observations reported here demonstrate that, as at SP, elevated levels of nitric oxide (NO) are a common summertime feature of the plateau. As in earlier studies, planetary boundary layer (PBL) variations were a contributing factor leading to NO fluctuations. Thus, extensive use was made of in situ measurements and models to characterize PBL depths along each flight path and over broader areas of the plateau. Consistent with earlier SP studies that revealed photolysis of nitrate in surface snow as the source of NOx, large vertical gradients in NO were observed over most plateau areas sampled. Similar gradients were also found for the nitrogen species HNO3 and HO2NO2 and for O-3. Thus, a common meteorological-chemical feature found was shallow PBLs associated with nitrogen species concentrations that exceeded free tropospheric levels. Collectively, these new results greatly extend the geographical sampling footprint defined by earlier SP studies. In particular, they suggest that previous assessments of the plateau as simply a chemical depository need updating. Although the evidence supporting this position comes in many forms, the fact that net photochemical production of ozone occurs during summer months over extensive areas of the plateau is pivotal.</t>
  </si>
  <si>
    <t>[Kim, S.; Huey, L. G.; Wang, Y.; Zeng, T.; Tanner, D. J.; Davis, D. D.] Georgia Inst Technol, Sch Earth &amp; Atmospher Sci, Atlanta, GA 30332 USA; [Blake, D. R.; Beyersdorf, A.] Univ Calif Irvine, Sch Phys Sci, Irvine, CA 92697 USA; [Buhr, M. P.; Wallace, H. W.] Air Qual Design, Golden, CO 80403 USA; [Crawford, J. H.] NASA, Langley Res Ctr, Hampton, VA 23681 USA; [Eisele, F. L.; Mauldin, R. L.; Kosciuch, E.] Natl Ctr Atmospher Res, Boulder, CO 80305 USA; [Lefer, B. L.] Univ Houston, Dept Earth &amp; Atmospher Sci, Houston, TX 77204 USA; [Neff, W. D.] NOAA, Earth Syst Res Lab, Boulder, CO 80309 USA; [Slusher, D. L.] Coastal Carolina Univ, Dept Chem &amp; Phys, Conway, SC 29526 USA</t>
  </si>
  <si>
    <t>University System of Georgia; Georgia Institute of Technology; University of California System; University of California Irvine; National Aeronautics &amp; Space Administration (NASA); NASA Langley Research Center; National Center Atmospheric Research (NCAR) - USA; University of Houston System; University of Houston; National Oceanic Atmospheric Admin (NOAA) - USA; Coastal Carolina University</t>
  </si>
  <si>
    <t>Davis, DD (corresponding author), Georgia Inst Technol, Sch Earth &amp; Atmospher Sci, Atlanta, GA 30332 USA.</t>
  </si>
  <si>
    <t>douglas.davis@eas.gatech.edu</t>
  </si>
  <si>
    <t>Kim, Saewung/E-4089-2012; Lefer, Barry/X-9091-2019; Beyersdorf, Andreas J/N-1247-2013; Wang, Yuhang/B-5578-2014; Neff, William D/E-2725-2010; Crawford, James/L-6632-2013</t>
  </si>
  <si>
    <t>Lefer, Barry/0000-0001-9520-5495; Wang, Yuhang/0000-0002-7290-2551; Neff, William D/0000-0003-4047-7076; Crawford, James/0000-0002-6982-0934; Blake, Donald/0000-0002-8283-5014</t>
  </si>
  <si>
    <t>NSF Office of Polar Programs [OPP-0229633, OPP-0230246]</t>
  </si>
  <si>
    <t>NSF Office of Polar Programs(National Science Foundation (NSF))</t>
  </si>
  <si>
    <t>Financial support for this research was provided by NSF Office of Polar Programs grants OPP-0229633 and OPP-0230246. We would also like to thank NOAA's Global Monitoring Division for their support of the ANTCI research effort at the South Pole ARO facility as well as Kenn Borek Air Ltd.'s ground and airborne staff for their dedication to making the Twin Otter sampling program a success.</t>
  </si>
  <si>
    <t>APR 13</t>
  </si>
  <si>
    <t>D07304</t>
  </si>
  <si>
    <t>10.1029/2009JD012605</t>
  </si>
  <si>
    <t>585LL</t>
  </si>
  <si>
    <t>WOS:000276826900004</t>
  </si>
  <si>
    <t>Santee, ML; Sander, SP; Livesey, NJ; Froidevaux, L</t>
  </si>
  <si>
    <t>Santee, Michelle L.; Sander, Stanley P.; Livesey, Nathaniel J.; Froidevaux, Lucien</t>
  </si>
  <si>
    <t>Constraining the chlorine monoxide (ClO)/chlorine peroxide (ClOOCl) equilibrium constant from Aura Microwave Limb Sounder measurements of nighttime ClO</t>
  </si>
  <si>
    <t>PROCEEDINGS OF THE NATIONAL ACADEMY OF SCIENCES OF THE UNITED STATES OF AMERICA</t>
  </si>
  <si>
    <t>IN-SITU OBSERVATIONS; THERMAL-DECOMPOSITION; PHOTOCHEMISTRY; STRATOSPHERE; KINETICS; VORTEX</t>
  </si>
  <si>
    <t>The primary ozone loss process in the cold polar lower stratosphere hinges on chlorine monoxide (ClO) and one of its dimers, chlorine peroxide (ClOOCl). Recently, analyses of atmospheric observations have suggested that the equilibrium constant, K-eq, governing the balance between ClOOCl formation and thermal decomposition in darkness is lower than that in the current evaluation of kinetics data. Measurements of ClO at night, when ClOOCl is unaffectedby photolysis, provide a useful means of testing quantitative understanding of the ClO/ClOOCl relationship. Here we analyze nighttime ClO measurements from the National Aeronautics and Space Administration Aura Microwave Limb Sounder (MLS) to infer an expression for K-eq. Although the observed temperature dependence of the nighttime ClO is in line with the theoretical ClO/ClOOCl equilibrium relationship, none of the previously published expressions for K-eq consistently produces ClO abundances that match the MLS observations well under all conditions. Employing a standard expression for K-eq, A x exp(B/T), we constrain the parameter A to currently recommended values and estimate B using a nonlinear weighted least squares analysis of nighttime MLS ClO data. ClO measurements at multiple pressure levels throughout the periods of peak chlorine activation in three Arctic and four Antarctic winters are used to estimate B. Our derived B leads to values of K-eq that are similar to 1.4 times smaller at stratospherically relevant temperatures than currently recommended, consistent with earlier studies. Our results are in better agreement with the newly updated (2009) kinetics evaluation than with the previous (2006) recommendation.</t>
  </si>
  <si>
    <t>[Santee, Michelle L.; Sander, Stanley P.; Livesey, Nathaniel J.; Froidevaux, Lucien] CALTECH, Jet Prop Lab, Pasadena, CA 91125 USA</t>
  </si>
  <si>
    <t>California Institute of Technology; National Aeronautics &amp; Space Administration (NASA); NASA Jet Propulsion Laboratory (JPL)</t>
  </si>
  <si>
    <t>Sander, SP (corresponding author), CALTECH, Jet Prop Lab, Pasadena, CA 91125 USA.</t>
  </si>
  <si>
    <t>Stanley.P.Sander@jpl.nasa.gov</t>
  </si>
  <si>
    <t>Livesey, Nathaniel/AGQ-7257-2022; Santee, MIchelle/R-5762-2019</t>
  </si>
  <si>
    <t>National Aeronautics and Space Administration</t>
  </si>
  <si>
    <t>National Aeronautics and Space Administration(National Aeronautics &amp; Space Administration (NASA))</t>
  </si>
  <si>
    <t>Thanks to M. P. Chipperfield for developing and sharing the SLIMCAT model and to R. S. Harwood for providing production runs of SLIMCAT for every day of MLS data. Thanks to G. L. Manney and W. H. Daffer for development and production of the MLS derived meteorological products. We are grateful for an extremely insightful and constructive review. Work at the Jet Propulsion Laboratory, California Institute of Technology, was done under contract with the National Aeronautics and Space Administration.</t>
  </si>
  <si>
    <t>NATL ACAD SCIENCES</t>
  </si>
  <si>
    <t>2101 CONSTITUTION AVE NW, WASHINGTON, DC 20418 USA</t>
  </si>
  <si>
    <t>0027-8424</t>
  </si>
  <si>
    <t>P NATL ACAD SCI USA</t>
  </si>
  <si>
    <t>Proc. Natl. Acad. Sci. U. S. A.</t>
  </si>
  <si>
    <t>10.1073/pnas.0912659107</t>
  </si>
  <si>
    <t>Multidisciplinary Sciences</t>
  </si>
  <si>
    <t>Science &amp; Technology - Other Topics</t>
  </si>
  <si>
    <t>583AC</t>
  </si>
  <si>
    <t>Green Published</t>
  </si>
  <si>
    <t>WOS:000276642100008</t>
  </si>
  <si>
    <t>Bailey, E; Feltham, DL; Sammonds, PR</t>
  </si>
  <si>
    <t>Bailey, E.; Feltham, D. L.; Sammonds, P. R.</t>
  </si>
  <si>
    <t>A model for the consolidation of rafted sea ice</t>
  </si>
  <si>
    <t>THERMODYNAMIC MODEL; THICKNESS</t>
  </si>
  <si>
    <t>Rafting is one of the important deformation mechanisms of sea ice. This process is widespread in the north Caspian Sea, where multiple rafting produces thick sea ice features, which are a hazard to offshore operations. Here we present a one-dimensional, thermal consolidation model for rafted sea ice. We consider the consolidation between the layers of both a two-layer and a three-layer section of rafted sea ice. The rafted ice is assumed to be composed of layers of sea ice of equal thickness, separated by thin layers of ocean water. Results show that the thickness of the liquid layer reduced asymptotically with time, such that there always remained a thin saline liquid layer. We propose that when the liquid layer is equal to the surface roughness the adjacent layers can be considered consolidated. Using parameters representative of the north Caspian, the Arctic, and the Antarctic, our results show that for a choice of standard parameters it took under 15 h for two layers of rafted sea ice to consolidate. Sensitivity studies showed that the consolidation model is highly sensitive to the initial thickness of the liquid layer, the fraction of salt release during freezing, and the height of the surface asperities. We believe that further investigation of these parameters is needed before any concrete conclusions can be drawn about rate of consolidation of rafted sea ice features.</t>
  </si>
  <si>
    <t>[Bailey, E.; Feltham, D. L.] UCL, Dept Earth Sci, Rock &amp; Ice Phys Lab, Ctr Polar Observat &amp; Modelling,Natl Ctr Earth Obs, London WC1E 6BT, England; [Feltham, D. L.] British Antarctic Survey, Cambridge CB3 0ET, England</t>
  </si>
  <si>
    <t>University of London; University College London; UK Research &amp; Innovation (UKRI); Natural Environment Research Council (NERC); NERC British Antarctic Survey</t>
  </si>
  <si>
    <t>Bailey, E (corresponding author), UCL, Dept Earth Sci, Rock &amp; Ice Phys Lab, Ctr Polar Observat &amp; Modelling,Natl Ctr Earth Obs, Gower St, London WC1E 6BT, England.</t>
  </si>
  <si>
    <t>e.bailey@ucl.ac.uk</t>
  </si>
  <si>
    <t>Achterberg, Eric P/C-5820-2009</t>
  </si>
  <si>
    <t>Feltham, Daniel/0000-0003-2289-014X</t>
  </si>
  <si>
    <t>UK Natural Environment Research Council; Leverhulme Trust; Natural Environment Research Council [earth010006, bas010011, cpom20001, NE/E014259/1, bas0100028] Funding Source: researchfish; NERC [bas010011, bas0100028, NE/E014259/1, cpom20001] Funding Source: UKRI</t>
  </si>
  <si>
    <t>UK Natural Environment Research Council(UK Research &amp; Innovation (UKRI)Natural Environment Research Council (NERC)); Leverhulme Trust(Leverhulme Trust); Natural Environment Research Council(UK Research &amp; Innovation (UKRI)Natural Environment Research Council (NERC)); NERC(UK Research &amp; Innovation (UKRI)Natural Environment Research Council (NERC))</t>
  </si>
  <si>
    <t>We would like to thank Derek Mayne for many useful discussions. Support for this research was provided by the UK Natural Environment Research Council. D. L. Feltham would like to thank the Leverhulme Trust for financial support.</t>
  </si>
  <si>
    <t>APR 9</t>
  </si>
  <si>
    <t>C04015</t>
  </si>
  <si>
    <t>10.1029/2008JC005103</t>
  </si>
  <si>
    <t>581SY</t>
  </si>
  <si>
    <t>Bronze, Green Accepted</t>
  </si>
  <si>
    <t>WOS:000276546000001</t>
  </si>
  <si>
    <t>Adhikari, L; Wang, Z; Liu, D</t>
  </si>
  <si>
    <t>Adhikari, Loknath; Wang, Zhien; Liu, Dong</t>
  </si>
  <si>
    <t>Microphysical properties of Antarctic polar stratospheric clouds and their dependence on tropospheric cloud systems</t>
  </si>
  <si>
    <t>NITRIC-ACID TRIHYDRATE; LIDAR OBSERVATIONS; ARCTIC STRATOSPHERE; SULFATE AEROSOLS; OZONE DEPLETION; PARTICLES; WINTER; NAT; DENITRIFICATION; CLIMATOLOGY</t>
  </si>
  <si>
    <t>Cloud-Aerosol Lidar and Infrared Pathfinder Satellite Observation (CALIPSO) and CloudSat satellite measurements are used to investigate the impact of tropospheric high and deep clouds on the microphysical properties of polar stratospheric clouds (PSCs) over Antarctica during the 2006 and 2007 winters. Based on the attenuated lidar scattering ratio and PSC depolarization ratio (delta'), PSCs are classified into supercooled ternary solution (STS), Mix 1, Mix 2, and ice classes with significantly different microphysical properties in terms of the PSC backscattering coefficient (beta(532)) for 532 nm, the color ratio (beta(1064)/beta(532)), and delta'. In the early stages of the PSC season, STS accounts for more than 50% of the total PSCs, but the Mix 1, Mix 2, and ice classes become more common in the late season. During the late PSC season, close to 70% of PSCs are formed in association with high and deep tropospheric cloud systems, indicating the important role of tropospheric weather systems in Antarctic PSC formation. Tropospheric cloud systems also affect the microphysical properties of PSCs by affecting the relative occurrence of different PSC classes, especially during September and October. Our results also show that there are noticeable differences in color ratio and beta(532) (at the 0.05 significance level) for the ice class and Mix 2 (late season only) for PSCs associated and not associated with high and deep tropospheric cloud systems. These results indicate that the impact of tropospheric meteorology on PSC formation should be fully considered to better understand interannual variations and recovery of the Antarctic ozone hole.</t>
  </si>
  <si>
    <t>[Adhikari, Loknath; Wang, Zhien; Liu, Dong] Univ Wyoming, Dept Atmospher Sci, Laramie, WY 82071 USA; [Liu, Dong] Chinese Acad Sci, Key Lab Atmospher Composit &amp; Opt Radiat, Hefei, Peoples R China</t>
  </si>
  <si>
    <t>University of Wyoming; Chinese Academy of Sciences</t>
  </si>
  <si>
    <t>Adhikari, L (corresponding author), Univ Wyoming, Dept Atmospher Sci, 1000 E Univ Ave, Laramie, WY 82071 USA.</t>
  </si>
  <si>
    <t>zwang@uwyo.edu</t>
  </si>
  <si>
    <t>Wang, Zhien/AAB-1528-2021; Wang, Zhien/F-4857-2011; LIU, Dong/AAS-3616-2021; Wang, Zhien/AAN-2341-2020</t>
  </si>
  <si>
    <t>Wang, Zhien/0000-0003-3871-3834; LIU, Dong/0000-0001-6708-9845;</t>
  </si>
  <si>
    <t>NASA [NNX07AQ83G]</t>
  </si>
  <si>
    <t>NASA(National Aeronautics &amp; Space Administration (NASA))</t>
  </si>
  <si>
    <t>This research was funded by NASA grant NNX07AQ83G. Many thanks go to CALIPSO PIs Dave Winkler and Charles Trepte, CloudSat PIs Graeme Stephens and Deborah Vane, and the CALIPSO/CloudSat data group. We are also grateful to the anonymous reviewers whose comments led to improvements in this paper.</t>
  </si>
  <si>
    <t>APR 8</t>
  </si>
  <si>
    <t>D00H18</t>
  </si>
  <si>
    <t>10.1029/2009JD012125</t>
  </si>
  <si>
    <t>698HP</t>
  </si>
  <si>
    <t>WOS:000285585200001</t>
  </si>
  <si>
    <t>Maniscalco, JM; Springer, AM; Parker, P</t>
  </si>
  <si>
    <t>Maniscalco, John M.; Springer, Alan M.; Parker, Pamela</t>
  </si>
  <si>
    <t>High Natality Rates of Endangered Steller Sea Lions in Kenai Fjords, Alaska and Perceptions of Population Status in the Gulf of Alaska</t>
  </si>
  <si>
    <t>PLOS ONE</t>
  </si>
  <si>
    <t>ANTARCTIC FUR SEALS; SEQUENTIAL MEGAFAUNAL COLLAPSE; MATERNAL ATTENDANCE PATTERNS; PUPS EUMETOPIAS-JUBATUS; NORTH PACIFIC-OCEAN; REPRODUCTIVE-PERFORMANCE; DECLINING POPULATION; WEDDELL SEALS; FEMALE; COSTS</t>
  </si>
  <si>
    <t>Steller sea lions experienced a dramatic population collapse of more than 80% in the late 1970s through the 1990s across their western range in Alaska. One of several competing hypotheses about the cause holds that reduced female reproductive rates (natality) substantively contributed to the decline and continue to limit recovery in the Gulf of Alaska despite the fact that there have been very few attempts to directly measure natality in this species. We conducted a longitudinal study of natality among individual Steller sea lions (n = 151) at a rookery and nearby haulouts in Kenai Fjords, Gulf of Alaska during 2003-2009. Multi-state models were built and tested in Program MARK to estimate survival, resighting, and state transition probabilities dependent on whether or not a female gave birth in the previous year. The models that most closely fit the data suggested that females which gave birth had a higher probability of surviving and giving birth in the following year compared to females that did not give birth, indicating some females are more fit than others. Natality, estimated at 69%, was similar to natality for Steller sea lions in the Gulf of Alaska prior to their decline (67%) and much greater than the published estimate for the 2000s (43%) which was hypothesized from an inferential population dynamic model. Reasons for the disparity are discussed, and could be resolved by additional longitudinal estimates of natality at this and other rookeries over changing ocean climate regimes. Such estimates would provide an appropriate assessment of a key parameter of population dynamics in this endangered species which has heretofore been lacking. Without support for depressed natality as the explanation for a lack of recovery of Steller sea lions in the Gulf of Alaska, alternative hypotheses must be more seriously considered.</t>
  </si>
  <si>
    <t>[Maniscalco, John M.; Springer, Alan M.; Parker, Pamela] Alaska SeaLife Ctr, Dept Sci, Seward, AK USA; [Springer, Alan M.] Univ Alaska Fairbanks, Inst Marine Sci, Fairbanks, AK USA</t>
  </si>
  <si>
    <t>University of Alaska System; University of Alaska Fairbanks</t>
  </si>
  <si>
    <t>Maniscalco, JM (corresponding author), Alaska SeaLife Ctr, Dept Sci, Seward, AK USA.</t>
  </si>
  <si>
    <t>john_maniscalco@alaskasealife.org</t>
  </si>
  <si>
    <t>Maniscalco, John/0000-0003-0920-327X</t>
  </si>
  <si>
    <t>National Marine Fisheries Service [NA16FX2846, NA07NMF4390312, NA09NMF4390169, NA05NMF4391148]</t>
  </si>
  <si>
    <t>National Marine Fisheries Service</t>
  </si>
  <si>
    <t>Funding for this study was provided by grants (Nos. NA16FX2846, NA07NMF4390312, NA09NMF4390169, NA05NMF4391148) to the Alaska SeaLife Center from the National Marine Fisheries Service.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</si>
  <si>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</si>
  <si>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</si>
  <si>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</si>
  <si>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</si>
  <si>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</si>
  <si>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e10076</t>
  </si>
  <si>
    <t>10.1371/journal.pone.0010076</t>
  </si>
  <si>
    <t>580WT</t>
  </si>
  <si>
    <t>Green Published, gold, Green Submitted</t>
  </si>
  <si>
    <t>WOS:000276482000012</t>
  </si>
  <si>
    <t>Style, RW; Worster, MG</t>
  </si>
  <si>
    <t>Style, Robert W.; Worster, M. Grae</t>
  </si>
  <si>
    <t>Linear stability of a solid-vapour interface</t>
  </si>
  <si>
    <t>PROCEEDINGS OF THE ROYAL SOCIETY A-MATHEMATICAL PHYSICAL AND ENGINEERING SCIENCES</t>
  </si>
  <si>
    <t>vapour deposition; frost flowers; linear stability</t>
  </si>
  <si>
    <t>FROST FLOWER GROWTH; ICE</t>
  </si>
  <si>
    <t>We investigate a system consisting of a condensed phase in contact with its vapour. We derive similarity solutions for vapour and temperature profiles and calculate the condition for the presence of vapour supersaturation adjacent to the condensed phase. We analyse the linear stability of a solid-vapour interface with varying atmospheric conditions. The instability is qualitatively similar to the Mullins-Sekerka instability in binary alloys but the results highlight the important parameters for the solid/vapour problem. We derive the neutral stability condition and results are applied to frost flowers, which are small hoar-frost-like crystals that grow on sea ice, and to physical vapour deposition. The results are applicable to many problems in the wide field of condensed-phase/vapour systems.</t>
  </si>
  <si>
    <t>[Style, Robert W.; Worster, M. Grae] Univ Cambridge, Dept Appl Math &amp; Theoret Phys, Inst Theoret Geophys, Ctr Math Sci, Cambridge CB3 0WA, England</t>
  </si>
  <si>
    <t>University of Cambridge</t>
  </si>
  <si>
    <t>Style, RW (corresponding author), Univ Cambridge, Dept Appl Math &amp; Theoret Phys, Inst Theoret Geophys, Ctr Math Sci, Wilberforce Rd, Cambridge CB3 0WA, England.</t>
  </si>
  <si>
    <t>style@maths.ox.ac.uk</t>
  </si>
  <si>
    <t>Style, Robert/0000-0001-5305-7658; Worster, Michael Grae/0000-0002-9248-2144</t>
  </si>
  <si>
    <t>Natural Environment Research Council</t>
  </si>
  <si>
    <t>Natural Environment Research Council(UK Research &amp; Innovation (UKRI)Natural Environment Research Council (NERC))</t>
  </si>
  <si>
    <t>This work was supported by a Case studentship from the Natural Environment Research Council in collaboration with the British Antarctic Survey.</t>
  </si>
  <si>
    <t>ROYAL SOC</t>
  </si>
  <si>
    <t>LONDON</t>
  </si>
  <si>
    <t>6-9 CARLTON HOUSE TERRACE, LONDON SW1Y 5AG, ENGLAND</t>
  </si>
  <si>
    <t>1364-5021</t>
  </si>
  <si>
    <t>1471-2946</t>
  </si>
  <si>
    <t>P ROY SOC A-MATH PHY</t>
  </si>
  <si>
    <t>Proc. R. Soc. A-Math. Phys. Eng. Sci.</t>
  </si>
  <si>
    <t>10.1098/rspa.2009.0496</t>
  </si>
  <si>
    <t>560VN</t>
  </si>
  <si>
    <t>WOS:000274932000004</t>
  </si>
  <si>
    <t>Boessenkool, S; Star, B; Scofield, RP; Seddon, PJ; Waters, JM</t>
  </si>
  <si>
    <t>Boessenkool, Sanne; Star, Bastiaan; Scofield, R. Paul; Seddon, Philip J.; Waters, Jonathan M.</t>
  </si>
  <si>
    <t>Lost in translation or deliberate falsification? Genetic analyses reveal erroneous museum data for historic penguin specimens</t>
  </si>
  <si>
    <t>PROCEEDINGS OF THE ROYAL SOCIETY B-BIOLOGICAL SCIENCES</t>
  </si>
  <si>
    <t>historic specimens; Megadyptes antipodes; New Zealand; error; fraud; assignment test</t>
  </si>
  <si>
    <t>EFFECTIVE POPULATION-SIZE; MEGADYPTES-ANTIPODES; MICROSATELLITE LOCI; BIRD SPECIMENS; NEW-ZEALAND; DNA; ERRORS; PCR; AMPLIFICATION; COLLECTIONS</t>
  </si>
  <si>
    <t>Historic museum specimens are increasingly used to answer a wide variety of questions in scientific research. Nevertheless, the scientific value of these specimens depends on the authenticity of the data associated with them. Here we use individual-based genetic analyses to demonstrate erroneous locality information for archive specimens from the late nineteenth century. Specifically, using 10 microsatellite markers, we analysed 350 contemporary and 43 historic yellow-eyed penguin (Megadyptes antipodes) specimens from New Zealand's South Island and sub-Antarctic regions. Factorial correspondence analysis and an assignment test strongly suggest that eight of the historic specimens purportedly of sub-Antarctic origin were in fact collected from the South Island. Interestingly, all eight specimens were obtained by the same collector, and all are currently held in the same museum collection. Further inspection of the specimen labels and evaluation of sub-Antarctic voyages did not reveal whether the erroneous data are caused by incorrect labelling or whether deliberate falsification was at play. This study highlights a promising extension to the well-known applications of assignment tests in molecular ecology, which can complement methods that are currently being applied for error detection in specimen data. Our results also serve as a warning to all who use archive specimens to invest time in the verification of collection information.</t>
  </si>
  <si>
    <t>[Boessenkool, Sanne; Seddon, Philip J.; Waters, Jonathan M.] Univ Otago, Dept Zool, Dunedin 9016, New Zealand; [Star, Bastiaan] Univ Oslo, Dept Biol, Ctr Ecol &amp; Evolutionary Synth, N-0316 Oslo, Norway; [Scofield, R. Paul] Canterbury Museum, Christchurch 8013, New Zealand</t>
  </si>
  <si>
    <t>University of Otago; University of Oslo</t>
  </si>
  <si>
    <t>Boessenkool, S (corresponding author), Univ Oslo, Nat Hist Museum, Natl Ctr Biosystemat, POB 1172, NO-0318 Oslo, Norway.</t>
  </si>
  <si>
    <t>sanneboessenkool@gmail.com</t>
  </si>
  <si>
    <t>Scofield, R. Paul/A-4271-2011; Waters, Jonathan/B-4983-2009; Seddon, Philip/G-8659-2011; Boessenkool, Sanne/K-4274-2017</t>
  </si>
  <si>
    <t>Scofield, R. Paul/0000-0002-7510-6980; Waters, Jonathan/0000-0002-1514-7916; Seddon, Philip/0000-0001-9076-9566; Boessenkool, Sanne/0000-0001-8033-1165; Star, Bastiaan/0000-0003-0235-9810</t>
  </si>
  <si>
    <t>Department of Zoology, University of Otago</t>
  </si>
  <si>
    <t>We are very grateful to the Auckland Museum, American Museum of Natural History, Australian Museum, Museum of Comparative Zoology, Natural History Museum Geneva, Natural History Museum Tring, Natural History Museum Paris, Museum of New Zealand Te Papa Tongarewa, Natural History Museum Vienna, Swedish Museum of Natural History, Otago Museum, South Australian Museum, Smithsonian Institution, Museum fur Naturkunde Berlin and C. Millar for supplying tissue samples of historic specimens. We are greatly indebted to Mary LeCroy and Paul Sweet from the American Natural history Museum. We thank the New Zealand Department of Conservation for help with collecting contemporary samples, and Tania King for guidance in the laboratory. This research was supported by the Department of Zoology, University of Otago, including PBRF Research Enhancement Grants to P. J. S. and J.M.W.</t>
  </si>
  <si>
    <t>0962-8452</t>
  </si>
  <si>
    <t>P ROY SOC B-BIOL SCI</t>
  </si>
  <si>
    <t>Proc. R. Soc. B-Biol. Sci.</t>
  </si>
  <si>
    <t>APR 7</t>
  </si>
  <si>
    <t>10.1098/rspb.2009.1837</t>
  </si>
  <si>
    <t>Biology; Ecology; Evolutionary Biology</t>
  </si>
  <si>
    <t>Life Sciences &amp; Biomedicine - Other Topics; Environmental Sciences &amp; Ecology; Evolutionary Biology</t>
  </si>
  <si>
    <t>559WH</t>
  </si>
  <si>
    <t>WOS:000274858500011</t>
  </si>
  <si>
    <t>Beaulieu, M; Ropert-Coudert, Y; Le Maho, Y; Ancel, A; Criscuolo, F</t>
  </si>
  <si>
    <t>Beaulieu, Michael; Ropert-Coudert, Yan; Le Maho, Yvon; Ancel, Andre; Criscuolo, Francois</t>
  </si>
  <si>
    <t>Foraging in an oxidative environment: relationship between δ13C values and oxidative status in Adelie penguins</t>
  </si>
  <si>
    <t>foraging; stable isotope; oxidative stress; seabirds</t>
  </si>
  <si>
    <t>FEMALE WANDERING ALBATROSSES; POLYUNSATURATED FATTY-ACIDS; STABLE-ISOTOPES; ANTARCTIC WATERS; PELAGIC SEABIRD; ECOLOGY; STRESS; STRATEGIES; CARBON; BIRD</t>
  </si>
  <si>
    <t>The alternation of short/coastal and long/pelagic foraging trips has been proposed as a strategy for seabirds to reconcile self-feeding and parental care. Both types of foraging trips may result in different foraging efforts and diet qualities, and consequently are likely to modify the oxidative status of seabirds. We examined the relationship between the oxidative status of Adelie penguins and (i) the duration of their foraging trips and (ii) their plasma delta C-13 values reflecting their spatial distribution. The oxidative status did not correlate with the foraging trip duration but with the delta C-13 values: high values being associated with high levels of oxidative damage. This relationship is likely to be related to the prey properties of penguins as both parameters are largely determined by the diet. Two non-exclusive hypotheses can be proposed to explain this relationship: (i) penguins foraging in coastal areas feed on a diet enriched in C-13 and depleted in antioxidant compounds; (ii) birds with low antioxidant capacity are constrained to forage in coastal areas. Our study is the first to show that the adoption of different foraging strategies is associated with different levels of oxidative stress. However, further studies are needed to investigate the underlying mechanisms of this intriguing relationship.</t>
  </si>
  <si>
    <t>[Beaulieu, Michael; Ropert-Coudert, Yan; Le Maho, Yvon; Ancel, Andre; Criscuolo, Francois] CNRS UdS, Dept Ecol Physiol &amp; Ethol, Inst Pluridisciplinaire Hubert Curien, F-67087 Strasbourg, France</t>
  </si>
  <si>
    <t>Centre National de la Recherche Scientifique (CNRS); Universites de Strasbourg Etablissements Associes; Universite de Strasbourg</t>
  </si>
  <si>
    <t>Beaulieu, M (corresponding author), CNRS UdS, Dept Ecol Physiol &amp; Ethol, Inst Pluridisciplinaire Hubert Curien, 23 Rue Becquerel, F-67087 Strasbourg, France.</t>
  </si>
  <si>
    <t>michael.beaulieu@c-strasbourg.fr</t>
  </si>
  <si>
    <t>Beaulieu, Michaël/A-5261-2011</t>
  </si>
  <si>
    <t>Beaulieu, Michaël/0000-0002-9948-269X</t>
  </si>
  <si>
    <t>French Polar Institute Paul-Emile Victor (IPEV); Terres Australes et Antarctiques Francaises (TAAF)</t>
  </si>
  <si>
    <t>This study was approved and supported by the French Polar Institute Paul-Emile Victor (IPEV) and the Terres Australes et Antarctiques Francaises (TAAF). We are grateful to T. Raclot, D. Lazin and A. M. Thierry for their great help in the field and to L. Joassard for isotopic measurements.</t>
  </si>
  <si>
    <t>10.1098/rspb.2009.1881</t>
  </si>
  <si>
    <t>Green Published, Bronze</t>
  </si>
  <si>
    <t>WOS:000274858500015</t>
  </si>
  <si>
    <t>Rodger, CJ; Clilverd, MA; Green, JC; Lam, MM</t>
  </si>
  <si>
    <t>Rodger, Craig J.; Clilverd, Mark A.; Green, Janet C.; Lam, Mai Mai</t>
  </si>
  <si>
    <t>Use of POES SEM-2 observations to examine radiation belt dynamics and energetic electron precipitation into the atmosphere</t>
  </si>
  <si>
    <t>JOURNAL OF GEOPHYSICAL RESEARCH-SPACE PHYSICS</t>
  </si>
  <si>
    <t>SOLAR-WIND; RELATIVISTIC ELECTRONS; ACCELERATION; POPULATION</t>
  </si>
  <si>
    <t>The coupling of the Van Allen radiation belts to the Earth's atmosphere through precipitating particles is an area of intense scientific interest. Currently, there are significant uncertainties surrounding the precipitating characteristics of medium energy electrons (&gt; 20 keV), and even more uncertainties for relativistic electrons. In this paper we examine roughly 10 years of measurements of trapped and precipitating electrons available from the Polar Orbiting Environmental Satellites (POES)/Space Environment Monitor (SEM-2), which has provided long-term global data in this energy range. We show that the POES SEM-2 detectors suffer from some contamination issues that complicate the understanding of the measurements, but that the observations provide insight into the precipitation of energetic electrons from the radiation belts, and may be developed into a useful climatology for medium energy electrons. Electron contamination also allows POES/SEM-2 to provide unintended observations of &gt; 700 keV relativistic electrons. Finally, there is an energy-dependent time delay observed in the POES/SEM-2 observations, with the relativistic electron enhancement (electrons &gt; 800 keV) delayed by approximately one week relative to the &gt; 30 keV electron enhancement, probably due to the timescales of the acceleration processes. Observations of trapped relativistic electron fluxes near the geomagnetic equator by GOES show similar delays, indicating a coherency to the radiation belts at high and low orbits, and also a strong link between trapped and precipitating particle fluxes. Such large delays should have consequences for the timing of the atmospheric impact of geomagnetic storms.</t>
  </si>
  <si>
    <t>[Rodger, Craig J.] Univ Otago, Dept Phys, Dunedin, New Zealand; [Clilverd, Mark A.; Lam, Mai Mai] British Antarctic Survey, Phys Sci Div, Cambridge CB3 0ET, England; [Green, Janet C.] NOAA, Space Weather Predict Ctr, Boulder, CO 80305 USA</t>
  </si>
  <si>
    <t>University of Otago; UK Research &amp; Innovation (UKRI); Natural Environment Research Council (NERC); NERC British Antarctic Survey; National Oceanic Atmospheric Admin (NOAA) - USA</t>
  </si>
  <si>
    <t>Rodger, CJ (corresponding author), Univ Otago, Dept Phys, Dunedin, New Zealand.</t>
  </si>
  <si>
    <t>crodger@physics.otago.ac.nz</t>
  </si>
  <si>
    <t>Rodger, Craig/A-1501-2011</t>
  </si>
  <si>
    <t>Rodger, Craig J./0000-0002-6770-2707</t>
  </si>
  <si>
    <t>NERC [bas0100023] Funding Source: UKRI; STFC [PP/E000983/1] Funding Source: UKRI; Natural Environment Research Council [bas0100023] Funding Source: researchfish; Science and Technology Facilities Council [PP/E000983/1] Funding Source: researchfish</t>
  </si>
  <si>
    <t>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</si>
  <si>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2169-9380</t>
  </si>
  <si>
    <t>2169-9402</t>
  </si>
  <si>
    <t>J GEOPHYS RES-SPACE</t>
  </si>
  <si>
    <t>J. Geophys. Res-Space Phys.</t>
  </si>
  <si>
    <t>APR 3</t>
  </si>
  <si>
    <t>A04202</t>
  </si>
  <si>
    <t>10.1029/2008JA014023</t>
  </si>
  <si>
    <t>Astronomy &amp; Astrophysics</t>
  </si>
  <si>
    <t>578TO</t>
  </si>
  <si>
    <t>Green Accepted</t>
  </si>
  <si>
    <t>WOS:000276318800001</t>
  </si>
  <si>
    <t>Suparta, W; Yatim, B; Ali, MAM</t>
  </si>
  <si>
    <t>Suparta, Wayan; Yatim, Baharudin; Ali, Mohd A. Mohd</t>
  </si>
  <si>
    <t>Solar Forcing on Antarctic Terrestrial Climate: A Study by Means of GPS Observations</t>
  </si>
  <si>
    <t>ACTA GEOPHYSICA</t>
  </si>
  <si>
    <t>Antarctica; Antarctic climate; precipitable water vapor; solar-geomagnetic storm; total electron content</t>
  </si>
  <si>
    <t>ATMOSPHERIC WATER-VAPOR; VARIABILITY; CYCLE; METEOROLOGY; FLARE</t>
  </si>
  <si>
    <t>With a view to difficulties with explaining the physical mechanism of solar forcing on the Earth's climate, we applied a new approach of determining and quantifying an influence of solar-related events on water vapor variability by correlating the total electron content (TEC) and precipitable water vapor (PWV), both derived from ground-based GPS observations. In this study, ionospheric TEC and atmospheric PWV values are employed as solar activity and terrestrial climate parameters, respectively. Three-year GPS data at five stations in Antarctica are analyzed on a daily mean basis. Results show significant correlation between TEC and PWV differences during storms-affected days. The high correlation between the daily mean values of TEC and PWV, both of which follow the seasonal signals and subsisting downward trend, suggests an influence of solar activity on climate variability in Antarctica. These quantities are determined by changes of the upper-atmosphere level, which varies in conformity with the zenith angle of the Sun.</t>
  </si>
  <si>
    <t>[Suparta, Wayan; Yatim, Baharudin; Ali, Mohd A. Mohd] Univ Kebangsaan Malaysia, Inst Space Sci, Bangi 43600, Malaysia; [Ali, Mohd A. Mohd] Univ Kebangsaan Malaysia, Dept Elect Elect &amp; Syst Engn, Bangi 43600, Malaysia</t>
  </si>
  <si>
    <t>Universiti Kebangsaan Malaysia; Universiti Kebangsaan Malaysia</t>
  </si>
  <si>
    <t>Suparta, W (corresponding author), Univ Kebangsaan Malaysia, Inst Space Sci, Bangi 43600, Malaysia.</t>
  </si>
  <si>
    <t>wayan@ukm.my; baha@ukm.my; mama@eng.ukm.my</t>
  </si>
  <si>
    <t>ALI, MOHD/IUM-6916-2023; SUPARTA, WAYAN/K-3110-2013</t>
  </si>
  <si>
    <t>SUPARTA, WAYAN/0000-0002-6193-1867</t>
  </si>
  <si>
    <t>Academy of Sciences of Malaysia, Ministry of Science, Technology and Innovation of Malaysia (MOSTI); Universiti Kebangsaan, Malaysia (UKM)</t>
  </si>
  <si>
    <t>Academy of Sciences of Malaysia, Ministry of Science, Technology and Innovation of Malaysia (MOSTI)(Ministry of Energy, Science, Technology, Environment and Climate Change (MESTECC), Malaysia); Universiti Kebangsaan, Malaysia (UKM)</t>
  </si>
  <si>
    <t>This work was supported by the Academy of Sciences of Malaysia, Ministry of Science, Technology and Innovation of Malaysia (MOSTI) and the Universiti Kebangsaan, Malaysia (UKM). We would like to thank the Antarctica New Zealand (ANZ) and the National Institute of Water and Atmospheric Research Ltd., New Zealand (NIWA) for maintaining the GPS and surface meteorological data, the NOAA/SEC, SIDC and SpaceWx (SET) for solar indices data, the Scripps Orbit and Permanent Array Center (SOPAC) for providing the GPS data archives, Dr. Tamer Ata who kindly supplied the solar flare index data, the Australian Antarctic Data Center (AADC) and the British Antarctic Survey (BAS) for providing the surface meteorological data. The author would also like to thank Szymon Malinowski for invaluable editor's advice, and the comments from anonymous reviewers which were very helpful.</t>
  </si>
  <si>
    <t>SPRINGER INTERNATIONAL PUBLISHING AG</t>
  </si>
  <si>
    <t>CHAM</t>
  </si>
  <si>
    <t>GEWERBESTRASSE 11, CHAM, CH-6330, SWITZERLAND</t>
  </si>
  <si>
    <t>1895-6572</t>
  </si>
  <si>
    <t>1895-7455</t>
  </si>
  <si>
    <t>ACTA GEOPHYS</t>
  </si>
  <si>
    <t>Acta Geophys.</t>
  </si>
  <si>
    <t>APR</t>
  </si>
  <si>
    <t>10.2478/s11600-009-0035-4</t>
  </si>
  <si>
    <t>Geochemistry &amp; Geophysics</t>
  </si>
  <si>
    <t>575YJ</t>
  </si>
  <si>
    <t>WOS:000276109000010</t>
  </si>
  <si>
    <t>Zhu, YL; Wang, HJ</t>
  </si>
  <si>
    <t>Zhu Yali; Wang Huijun</t>
  </si>
  <si>
    <t>The Arctic and Antarctic Oscillations in the IPCC AR4 Coupled Models</t>
  </si>
  <si>
    <t>ACTA METEOROLOGICA SINICA</t>
  </si>
  <si>
    <t>Antarctic oscillation; Arctic oscillation; IPCC; coupled model; annular mode</t>
  </si>
  <si>
    <t>SOUTHERN-HEMISPHERE CLIMATE; ZONAL FLOW FEEDBACK; ANNULAR MODES; EXTRATROPICAL CIRCULATION; TRENDS; VARIABILITY; SIGNATURE; WINTER</t>
  </si>
  <si>
    <t>This study evaluates the fidelity of Arctic and Antarctic oscillations (AO and AAO for short, respectively) in the coupled general circulation models participating in the Fourth Assessment Report of Intergovernmental Panel on Climate Change (IPCC AR4). The AO and AAO during 1970-1999 in 24 models are analyzed and compared with that in ERA-40 and NCEP-1. Models' performance is seasonally dependent, with best reproducibility of both spatial structure and trend in winter. In most models, the spatial pattern and temporal trend of AAO during this period are more delicately simulated than AO. After picking out models with better performance according to the Taylor diagram, we find that their ensemble mean can obviously improve models' reproducibility. The AO and AAO in the Special Report on Emission Scenarios (SRES) A1B Projection during the 21st century are also briefly analyzed. The results reveal that both the AO and AAO indices keep increasing during 1970-2099, with a steadier pace of AO than AAO. The spatial difference of sea level pressure between 2060-2089 and 1970-1999 shows decreased values in polar regions, and increased values in midlatitudes. The results manifest that the ozone recovery during the mid 21st century may not weaken such a trend.</t>
  </si>
  <si>
    <t>[Zhu Yali; Wang Huijun] Chinese Acad Sci, Inst Atmospher Phys, Nansen Zhu Int Res Ctr, Beijing 100029, Peoples R China; [Zhu Yali] Chinese Acad Sci, Grad Sch, Beijing 100049, Peoples R China; [Zhu Yali; Wang Huijun] Chinese Acad Sci, Climate Change Res Ctr, Beijing 100029, Peoples R China</t>
  </si>
  <si>
    <t>Chinese Academy of Sciences; Institute of Atmospheric Physics, CAS; Chinese Academy of Sciences; University of Chinese Academy of Sciences, CAS; Chinese Academy of Sciences</t>
  </si>
  <si>
    <t>Zhu, YL (corresponding author), Chinese Acad Sci, Inst Atmospher Phys, Nansen Zhu Int Res Ctr, Beijing 100029, Peoples R China.</t>
  </si>
  <si>
    <t>zhuyl@mail.iap.ac.cn</t>
  </si>
  <si>
    <t>National Natural Science Foundation of China [40523001, 40631005]; Chinese Academy of Sciences [KZCX2-YW-Q1-02, KZCX2-YW-Q11-05]</t>
  </si>
  <si>
    <t>National Natural Science Foundation of China(National Natural Science Foundation of China (NSFC)); Chinese Academy of Sciences(Chinese Academy of Sciences)</t>
  </si>
  <si>
    <t>Supported by the National Natural Science Foundation of China under Grant Nos. 40523001 and 40631005, and Chinese Academy of Sciences under Grant Nos. KZCX2-YW-Q1-02 and KZCX2-YW-Q11-05.</t>
  </si>
  <si>
    <t>SPRINGER HEIDELBERG</t>
  </si>
  <si>
    <t>HEIDELBERG</t>
  </si>
  <si>
    <t>TIERGARTENSTRASSE 17, D-69121 HEIDELBERG, GERMANY</t>
  </si>
  <si>
    <t>0894-0525</t>
  </si>
  <si>
    <t>ACTA METEOROL SIN</t>
  </si>
  <si>
    <t>Acta Meteorol. Sin.</t>
  </si>
  <si>
    <t>612YV</t>
  </si>
  <si>
    <t>WOS:000278942900004</t>
  </si>
  <si>
    <t>Reisinger, RR; Bester, MN</t>
  </si>
  <si>
    <t>Reisinger, Ryan R.; Bester, Marthan N.</t>
  </si>
  <si>
    <t>Goose barnacles on seals and a penguin at Gough Island</t>
  </si>
  <si>
    <t>AFRICAN ZOOLOGY</t>
  </si>
  <si>
    <t>Editorial Material</t>
  </si>
  <si>
    <t>goose barnacle; Lepas australis; elephant seal; fur seals; rockhopper penguin; Gough Island</t>
  </si>
  <si>
    <t>POPULATION TRENDS; SOUTHERN; CIRRIPEDIA</t>
  </si>
  <si>
    <t>During a survey of seals in September and October 2009 at Gough Island, South Atlantic Ocean, we recorded goose barnacles (Lepas australis) attached to the pelage of two of the 12 elephant seals (Mirounga leonina) inspected and one of the seven vagrant Antarctic fur seals (Arctocephalus gaze Ha) which were found amongst the resident Subantarctic fur seals (A. tropicalis). We also recorded a goose barnacle attached to a Northern rockhopper penguin (Eudyptes chrysocome moseleyi).</t>
  </si>
  <si>
    <t>[Reisinger, Ryan R.; Bester, Marthan N.] Univ Pretoria, Dept Zool &amp; Entomol, Mammal Res Inst, ZA-0002 Pretoria, South Africa</t>
  </si>
  <si>
    <t>University of Pretoria</t>
  </si>
  <si>
    <t>Reisinger, RR (corresponding author), Univ Pretoria, Dept Zool &amp; Entomol, Mammal Res Inst, ZA-0002 Pretoria, South Africa.</t>
  </si>
  <si>
    <t>rrreisinger@zoology.up.ac.za</t>
  </si>
  <si>
    <t>Reisinger, Ryan R/D-6151-2014; Bester, Marthán N/E-5387-2010</t>
  </si>
  <si>
    <t>Reisinger, Ryan R/0000-0002-8933-6875;</t>
  </si>
  <si>
    <t>TAYLOR &amp; FRANCIS LTD</t>
  </si>
  <si>
    <t>ABINGDON</t>
  </si>
  <si>
    <t>2-4 PARK SQUARE, MILTON PARK, ABINGDON OR14 4RN, OXON, ENGLAND</t>
  </si>
  <si>
    <t>1562-7020</t>
  </si>
  <si>
    <t>2224-073X</t>
  </si>
  <si>
    <t>AFR ZOOL</t>
  </si>
  <si>
    <t>Afr. Zool.</t>
  </si>
  <si>
    <t>10.3377/004.045.0109</t>
  </si>
  <si>
    <t>635YL</t>
  </si>
  <si>
    <t>Green Submitted</t>
  </si>
  <si>
    <t>WOS:000280693800014</t>
  </si>
  <si>
    <t>Hart, T; Coulson, T; Trathan, PN</t>
  </si>
  <si>
    <t>Hart, T.; Coulson, T.; Trathan, P. N.</t>
  </si>
  <si>
    <t>Time series analysis of biologging data: autocorrelation reveals periodicity of diving behaviour in macaroni penguins</t>
  </si>
  <si>
    <t>ANIMAL BEHAVIOUR</t>
  </si>
  <si>
    <t>autocorrelation; diving; Eudyptes chrysolophus; foraging strategy; macaroni penguin</t>
  </si>
  <si>
    <t>KRILL EUPHAUSIA-SUPERBA; ANTARCTIC FUR SEALS; FORAGING BEHAVIOR; DIVE PROFILES; VARIABILITY; DEPTH; ABUNDANCE; RESPONSES; ACCURACY; MOVEMENT</t>
  </si>
  <si>
    <t>The nature of how behaviour at one time step influences the next is of great interest to behavioural ecologists, but rarely used for comparisons between animals. Time depth recorders (TDR) and other archival tags have been widely used to infer patterns of diving and foraging. However, while we can extract variables that describe individual dives, how runs of dives may indicate behaviours and how one dive influences the next are not fully understood. Treating TDR data as time series, we examined patterns of autocorrelation to investigate structure in the timing of behaviour. We fitted an oscillating best-fit curve to the autocorrelation and used the parameters of this curve to investigate differences in foraging strategy of 129 macaroni penguins, Eudyptes chrysolophus, of both sexes. We found interannual differences in autocorrelation parameters as well as differences between reproductive stages. In contrast to other studies of macaroni penguin diving based on depth analysis, we found no differences between the sexes. We mimicked changes in the various parameters by simulation of dive profiles, and used these to infer biological meaning from the parameters. As this technique makes very few assumptions about how to identify a dive or cluster of dives, we suggest that it is a useful first characterization of diving or cyclical behaviour in a wide range of animals. (C) 2010 The Association for the Study of Animal Behaviour. Published by Elsevier Ltd. All rights reserved.</t>
  </si>
  <si>
    <t>[Hart, T.] Zool Soc London, Inst Zool, London NW1 4RY, England; [Hart, T.; Coulson, T.] Univ London Imperial Coll Sci Technol &amp; Med, Div Biol, Ascot SL5 7PY, Berks, England; [Hart, T.; Trathan, P. N.] British Antarctic Survey, Cambridge CB3 0ET, England</t>
  </si>
  <si>
    <t>Zoological Society of London; Imperial College London; UK Research &amp; Innovation (UKRI); Natural Environment Research Council (NERC); NERC British Antarctic Survey</t>
  </si>
  <si>
    <t>Hart, T (corresponding author), Zool Soc London, Inst Zool, Regents Pk, London NW1 4RY, England.</t>
  </si>
  <si>
    <t>tom.hart@ioz.ac.uk</t>
  </si>
  <si>
    <t>Coulson, Tim/AAL-8148-2021</t>
  </si>
  <si>
    <t>Coulson, Tim/0000-0001-9371-9003</t>
  </si>
  <si>
    <t>British Biological Sciences Research Council; British Antarctic Survey under the DISCOVERY; NERC [bas0100025] Funding Source: UKRI; Natural Environment Research Council [bas0100025] Funding Source: researchfish</t>
  </si>
  <si>
    <t>British Biological Sciences Research Council(UK Research &amp; Innovation (UKRI)Biotechnology and Biological Sciences Research Council (BBSRC)); British Antarctic Survey under the DISCOVERY; NERC(UK Research &amp; Innovation (UKRI)Natural Environment Research Council (NERC)); Natural Environment Research Council(UK Research &amp; Innovation (UKRI)Natural Environment Research Council (NERC))</t>
  </si>
  <si>
    <t>This work was funded by a British Biological Sciences Research Council studentship and by the British Antarctic Survey under the DISCOVERY 2010 core science programme. We gratefully acknowledge the help of Jane Tanton and Chris Green for data collection, and Alison Beresford for providing comments on the manuscript.</t>
  </si>
  <si>
    <t>ACADEMIC PRESS LTD- ELSEVIER SCIENCE LTD</t>
  </si>
  <si>
    <t>24-28 OVAL RD, LONDON NW1 7DX, ENGLAND</t>
  </si>
  <si>
    <t>0003-3472</t>
  </si>
  <si>
    <t>1095-8282</t>
  </si>
  <si>
    <t>ANIM BEHAV</t>
  </si>
  <si>
    <t>Anim. Behav.</t>
  </si>
  <si>
    <t>10.1016/j.anbehav.2009.12.033</t>
  </si>
  <si>
    <t>Behavioral Sciences; Zoology</t>
  </si>
  <si>
    <t>572BN</t>
  </si>
  <si>
    <t>WOS:000275801500010</t>
  </si>
  <si>
    <t>Summerhayes, C</t>
  </si>
  <si>
    <t>Summerhayes, Colin</t>
  </si>
  <si>
    <t>SCAR Makes Progress</t>
  </si>
  <si>
    <t>ANTARCTIC SCIENCE</t>
  </si>
  <si>
    <t>CAMBRIDGE UNIV PRESS</t>
  </si>
  <si>
    <t>32 AVENUE OF THE AMERICAS, NEW YORK, NY 10013-2473 USA</t>
  </si>
  <si>
    <t>0954-1020</t>
  </si>
  <si>
    <t>ANTARCT SCI</t>
  </si>
  <si>
    <t>Antarct. Sci.</t>
  </si>
  <si>
    <t>10.1017/S095410201000012X</t>
  </si>
  <si>
    <t>Environmental Sciences; Geography, Physical; Geosciences, Multidisciplinary</t>
  </si>
  <si>
    <t>Environmental Sciences &amp; Ecology; Physical Geography; Geology</t>
  </si>
  <si>
    <t>585ZF</t>
  </si>
  <si>
    <t>WOS:000276869200001</t>
  </si>
  <si>
    <t>Sinisalo, A; Moore, JC</t>
  </si>
  <si>
    <t>Sinisalo, Anna; Moore, John C.</t>
  </si>
  <si>
    <t>Antarctic blue ice areas - towards extracting palaeoclimate information</t>
  </si>
  <si>
    <t>Review</t>
  </si>
  <si>
    <t>dating methods; ice cores; ice flow modelling; radar</t>
  </si>
  <si>
    <t>DRONNING MAUD LAND; SURFACE-ENERGY BALANCE; ALLAN-HILLS; EAST ANTARCTICA; METEORITE COLLECTION; CLIMATE VARIABILITY; VOLCANIC ASH; CORE; DYNAMICS; SHEET</t>
  </si>
  <si>
    <t>We review the current scientific knowledge about Antarctic Blue Ice Areas (BIAs) with emphasis on their application for palaeoclimate studies. Substantial progress has been made since the review by Bintanja (1999), in particular dating the archive of ancient ice found on the surface of BIAs has progressed with advances in C-14 measurements, tephrachronology, and geomorphological evidence giving better constraints to more sophisticated ice flow models. Flow modelling also provides information about past changes in ice flow velocities, accumulation rates and ice sheet elevation. The availability of gas composition in vertical cores from BIAs allows matching to well-dated global records of greenhouse gas variability over the last glacial-interglacial cycle and longer. It is clear from the limited number of studies to date that BIAs from different regions have quite different histories of formation and preservation, and that they are intimately linked to the response of their surrounding ice sheets to climate variability on glacial-interglacial time-scales. Looking to the future, climate records from BIAs are expected to provide information on variations in Southern Ocean processes as well as ice sheet evolution within the East Antarctic ice sheet at the thermal transition from cold based to warm based ice.</t>
  </si>
  <si>
    <t>[Sinisalo, Anna; Moore, John C.] Arctic Ctr, Rovaniemi 96101, Finland; [Moore, John C.] Univ Oulu, Thule Inst, Oulu, Finland; [Moore, John C.] Beijing Normal Univ, Coll Global Change &amp; Earth Syst Sci, Beijing 100875, Peoples R China</t>
  </si>
  <si>
    <t>University of Oulu; Beijing Normal University</t>
  </si>
  <si>
    <t>Sinisalo, A (corresponding author), Arctic Ctr, POB 122, Rovaniemi 96101, Finland.</t>
  </si>
  <si>
    <t>a.k.sinisalo@geo.uio.no</t>
  </si>
  <si>
    <t>Moore, John C/B-2868-2013</t>
  </si>
  <si>
    <t>Moore, John C/0000-0001-8271-5787; Sinisalo, Anna/0000-0002-7587-1877</t>
  </si>
  <si>
    <t>Academy of Finland; Thule Institute; Arctic graduate school ARKTIS; Faculty of Natural Sciences, Oulu University; University Pharmacy Foundation (Oulu)</t>
  </si>
  <si>
    <t>Academy of Finland(Research Council of Finland); Thule Institute; Arctic graduate school ARKTIS; Faculty of Natural Sciences, Oulu University; University Pharmacy Foundation (Oulu)</t>
  </si>
  <si>
    <t>We would like to thank C. Hulbe, A. Grinsted and two anonymous reviewers for comments that helped us to improve the manuscript. Finnish Antarctic Research Program (FINNARP 1999-2000, 2000-01, and 2003-04) provided the logistics for the field work. In addition, many Antarctic teams provided logistical support and data collection, especially, SANAE 39 and 40, and JARE 24 and 27. This work was primarily funded by the Academy of Finland and the Thule Institute. Parts of this work were funded by the Arctic graduate school ARKTIS, and by grants from the Faculty of Natural Sciences, Oulu University and the University Pharmacy Foundation (Oulu). Figure 9 is reproduced with the kind permission of AGU.</t>
  </si>
  <si>
    <t>1365-2079</t>
  </si>
  <si>
    <t>10.1017/S0954102009990691</t>
  </si>
  <si>
    <t>WOS:000276869200002</t>
  </si>
  <si>
    <t>Jungblut, AD; Neilan, BA</t>
  </si>
  <si>
    <t>Jungblut, Anne D.; Neilan, Brett A.</t>
  </si>
  <si>
    <t>NifH gene diversity and expression in a microbial mat community on the McMurdo Ice Shelf, Antarctica</t>
  </si>
  <si>
    <t>cyanobacteria; dinitrogen reductase; meltwater pond; Nostoc</t>
  </si>
  <si>
    <t>CYANOBACTERIAL MATS; PONDS; ALIGNMENT; LIGHT</t>
  </si>
  <si>
    <t>N-2-fixation is an important mechanism in microbial mats of the McMurdo Ice Shelf as nitrogen sources are limited. Here we applied molecular analyses of the N-2-fixing diversity in cyanobacterial dominated microbial mats in a meltwater pond, known as Orange Pond, on the McMurdo Ice Shelf. Phylogenetic analyses of nifH genes and nifH gene transcripts were performed in association with acetylene reduction assay measurements. Eighteen phylotypes with the highest similarities to cyanobacteria, firmicutes, beta-, gamma- and deltaproteobacteria, spirochaetes and verrumicrobia were identified. All cyanobacterial nifH phylotypes grouped solely in the genus Nostoc spp. Clone-library analysis of nifH gene transcripts only identified sequences with a highest match to Nostoc spp. and acetylene reduction activity was identified in the presence of light and absence of 3-(3,4-dichlorophenyl)-1,1-dimethyl urea. These molecular results indicate that a variety of bacterial phyla possess the ability to fix nitrogen. However, under the tested conditions the only organisms actively transcribing nifH genes were Nostoc spp. This underlines the importance of Nostoc for the nitrogen budget on the McMurdo Ice Shelf.</t>
  </si>
  <si>
    <t>[Jungblut, Anne D.; Neilan, Brett A.] Univ New S Wales, Sch Biotechnol &amp; Biomol Sci, Sydney, NSW 2052, Australia; [Jungblut, Anne D.; Neilan, Brett A.] Univ New S Wales, Australian Ctr Astrobiol, Sydney, NSW 2052, Australia</t>
  </si>
  <si>
    <t>University of New South Wales Sydney; University of New South Wales Sydney</t>
  </si>
  <si>
    <t>Jungblut, AD (corresponding author), Univ New S Wales, Sch Biotechnol &amp; Biomol Sci, Sydney, NSW 2052, Australia.</t>
  </si>
  <si>
    <t>b.neilan@unsw.edu.au</t>
  </si>
  <si>
    <t>Neilan, Brett A/I-5767-2012</t>
  </si>
  <si>
    <t>Neilan, Brett A/0000-0001-6113-772X</t>
  </si>
  <si>
    <t>New Zealand Foundation for Research, Science and Technology; Boehringer-Ingelheim Funds; US National Science Foundation [0504072]; Australian Research Council</t>
  </si>
  <si>
    <t>New Zealand Foundation for Research, Science and Technology(New Zealand Foundation for Research, Science and Technology); Boehringer-Ingelheim Funds(Boehringer Ingelheim); US National Science Foundation(National Science Foundation (NSF)); Australian Research Council(Australian Research Council)</t>
  </si>
  <si>
    <t>We would like to thank Donna Sutherland and Ian Hawes for their help, and Antarctica New Zealand for providing logistical support during the field event of 2005, as well as for financial support from the New Zealand Foundation for Research, Science and Technology. Thanks to Reut Sorek Abramovich for assistance and Michelle Gehringer and Brendan Burns for revisions. The field event of 2005 was supported by a Boehringer-Ingelheim Funds Travel Allowance to A.D.J. Antonio Quesada is thanked for his assistance with the 2006 sampling which was made possible in part by the US National Science Foundation-sponsored International Graduate Training Course in Antarctic Biology (NSF grant No. 0504072 to D.T. Manahan). B.A.N was supported by a grant and fellowship from the Australian Research Council.</t>
  </si>
  <si>
    <t>10.1017/S0954102009990514</t>
  </si>
  <si>
    <t>WOS:000276869200003</t>
  </si>
  <si>
    <t>Lynch, HJ; Crosbie, K; Fagan, WF; Naveen, R</t>
  </si>
  <si>
    <t>Lynch, H. J.; Crosbie, K.; Fagan, W. F.; Naveen, R.</t>
  </si>
  <si>
    <t>Spatial patterns of tour ship traffic in the Antarctic Peninsula region</t>
  </si>
  <si>
    <t>Antarctica; environmental management; marine traffic; seabird conservation; tourism</t>
  </si>
  <si>
    <t>PENGUINS PYGOSCELIS-PAPUA; HUMAN DISTURBANCE; BREEDING SUCCESS; ISLAND; AREAS; SITE</t>
  </si>
  <si>
    <t>Commercial, shipborne tourism along the Antarctic Peninsula grew exponentially between 1989-90 and 2007-08, raising concern about the impact such activity may have on the environment of the region. Previous analyses of Antarctic tourism have focused narrowly on patterns of visitation and potential impacts at terrestrial landing sites. Here, using 19 years of passenger landing statistics and five years of reconstructed ship itineraries, we explore patterns of tourism activities in the Antarctic Peninsula region using a spatially explicit network theory analysis of ship itineraries. We find that passenger landings and marine traffic are highly concentrated at a few specific locations and that growth in tourism activity occurred disproportionally rapidly at these sites relative to growth in visitation of the Peninsula as a whole. We conclude by discussing the pros and cons of spatially concentrated tourism activity and the associated implications for ecosystem management.</t>
  </si>
  <si>
    <t>[Lynch, H. J.; Fagan, W. F.] Univ Maryland, Dept Biol, College Pk, MD 20742 USA; [Crosbie, K.] Int Assoc Antarctica Tour Operators, Providence, RI 02906 USA; [Naveen, R.] Oceanites Inc, Chevy Chase, MD 20825 USA</t>
  </si>
  <si>
    <t>University System of Maryland; University of Maryland College Park</t>
  </si>
  <si>
    <t>Lynch, HJ (corresponding author), Univ Maryland, Dept Biol, 3237 Biol Psychol Bldg, College Pk, MD 20742 USA.</t>
  </si>
  <si>
    <t>hlynch@umd.edu</t>
  </si>
  <si>
    <t>Lynch, Heather J/E-7371-2012</t>
  </si>
  <si>
    <t>US National Science Foundation [NSF/OPP-0739515]; Directorate For Geosciences [0739430] Funding Source: National Science Foundation; Division Of Polar Programs [0739430] Funding Source: National Science Foundation; Office of Polar Programs (OPP); Directorate For Geosciences [0739515] Funding Source: National Science Foundation</t>
  </si>
  <si>
    <t>US National Science Foundation(National Science Foundation (NSF)); Directorate For Geosciences(National Science Foundation (NSF)NSF - Directorate for Geosciences (GEO)); Division Of Polar Programs(National Science Foundation (NSF)NSF - Directorate for Geosciences (GEO)); Office of Polar Programs (OPP); Directorate For Geosciences(National Science Foundation (NSF)NSF - Directorate for Geosciences (GEO))</t>
  </si>
  <si>
    <t>We thank Pam Toschick and two anonymous reviewers for their help reviewing the manuscript. The authors gratefully acknowledge assistance from the US National Science Foundation Office of Polar Programs (Award No. NSF/OPP-0739515).</t>
  </si>
  <si>
    <t>10.1017/S0954102009990654</t>
  </si>
  <si>
    <t>WOS:000276869200004</t>
  </si>
  <si>
    <t>Newsham, KK</t>
  </si>
  <si>
    <t>Newsham, K. K.</t>
  </si>
  <si>
    <t>The biology and ecology of the liverwort Cephaloziella varians in Antarctica</t>
  </si>
  <si>
    <t>adaptation; anthocyanidin; cryoprotection; liverwort; mycorrhiza; riccionidin A</t>
  </si>
  <si>
    <t>SOUTH SANDWICH ISLANDS; UV-B RADIATION; LEAFY LIVERWORT; MARITIME; BRYOPHYTES; RICCIONIDIN; ENVIRONMENT; EXILIFLORA; HEPATICS; FLORA</t>
  </si>
  <si>
    <t>The biology and ecology of Cephaloziella varians, the most widespread and abundant liverwort in Antarctica, are reviewed. A description of the species is given, together with information on its geographical distribution, reproduction, habitats, associated organisms and responses to environmental stresses. Characteristics of its photosynthetic physiology are also presented, including data on oxygen evolution rates and chlorophyll a fluorescence parameters. Substratum and tissue chemistry, water relations and pigments are discussed, along with recent data demonstrating that the dark pigment in the apical leaves of C. varians is the anthocyanidin riccionidin A. Recent studies showing that the ericoid mycorrhizal symbiont Rhizoscyphus ericae is present in the tissues of the plant at a wide range of locations in the maritime and sub-Antarctic are also described. It is evident, from the literature reviewed, that C. varians has several adaptations that enable it to survive in the Antarctic biome, explaining its survival at higher latitudes than any other hepatic. The species' major adaptations include the synthesis of riccionidin A in apical leaves, enabling efficient heat absorption and protection from photoinhibition, and the presence in stems and rhizoids of fungal hyphae, which are potentially beneficial to the hepatic's nutrition and possibly also synthesize cryoprotectants.</t>
  </si>
  <si>
    <t>British Antarctic Survey, NERC, Cambridge CB3 0ET, England</t>
  </si>
  <si>
    <t>UK Research &amp; Innovation (UKRI); Natural Environment Research Council (NERC); NERC British Antarctic Survey</t>
  </si>
  <si>
    <t>Newsham, KK (corresponding author), British Antarctic Survey, NERC, Madingley Rd, Cambridge CB3 0ET, England.</t>
  </si>
  <si>
    <t>kne@bas.ac.uk</t>
  </si>
  <si>
    <t>Newsham, Kevin K/C-4192-2011</t>
  </si>
  <si>
    <t>UK Natural Environment Research Council; British Antarctic Survey; NERC [bas0100025] Funding Source: UKRI; Natural Environment Research Council [bas0100025] Funding Source: researchfish</t>
  </si>
  <si>
    <t>UK Natural Environment Research Council(UK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</si>
  <si>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Ron Lewis Smith and the late David Wynn-Williams initiated my interest in C. varians. The former, along with two anonymous referees, supplied extensive and helpful comments on the manuscript. Peter Fretwell and Peter Bucktrout kindly assisted with the preparation of the figures and Tetsuo Kokubun, Rolf Maslen, Pete Convey, Rebecca Upson, Katherine Snell, Helen Peat and Richard Hall provided useful data, comments and discussions. The Analytical Chemistry Service at CEH Lancaster provided the chemical data shown in Table IV. Funding from the UK Natural Environment Research Council, in part through the British Antarctic Survey's Long Term Monitoring and Survey programme, is gratefully acknowledged.</t>
  </si>
  <si>
    <t>10.1017/S0954102009990630</t>
  </si>
  <si>
    <t>WOS:000276869200005</t>
  </si>
  <si>
    <t>Wang, XM; Yang, GP; López, D; Ferreyra, G; Lemarchand, K; Xie, HX</t>
  </si>
  <si>
    <t>Wang, Xiaomeng; Yang, Gui-Peng; Lopez, Damian; Ferreyra, Gustavo; Lemarchand, Karine; Xie, Huixiang</t>
  </si>
  <si>
    <t>Late autumn to spring changes in the inorganic and organic carbon dissolved in the water column at Scholaert Channel, West Antarctica</t>
  </si>
  <si>
    <t>bacteria; chlorophyll; gas exchange; Southern Ocean</t>
  </si>
  <si>
    <t>SURFACE WATERS; SEA-ICE; GERLACHE STRAITS; SPATIOTEMPORAL VARIABILITY; SEASONAL-VARIATION; DIOXIDE; CO2; BRANSFIELD; OXYGEN; DYNAMICS</t>
  </si>
  <si>
    <t>The temporal changes in dissolved inorganic (DIC) and organic carbon concentrations (DOC) were monitored from late autumn to spring 2006 in the Scholaert Channel, West Antarctic Peninsula. Surface DIC spanned a small range (2163.3 to 2194.5 mu mol kg(-1)), increasing from late autumn to winter and then decreasing in spring. An excess of DOC (7.0-63.6 mu mol l(-1)), against a deepwater background concentration of 44 mu mol l(-1), existed in the surface mixed layer throughout the sampling period. Mass-balance budgeting indicates that the DIC dynamics were primarily governed by remineralization in winter and by primary production in spring despite very low biomass of both autotrophic and heterotrophic organisms. The net community production (7.3 mmol C m(-2) d(-1)) in spring was mainly partitioned to DOC accumulation (3.6 mmol m(-2) d(-1)) and downward export of particulate organic carbon (POC) (2.9 mmol m(-2) d(-1) rather than POC accretion (0.8 mmol m(-2) d(-1)) in the surface mixed layer. The study area acted as a source of CO2 to the atmosphere in winter (similar to 0.8 mmol m(-2) d(-1)) and a sink in spring (2.3-5.3 mmol m(-2) d(-1)), and hence was not a one-way CO2 sink as had been previously hypothesized for marginal sea ice zones.</t>
  </si>
  <si>
    <t>[Wang, Xiaomeng; Yang, Gui-Peng] Ocean Univ China, Key Lab Marine Chem Theory &amp; Technol, Minist Educ, Qingdao 266100, Peoples R China; [Wang, Xiaomeng; Lopez, Damian; Ferreyra, Gustavo; Lemarchand, Karine; Xie, Huixiang] Univ Quebec, Inst Sci Mer Rimouski, Rimouski, PQ G5L 3A1, Canada; [Ferreyra, Gustavo] Inst Antartico Argentino, Buenos Aires, DF, Argentina</t>
  </si>
  <si>
    <t>Ocean University of China; University of Quebec; Instituto Antartico Argentino</t>
  </si>
  <si>
    <t>Wang, XM (corresponding author), Ocean Univ China, Key Lab Marine Chem Theory &amp; Technol, Minist Educ, Qingdao 266100, Peoples R China.</t>
  </si>
  <si>
    <t>huixiang_xie@uqar.qc.ca</t>
  </si>
  <si>
    <t>Yang, Gui-Peng/GZG-6468-2022; A., Damián López/A-9071-2016</t>
  </si>
  <si>
    <t>Yang, Gui-Peng/0000-0002-0107-4568; Ferreyra, Gustavo Adolfo/0000-0003-1953-5067</t>
  </si>
  <si>
    <t>Natural Sciences and Engineering Research Council of Canada [334876-2005]; Ministere du Developpement Economique, de l'Innovation et de l'Exportation du Quebec (MDEIE); Developpement Economique Canada (DEC)</t>
  </si>
  <si>
    <t>Natural Sciences and Engineering Research Council of Canada(Natural Sciences and Engineering Research Council of Canada (NSERC)CGIAR); Ministere du Developpement Economique, de l'Innovation et de l'Exportation du Quebec (MDEIE); Developpement Economique Canada (DEC)</t>
  </si>
  <si>
    <t>We thank M. Lionard, E. Pelletier, E. Carmack, and CNR-ISAC and IAA for providing chl a, POC, CTD, and atmospheric CO2 concentration data, respectively. We appreciate the help and cooperation from I. Schloss, B. Mercier, S. Roy, and the captain and crew of Sedna IV. This research is part of a project entitled Combined effects of UV-B radiation, increased CO2 and climate warming on the biological pump: a temporal and latitudinal study under the overall direction of S. Demers. Research funds were provided by the Natural Sciences and Engineering Research Council of Canada. (NSERC, SRO Grant# 334876-2005), the Ministere du Developpement Economique, de l'Innovation et de l'Exportation du Quebec (MDEIE), and Developpement Economique Canada (DEC).</t>
  </si>
  <si>
    <t>10.1017/S0954102009990666</t>
  </si>
  <si>
    <t>WOS:000276869200006</t>
  </si>
  <si>
    <t>Biuw, M; Lydersen, C; De Bruyn, PJN; Arriola, A; Hofmeyr, GGJ; Kritzinger, P; Kovacs, KM</t>
  </si>
  <si>
    <t>Biuw, Martin; Lydersen, Christian; De Bruyn, P. J. Nico; Arriola, Aline; Hofmeyr, Greg G. J.; Kritzinger, Petrus; Kovacs, Kit M.</t>
  </si>
  <si>
    <t>Long-range migration of a chinstrap penguin from Bouvetoya to Montagu Island, South Sandwich Islands</t>
  </si>
  <si>
    <t>ancestral colony; population epicentre; population exchange; population structure; Pygoscelis antarctica; Southern Ocean</t>
  </si>
  <si>
    <t>ADELIE</t>
  </si>
  <si>
    <t>We describe a long-range migration of a pre-moulting adult chinstrap penguin from Bouvetoya, a small relatively recently established colony, to the South Sandwich Islands, where large, established colonies of this species reside. The trip lasted around three weeks, covered similar to 3600 km, and the time of arrival was consistent with the annual moult. The bird did not travel along the shortest path or along a constant bearing, but instead followed what appeared to be a series of two or three rhumb lines of constant bearing. Small southward and northward deviations from the general path were consistent with local water currents. Travel speeds were high during daylight but decreased at night, suggesting that resting or opportunistic feeding occurred preferentially at night. While long-range winter migrations of chinstraps to feeding areas in the vicinity of distant colonies have been previously described, this is the first observation of such a trip during the period between breeding and moulting, and the first record of an individual actually arriving at one of these distant colonies. This has implications for understanding population structure and management of this important Southern Ocean predator.</t>
  </si>
  <si>
    <t>[Biuw, Martin; Lydersen, Christian; Arriola, Aline; Kovacs, Kit M.] Polar Environm Ctr, Norwegian Polar Inst, NO-9296 Tromso, Norway; [De Bruyn, P. J. Nico; Kritzinger, Petrus] Univ Pretoria, Mammal Res Inst, Dept Zool &amp; Entomol, ZA-0002 Pretoria, South Africa; [Hofmeyr, Greg G. J.] Port Elizabeth Museum Bayworld, ZA-6013 Port Elizabeth, South Africa</t>
  </si>
  <si>
    <t>Norwegian Polar Institute; University of Pretoria</t>
  </si>
  <si>
    <t>Biuw, M (corresponding author), Polar Environm Ctr, Norwegian Polar Inst, NO-9296 Tromso, Norway.</t>
  </si>
  <si>
    <t>martin.biuw@npolar.no</t>
  </si>
  <si>
    <t>de Bruyn, P. J. Nico/E-4176-2010; Hofmeyr, G. J. Greg/AAV-3286-2020; Biuw, Martin/AAF-9895-2021</t>
  </si>
  <si>
    <t>de Bruyn, P. J. Nico/0000-0002-9114-9569; Hofmeyr, G. J. Greg/0000-0003-0283-6058; Biuw, Martin/0000-0001-8051-3399</t>
  </si>
  <si>
    <t>10.1017/S0954102009990605</t>
  </si>
  <si>
    <t>WOS:000276869200007</t>
  </si>
  <si>
    <t>Zamora, P; Rasmussen, S; Pardo, A; Prieto, H; Zúñiga, GE</t>
  </si>
  <si>
    <t>Zamora, Pablo; Rasmussen, Susana; Pardo, Ariel; Prieto, Humberto; Zuniga, Gustavo E.</t>
  </si>
  <si>
    <t>Antioxidant responses of in vitro shoots of Deschampsia antarctica to polyethylene glycol treatment</t>
  </si>
  <si>
    <t>Antarctic hairgrass; gramineae; osmotic stress; PEG-8000; reactive oxygen species (ROS)</t>
  </si>
  <si>
    <t>OXIDATIVE STRESS; SALT TOLERANCE; ACTIVE OXYGEN; WATER-STRESS; GLUTATHIONE-REDUCTASE; LIPID-PEROXIDATION; MAIZE SEEDLINGS; ACID CONTENT; ENZYMES; DROUGHT</t>
  </si>
  <si>
    <t>To understand the adaptability to environmental stresses by Deschampsia antarctica, one of the two vascular plants growing in Antarctica, we analysed the activity of several antioxidant enzymes, including peroxidase (POD, EC 1.11.1.7), ascorbate peroxidase (APX, EC 1.11.1.11), catalase (CAT, EC 1.11.1.6)) and glutathion reductase (GR, EC 1.6.4.2), in shoots subjected to drought stress (PEG-8000, -0.3 MPa). Additionally, levels of total phenolic compounds, flavonoids and ascorbate, were determined. The content of malondialdehyde (MDA), chlorophyll and hydrogen peroxide did not change as a result of PEG-8000 treatment. In addition, treated plants showed higher enzymatic activity of CAT, POD and GR in shoots than control plants. In addition, a high capacity to scavenge free radicals was also detected in stressed plants. These results seem to indicate that in D. antarctica tolerance of drought stress is associated with enhanced activity of antioxidant enzymes and free radical scavenging capacity.</t>
  </si>
  <si>
    <t>[Zamora, Pablo; Rasmussen, Susana; Pardo, Ariel; Zuniga, Gustavo E.] Univ Santiago Chile, Lab Fisiol &amp; Biotecnol Vegetal, Dept Biol, Santiago 9170022, Chile; [Prieto, Humberto] Inst Invest Agropecuarias, Res Ctr, Santiago, Chile; [Pardo, Ariel] Univ Santiago Chile, PhD Programme Biotechnol, Santiago 9170022, Chile</t>
  </si>
  <si>
    <t>Universidad de Santiago de Chile; Instituto de Investigacion Agropecuaria (INIA); Universidad de Santiago de Chile</t>
  </si>
  <si>
    <t>Zúñiga, GE (corresponding author), Univ Santiago Chile, Lab Fisiol &amp; Biotecnol Vegetal, Dept Biol, Santiago 9170022, Chile.</t>
  </si>
  <si>
    <t>gustavo.zuniga@usach.cl</t>
  </si>
  <si>
    <t>Zamora, Pablo A/D-1612-2012; Zuñiga, Gustavo E/P-8306-2015; Prieto, H./B-4400-2008</t>
  </si>
  <si>
    <t>Prieto, H./0000-0002-9013-1906; Zuniga, Gustavo/0000-0002-8286-9468</t>
  </si>
  <si>
    <t>Chilean Antarctic Institute (INACh); DICYT-USACH</t>
  </si>
  <si>
    <t>This work has been supported by fellowship for a Doctoral thesis on Antarctic Studies (P. Zamora) at the Chilean Antarctic Institute (INACh) and DICYT-USACH. We thank INACh for logistical support and Cristina Vargas for technical assistance in this study.</t>
  </si>
  <si>
    <t>10.1017/S0954102009990733</t>
  </si>
  <si>
    <t>WOS:000276869200008</t>
  </si>
  <si>
    <t>Dartnell, LR; Fallaize, DR; Whiting, SJ; Ward, JM</t>
  </si>
  <si>
    <t>Dartnell, Lewis R.; Fallaize, David R.; Whiting, Samantha J.; Ward, John M.</t>
  </si>
  <si>
    <t>Desiccation resistance of Antarctic Dry Valley bacteria isolated from contrasting locations</t>
  </si>
  <si>
    <t>[Dartnell, Lewis R.; Fallaize, David R.] UCL, Ctr Math &amp; Phys Life Sci &amp; Expt Biol CoMPLEX, London WC1E 6BT, England; [Dartnell, Lewis R.; Fallaize, David R.; Whiting, Samantha J.; Ward, John M.] UCL, Res Dept Struct &amp; Mol Biol, London WC1E 6BT, England</t>
  </si>
  <si>
    <t>University of London; University College London; University of London; University College London</t>
  </si>
  <si>
    <t>Dartnell, LR (corresponding author), UCL, Ctr Math &amp; Phys Life Sci &amp; Expt Biol CoMPLEX, Gower St, London WC1E 6BT, England.</t>
  </si>
  <si>
    <t>l.dartnell@ucl.ac.uk</t>
  </si>
  <si>
    <t>Ward, John/0000-0002-4415-5544</t>
  </si>
  <si>
    <t>EPSRC; BBSRC</t>
  </si>
  <si>
    <t>EPSRC(UK Research &amp; Innovation (UKRI)Engineering &amp; Physical Sciences Research Council (EPSRC)); BBSRC(UK Research &amp; Innovation (UKRI)Biotechnology and Biological Sciences Research Council (BBSRC))</t>
  </si>
  <si>
    <t>L.R. Dartnell and D. Fallaize were supported by an EPSRC Doctoral Training Centre studentship. S.J. Whiting was supported by a BBSRC PhD studentship.</t>
  </si>
  <si>
    <t>10.1017/S0954102009990745</t>
  </si>
  <si>
    <t>WOS:000276869200009</t>
  </si>
  <si>
    <t>McClintock, JB; Tackett, LB; Bowser, SS</t>
  </si>
  <si>
    <t>McClintock, James B.; Tackett, Laura B.; Bowser, Samuel S.</t>
  </si>
  <si>
    <t>Video observations on non-swimming valve claps in the Antarctic scallop Adamussium colbecki</t>
  </si>
  <si>
    <t>BAY ROSS SEA; ASSEMBLAGES</t>
  </si>
  <si>
    <t>[McClintock, James B.; Tackett, Laura B.] Univ Alabama, Dept Biol, Birmingham, AL 35294 USA; [Bowser, Samuel S.] Wadsworth Ctr, Albany, NY 12201 USA</t>
  </si>
  <si>
    <t>University of Alabama System; University of Alabama Birmingham; Wadsworth Center</t>
  </si>
  <si>
    <t>McClintock, JB (corresponding author), Univ Alabama, Dept Biol, Birmingham, AL 35294 USA.</t>
  </si>
  <si>
    <t>mcclinto@uab.edu</t>
  </si>
  <si>
    <t>NSF [OPP-8815959, OPP-9118864, ANT-0838773, OPP-9530735, ANT-0739583]; Office of Polar Programs (OPP); Directorate For Geosciences [0739583] Funding Source: National Science Foundation</t>
  </si>
  <si>
    <t>NSF(National Science Foundation (NSF)); Office of Polar Programs (OPP); Directorate For Geosciences(National Science Foundation (NSF)NSF - Directorate for Geosciences (GEO))</t>
  </si>
  <si>
    <t>We thank J.M. Bernhard, S.P. Alexander, N.W. Pollock, R. Sanders, M. Amsler, C. Amsler and J. Mastro. Supported by the NSF (JBM - OPP-8815959, OPP-9118864, ANT-0838773 SSB - OPP-9530735, ANT-0739583).</t>
  </si>
  <si>
    <t>10.1017/S0954102009990757</t>
  </si>
  <si>
    <t>WOS:000276869200010</t>
  </si>
  <si>
    <t>Hall, K; André, MF</t>
  </si>
  <si>
    <t>Hall, Kevin; Andre, Marie-Francoise</t>
  </si>
  <si>
    <t>Some further observations regarding cryoplanation terraces on Alexander Island</t>
  </si>
  <si>
    <t>Antarctica; terrace formation; weathering</t>
  </si>
  <si>
    <t>VALLEY</t>
  </si>
  <si>
    <t>Landforms with the appearance of cryoplanation terraces were studied on Alexander Island in an attempt to better understand their formation and growth. Developed on sub-horizontal sedimentary rocks, with 360 exposure around a nunatak, the terraces show a distinct equatorward orientational preference and an increase in terrace size with elevation. Available data fail to indicate any evidence of freeze-thaw weathering and information relating to present-day debris transport is singularly absent. Thermal data from the rock exposures showed variability that could cause thermal fatigue but no rates of change of temperature commensurate with thermal shock were recorded. Terrace development appears to be connected with lithological differences in the local sandstones, with growth along sedimentary junctions. Although presently in a permafrost environment, the available information on these landforms does not appear to be compatible with that generally accepted for cryoplanation terraces.</t>
  </si>
  <si>
    <t>[Andre, Marie-Francoise] Univ Blaise Pascal, Lab Geog Phys, CNRS, UMR 6042, F-63057 Clermont Ferrand, France; [Hall, Kevin] Univ Pretoria, Dept Geog Geoinformat &amp; Meteorol, ZA-0002 Pretoria, South Africa</t>
  </si>
  <si>
    <t>Centre National de la Recherche Scientifique (CNRS); CNRS - Institute of Ecology &amp; Environment (INEE); Universite Clermont Auvergne (UCA); University of Pretoria</t>
  </si>
  <si>
    <t>Hall, K (corresponding author), Univ No British Columbia, Geog Program, Prince George, BC V2N 4Z9, Canada.</t>
  </si>
  <si>
    <t>hall@unbc.ca</t>
  </si>
  <si>
    <t>Trans-Antarctic Fund</t>
  </si>
  <si>
    <t>We would like to thank the British Antarctic Survey for providing the opportunity to undertake this work, and Professor David Walton in particular for his on-going help and support in pursuit of geomorphological studies in Antarctica. The Trans-Antarctic Fund generously provided support for KH. Two anonymous referees kindly provided much input and useful criticism on the first draft of this paper, especially in suggesting relevant literature.</t>
  </si>
  <si>
    <t>10.1017/S0954102009990617</t>
  </si>
  <si>
    <t>WOS:000276869200011</t>
  </si>
  <si>
    <t>Briggs, DEG; Miller, MF; Isbell, JL; Sidor, CA</t>
  </si>
  <si>
    <t>Briggs, Derek E. G.; Miller, Molly F.; Isbell, John L.; Sidor, Christian A.</t>
  </si>
  <si>
    <t>Permo-Triassic arthropod trace fossils from the Beardmore Glacier area, central Transantarctic Mountains, Antarctica</t>
  </si>
  <si>
    <t>Buckley; Fremouw; Gondwana; Mackellar; Permian; trackways</t>
  </si>
  <si>
    <t>WESTERN-AUSTRALIA; SOUTH-AFRICA; LAKE; TRACKWAYS; SANDSTONE; DEPOSITS; BEHAVIOR; STREAM; SERIES; LAND</t>
  </si>
  <si>
    <t>Permian and Triassic lacustrine and fluvial-system deposits in the Beardmore Glacier area of the Transantarctic Mountains preserve a superb record of continental environments and evidence of life on extensive bedding plane exposures. They yielded the first invertebrate trackways reported from continental Permo-Triassic deposits of Antarctica, here assigned to the ichnogenera Diplichnites and Diplopodichnus, which were probably produced by myriapodous arthropods. A resting trace is compared to Orbiculichnus and interpreted as generated by a jumping insect. Plant life is represented by leaf impressions, fossil forests and peat, vertebrates by body and trace fossils, and invertebrate shallow infauna by near surface burrows. The small number and diversity of trackways recovered from the large bedding plane exposures suggest that trackway-producing arthropods were rare at these high southern palaeolatitudes.</t>
  </si>
  <si>
    <t>[Briggs, Derek E. G.] Yale Univ, Dept Geol &amp; Geophys, New Haven, CT 06511 USA; [Briggs, Derek E. G.] Yale Univ, Yale Peabody Museum Nat Hist, New Haven, CT 06511 USA; [Miller, Molly F.] Vanderbilt Univ, Dept Geol, Nashville, TN 37235 USA; [Isbell, John L.] Univ Wisconsin, Dept Geosci, Milwaukee, WI 53201 USA; [Sidor, Christian A.] Univ Washington, Burke Museum, Seattle, WA 98195 USA; [Sidor, Christian A.] Univ Washington, Dept Biol, Seattle, WA 98195 USA</t>
  </si>
  <si>
    <t>Yale University; Yale University; Vanderbilt University; University of Wisconsin System; University of Wisconsin Milwaukee; University of Washington; University of Washington Seattle; University of Washington; University of Washington Seattle</t>
  </si>
  <si>
    <t>Briggs, DEG (corresponding author), Yale Univ, Dept Geol &amp; Geophys, New Haven, CT 06511 USA.</t>
  </si>
  <si>
    <t>derek.briggs@yale.edu</t>
  </si>
  <si>
    <t>NSF [ANT-0440889, ANT-0440954, OPP 0126146, ANT 0440919, OPP 0126086, ANT-0551163]; Division Of Polar Programs; Directorate For Geosciences [0943935] Funding Source: National Science Foundation</t>
  </si>
  <si>
    <t>NSF(National Science Foundation (NSF)); Division Of Polar Programs; Directorate For Geosciences(National Science Foundation (NSF)NSF - Directorate for Geosciences (GEO))</t>
  </si>
  <si>
    <t>We are grateful for support from NSF ANT-0440889 (DEGB), NSF ANT-0440954 and OPP 0126146 (MFM), NSF ANT 0440919 and OPP 0126086 (JLI), and NSF ANT-0551163 (CAS). Simon Braddy commented on the manuscript and Lorna O'Brien provided important information on resting traces. Loren Babcock, Margaret Bradshaw and David Cantrill reviewed the original submission and made helpful suggestions for improvement. Erica Champion prepared the figures and helped with editing.</t>
  </si>
  <si>
    <t>10.1017/S0954102009990708</t>
  </si>
  <si>
    <t>WOS:000276869200012</t>
  </si>
  <si>
    <t>Marenssi, SA; Casadío, S; Santillana, SN</t>
  </si>
  <si>
    <t>Marenssi, Sergio A.; Casadio, Silvio; Santillana, Sergio N.</t>
  </si>
  <si>
    <t>Record of Late Miocene glacial deposits on Isla Marambio (Seymour Island), Antarctic Peninsula</t>
  </si>
  <si>
    <t>Antarctica; diamictite outcrops; glaciation; isotopic ages</t>
  </si>
  <si>
    <t>JAMES-ROSS-ISLAND; MESETA FORMATION; STRATIGRAPHY; LITHOFACIES; BAY; MA</t>
  </si>
  <si>
    <t>We report and describe two new small diamictite outcrops on Isla Marambio (Seymour Island), Antarctic Peninsula. These rocks rest on an erosional unconformity on top of the Eocene La Meseta Formation and are unconformably covered by glaciomarine rocks of the ?Pliocene-Pleistocene Weddell Sea Formation. The lithology, fossil content and isotopic ages obtained strongly suggest that the rocks belong to the Hobbs Glacier Formation and support a Late Miocene age for this unit. Additionally, the dated basalt clast provides the oldest age (12.4 Ma) for the James Ross Island Volcanic Group recorded up to now. The here described diamictite cannot be confidently correlated with a glaciomarine unit previously assigned to the Late Eocene Lower Oligocene taken as proof that initial expansion of ice on Antarctica encompassed the entire continent synchronously in the earliest Oligocene. However, it is now evident that there are likely to be more, short but important, stratigraphic sequences of key regional and Antarctic wide interest preserved on the plateau of Isla Marambio.</t>
  </si>
  <si>
    <t>[Marenssi, Sergio A.] Univ Buenos Aires, Inst Antartico Argentino, RA-1010 Buenos Aires, DF, Argentina; [Marenssi, Sergio A.] Consejo Nacl Invest Cient &amp; Tecn, RA-1010 Buenos Aires, DF, Argentina; [Casadio, Silvio] Univ Nacl La Pampa, Fac Ciencias Exactas &amp; Nat, RA-6300 Santa Rosa, La Pampa, Argentina; [Casadio, Silvio] Consejo Nacl Invest Cient &amp; Tecn, RA-6300 Santa Rosa, La Pampa, Argentina</t>
  </si>
  <si>
    <t>University of Buenos Aires; Instituto Antartico Argentino; Consejo Nacional de Investigaciones Cientificas y Tecnicas (CONICET); Consejo Nacional de Investigaciones Cientificas y Tecnicas (CONICET)</t>
  </si>
  <si>
    <t>Marenssi, SA (corresponding author), Univ Buenos Aires, Inst Antartico Argentino, Cerrito 1248, RA-1010 Buenos Aires, DF, Argentina.</t>
  </si>
  <si>
    <t>smarenssi@hotmail.com</t>
  </si>
  <si>
    <t>National Geographic Society [8279-2007]</t>
  </si>
  <si>
    <t>National Geographic Society(National Geographic Society)</t>
  </si>
  <si>
    <t>We wish to thank Direccion Nacional del Antartico and Fuerza Aerea Argentina for their logistic support. This research was partly funded by National Geographic Society grant 8279-2007 to SAM. We would also thank the very constructive reviews of Drs Anna Nelson, Pat Quilty and Alan Vaughan that helped to improve the original manuscript</t>
  </si>
  <si>
    <t>10.1017/S0954102009990629</t>
  </si>
  <si>
    <t>WOS:000276869200013</t>
  </si>
  <si>
    <t>Turnbull, ID</t>
  </si>
  <si>
    <t>Turnbull, Ian D.</t>
  </si>
  <si>
    <t>Drift of large tabular icebergs in response to atmospheric surface pressure gradients, an observational study</t>
  </si>
  <si>
    <t>air/sea interaction; Antarctica; B15; barometric effects; polynya; Ross Sea</t>
  </si>
  <si>
    <t>MESOSCALE PREDICTION SYSTEM; ROSS SEA; ANTARCTICA; FIELD</t>
  </si>
  <si>
    <t>While ocean current and winds certainly play a major role in guiding the trajectories of free-floating icebergs, the direct effect of atmospheric surface pressure gradients can also have an important influence on the trajectories of large icebergs whose horizontal dimensions are sufficiently great to span synoptic systems. This effect is examined as a way of understanding why icebergs B15A, B15J, B15K, and C16 became trapped in a limited region immediately north of Ross Island for a period of several years, without being grounded. This limited region is otherwise flushed annually by summer surface winds and currents; thus the delay of the northward drift of the large icebergs (particularly B15A and B15J) defied expectation. The best explanation for this unexpected iceberg behaviour is that the large volcanic massifs on Ross Island create a quasi-permanent surface pressure anomaly patterned as a dipole, with high pressure in the area upwind of the island (an area appropriately called Windless Bight), and low pressure in the downwind area of the iceberg parking lot. The surface pressure regime experienced by two icebergs B15A and B15K is estimated using Automatic Weather Station observations and Global Positioning System receivers deployed on their surfaces to explain why they remained trapped. Breakdown of the atmospheric pressure gradients allowed them to eventually escape from the region to the north-west.</t>
  </si>
  <si>
    <t>Univ Chicago, Dept Geophys Sci, New Haven, CT 06511 USA</t>
  </si>
  <si>
    <t>University of Chicago</t>
  </si>
  <si>
    <t>Turnbull, ID (corresponding author), Univ Chicago, Dept Geophys Sci, 123 York St,Apt 7C, New Haven, CT 06511 USA.</t>
  </si>
  <si>
    <t>iandt@alum.dartmouth.org</t>
  </si>
  <si>
    <t>NSF [OPP-0229546]</t>
  </si>
  <si>
    <t>NSF(National Science Foundation (NSF))</t>
  </si>
  <si>
    <t>I would like thank to my PhD dissertation advisor, Professor Douglas R. MacAyeal, who provided me with much guidance on my work. I also thank my other academic advisory committee members, Professors Pamela Martin, Noboru N. Nakamura, Michael J. Foote, and John E. Frederick. Very helpful and constructive comments were provided by two anonymous referees, and by Dr Christina Hulbe. NSF grant OPP-0229546 supported this work.</t>
  </si>
  <si>
    <t>10.1017/S0954102010000027</t>
  </si>
  <si>
    <t>WOS:000276869200014</t>
  </si>
  <si>
    <t>Hodson, A; Heaton, T; Langford, H; Newsham, K</t>
  </si>
  <si>
    <t>Hodson, Andy; Heaton, Tim; Langford, Harry; Newsham, Kevin</t>
  </si>
  <si>
    <t>Chemical weathering and solute export by meltwater in a maritime Antarctic glacier basin</t>
  </si>
  <si>
    <t>BIOGEOCHEMISTRY</t>
  </si>
  <si>
    <t>Antarctica; Chemical denudation; Glacial meltwater; Rock-water interaction</t>
  </si>
  <si>
    <t>MCMURDO DRY VALLEYS; HIGH ARCTIC GLACIER; ISOTOPIC COMPOSITION; PROGLACIAL ZONE; TAYLOR VALLEY; VICTORIA LAND; ATMOSPHERIC CO2; WEST GREENLAND; NITRATE; STREAMS</t>
  </si>
  <si>
    <t>Solute yields, laboratory dissolution data and both chemical and isotopic markers of rock weathering reactions are used to characterise the biogeochemistry of glacial meltwaters draining a maritime Antarctic glacier. We find that delayed flowpaths through ice-marginal talus and moraine sediments are critical for the acquisition of solute from rock minerals because delayed flowpaths through subglacial sediments are absent beneath this small, cold-based glacier. Here the mechanisms of weathering are similar to those reported in subglacial environments, and include sub-oxic conditions in the early summer and increasingly oxic conditions thereafter. Up to 85% of the NO(3) (-) and 65% of the SO(4) (2-) are most likely produced by bacterially mediated reactions in these ice marginal sediments. However, reactive pyrite phases are sparse in the host rocks, limiting the export of Fe, SO(4) (2-) and cations that may be removed by weathering once pyrite oxidation has taken place. This means that dissolution of Ca(2+) and Na(+) from carbonate and silicate minerals dominate, producing moderate cationic denudation yields from Tuva Glacier (163 I pound*meq(+) m(-2) a(-1)) compared to a global range of values (94-4,200 I pound*meq(+) km(-2) a(-1)). Overall, crustally derived cations represent 42% of the total cationic flux, the rest being accounted for by snowpack sources.</t>
  </si>
  <si>
    <t>[Hodson, Andy; Langford, Harry] Univ Sheffield, Dept Geog, Sheffield S10 2TN, S Yorkshire, England; [Heaton, Tim] British Geol Survey, NERC Isotope Geosci Lab, Nottingham NG12 5GG, England; [Newsham, Kevin] British Antarctic Survey, Cambridge CB3 0ET, England</t>
  </si>
  <si>
    <t>University of Sheffield; UK Research &amp; Innovation (UKRI); Natural Environment Research Council (NERC); NERC British Geological Survey; UK Research &amp; Innovation (UKRI); Natural Environment Research Council (NERC); NERC British Antarctic Survey</t>
  </si>
  <si>
    <t>Hodson, A (corresponding author), Univ Sheffield, Dept Geog, Sheffield S10 2TN, S Yorkshire, England.</t>
  </si>
  <si>
    <t>a.j.hodson@sheffield.ac.uk</t>
  </si>
  <si>
    <t>Heaton, Timothy HE/E-7626-2010</t>
  </si>
  <si>
    <t>Hodson, Andrew/0000-0002-1255-7987; Langford, Harry/0000-0003-4015-0452</t>
  </si>
  <si>
    <t>NERC [CGS4/08, IP/776/0503]; National Geographic Exploration and Research Committee; A Leverhulme; NERC [bas0100025, nigl010001] Funding Source: UKRI; Natural Environment Research Council [bas0100025, nigl010001] Funding Source: researchfish</t>
  </si>
  <si>
    <t>NERC(UK Research &amp; Innovation (UKRI)Natural Environment Research Council (NERC)); National Geographic Exploration and Research Committee; A Leverhulme(Leverhulme Trust); NERC(UK Research &amp; Innovation (UKRI)Natural Environment Research Council (NERC)); Natural Environment Research Council(UK Research &amp; Innovation (UKRI)Natural Environment Research Council (NERC))</t>
  </si>
  <si>
    <t>Hodson acknowledges a NERC AFI (CGS4/08) award and a National Geographic Exploration and Research Committee award for supporting his field work. Judith Brown, Simon Herniman and Bill Crowe are thanked for help with the field and lab work, whilst NERC BGS Steering Committee award (IP/776/0503) is acknowledged for the isotope support. A Leverhulme Research Fellowship is acknowledged</t>
  </si>
  <si>
    <t>SPRINGER</t>
  </si>
  <si>
    <t>DORDRECHT</t>
  </si>
  <si>
    <t>VAN GODEWIJCKSTRAAT 30, 3311 GZ DORDRECHT, NETHERLANDS</t>
  </si>
  <si>
    <t>0168-2563</t>
  </si>
  <si>
    <t>Biogeochemistry</t>
  </si>
  <si>
    <t>1-3</t>
  </si>
  <si>
    <t>10.1007/s10533-009-9372-2</t>
  </si>
  <si>
    <t>Environmental Sciences; Geosciences, Multidisciplinary</t>
  </si>
  <si>
    <t>Environmental Sciences &amp; Ecology; Geology</t>
  </si>
  <si>
    <t>582NP</t>
  </si>
  <si>
    <t>WOS:000276605000002</t>
  </si>
  <si>
    <t>Hughes, KA; Convey, P; Maslen, NR; Smith, RIL</t>
  </si>
  <si>
    <t>Hughes, K. A.; Convey, P.; Maslen, N. R.; Smith, R. I. L.</t>
  </si>
  <si>
    <t>Accidental transfer of non-native soil organisms into Antarctica on construction vehicles</t>
  </si>
  <si>
    <t>BIOLOGICAL INVASIONS</t>
  </si>
  <si>
    <t>Antarctica; Cargo; Human impact; Invasion; Biosecurity; Non-native species; Sub-Antarctic; Vehicles</t>
  </si>
  <si>
    <t>FECAL-COLIFORMS; VESTFOLD HILLS; MARITIME; SURVIVAL; MICROORGANISMS; CONTAMINATION; CHIRONOMIDAE; ASSOCIATION; DISPERSAL; TRANSPORT</t>
  </si>
  <si>
    <t>Antarctic terrestrial ecosystems currently include very few non-native species, due to the continent's extreme isolation from other landmasses. However, the indigenous biota is vulnerable to human-mediated introductions of non-native species. In December 2005, four construction vehicles were imported by contractors to the British Antarctic Survey's (BAS) Rothera Research Station (Antarctic Peninsula) from the Falkland Islands and South Georgia (South Atlantic) on board RRS James Clark Ross. The vehicles were contaminated with &gt; 132 kg of non-Antarctic soil that contained viable non-native angiosperms, bryophytes, micro-invertebrates, nematodes, fungi, bacteria, and c. 40,000 seeds and numerous moss propagules. The incident was a significant contravention of BAS operating procedures, the UK Antarctic Act (1994) and the Protocol on Environmental Protection to the Antarctic Treaty (1998), which all prohibit the introduction of non-native species to Antarctica without an appropriate permit. The introduction of this diverse range of species poses a significant threat to local biodiversity should any of the species become established, particularly as the biota of sub-Antarctic South Georgia is likely to include many species with appropriate pre-adaptations facilitating the colonisation of more extreme Antarctic environments. Once the incident was discovered, the imported soil was removed immediately from Antarctica and destroyed. Vehicle cleaning and transportation guidelines have been revised to enhance the biosecurity of BAS operations, and to minimise the risk of similar incidents occurring.</t>
  </si>
  <si>
    <t>[Hughes, K. A.; Convey, P.; Maslen, N. R.; Smith, R. I. L.] British Antarctic Survey, NERC, Cambridge CB3 0ET, England</t>
  </si>
  <si>
    <t>Hughes, KA (corresponding author), British Antarctic Survey, NERC, High Cross,Madingley Rd, Cambridge CB3 0ET, England.</t>
  </si>
  <si>
    <t>kehu@bas.ac.uk</t>
  </si>
  <si>
    <t>Hughes, Kevin/JVZ-0793-2024; Convey, Peter/AAV-5728-2020</t>
  </si>
  <si>
    <t>Convey, Peter/0000-0001-8497-9903</t>
  </si>
  <si>
    <t>EID-LTMS (Environment and Information Division-Long Term Monitoring and Survey) and Ecosystems; International SCAR EBA (Evolution and Biodiversity in Antarctica); International Polar Year 'Aliens in Antarctica'</t>
  </si>
  <si>
    <t>The authors would like to thank Richard Hall for plant preservation, Peter Fretwell for map preparation and the staff of Rothera Research Station for their assistance in this research. This paper contributes to the British Antarctic Survey's Polar Science for Planet Earth core programmes EID-LTMS (Environment and Information Division-Long Term Monitoring and Survey) and Ecosystems, and the International SCAR EBA (Evolution and Biodiversity in Antarctica) and International Polar Year 'Aliens in Antarctica' research programmes.</t>
  </si>
  <si>
    <t>1387-3547</t>
  </si>
  <si>
    <t>1573-1464</t>
  </si>
  <si>
    <t>BIOL INVASIONS</t>
  </si>
  <si>
    <t>Biol. Invasions</t>
  </si>
  <si>
    <t>10.1007/s10530-009-9508-2</t>
  </si>
  <si>
    <t>Biodiversity Conservation; Ecology</t>
  </si>
  <si>
    <t>Biodiversity &amp; Conservation; Environmental Sciences &amp; Ecology</t>
  </si>
  <si>
    <t>569WZ</t>
  </si>
  <si>
    <t>WOS:000275634800017</t>
  </si>
  <si>
    <t>Lee, SG; Koh, HY; Oh, H; Han, SJ; Kim, IC; Lee, HK; Yim, JH</t>
  </si>
  <si>
    <t>Lee, Sung Gu; Koh, Hye Yeon; Oh, Hyuncheol; Han, Se Jong; Kim, Il-Chan; Lee, Hong Kum; Yim, Joung Han</t>
  </si>
  <si>
    <t>Human dermal fibroblast proliferation activity of usimine-C from Antarctic lichen Ramalina terebrata</t>
  </si>
  <si>
    <t>BIOTECHNOLOGY LETTERS</t>
  </si>
  <si>
    <t>Type I procollagen; Dermal fibroblasts; CCD-986SK; Usimine; Cell proliferation; Antarctic</t>
  </si>
  <si>
    <t>HORMONE REPLACEMENT THERAPY; HUMAN-SKIN; SIGNAL-TRANSDUCTION; I COLLAGEN; 17-BETA-ESTRADIOL; SPECIFICITY; ESTROGENS; TISSUE</t>
  </si>
  <si>
    <t>Type I collagen is the major structural protein in dermis and its presence is used to monitor skin cell proliferation and aging. Recently, novel usimine compounds have been found in the Antarctic lichen Ramalina terebrata. In the present study, usimine-C induced cell proliferation of human dermal fibroblast, CCD-986SK, up to 1.6-fold after treating with 90 mu g/ml for 48 h. Type I procollagen synthesis was significantly increased 1.3-fold, 3-fold, and 5-fold after treating with 0.14, 0.72, and 3.6 mu g usimine-C/ml for 24 h, respectively, whereas no significant increase in type I procollagen was observed after treating with usimine-A or -B. Usimines are usnic acid derivatives. Considering that the difference among the derivatives is a side chain, the proliferation activity may be related to this side chain, triggering an internal signal for type I procollagen expression. Further studies still remain to clarify the signaling pathways for the type I procollagen induction, which is activated by usimine-C.</t>
  </si>
  <si>
    <t>[Lee, Sung Gu; Koh, Hye Yeon; Han, Se Jong; Kim, Il-Chan; Lee, Hong Kum; Yim, Joung Han] Korea Polar Res Inst, Polar BioCtr, Inchon 406840, South Korea; [Oh, Hyuncheol] Silla Univ, Coll Med &amp; Life Sci, Pusan 617736, South Korea</t>
  </si>
  <si>
    <t>Korea Institute of Ocean Science &amp; Technology (KIOST); Korea Polar Research Institute (KOPRI); Silla University</t>
  </si>
  <si>
    <t>Yim, JH (corresponding author), Korea Polar Res Inst, Polar BioCtr, Songdo Techno Pk,7-50 Songdo Dong, Inchon 406840, South Korea.</t>
  </si>
  <si>
    <t>jhyim@kopri.re.kr</t>
  </si>
  <si>
    <t>HAN, Se Jong/0000-0001-9576-2179</t>
  </si>
  <si>
    <t>KOPRI [PE09050]</t>
  </si>
  <si>
    <t>KOPRI(Korea Polar Research Institute of Marine Research Placement (KOPRI))</t>
  </si>
  <si>
    <t>This work was supported by KOPRI grant No. PE09050. The authors wish to thank the Bio-FD&amp;C for a helpful comment to maintain the cells.</t>
  </si>
  <si>
    <t>0141-5492</t>
  </si>
  <si>
    <t>1573-6776</t>
  </si>
  <si>
    <t>BIOTECHNOL LETT</t>
  </si>
  <si>
    <t>Biotechnol. Lett.</t>
  </si>
  <si>
    <t>10.1007/s10529-009-0191-2</t>
  </si>
  <si>
    <t>Biotechnology &amp; Applied Microbiology</t>
  </si>
  <si>
    <t>567OC</t>
  </si>
  <si>
    <t>WOS:000275455500002</t>
  </si>
  <si>
    <t>Bednarek-Ochyra, H; Seppelt, RD; Ochyra, R</t>
  </si>
  <si>
    <t>Bednarek-Ochyra, Halina; Seppelt, Rodney D.; Ochyra, Ryszard</t>
  </si>
  <si>
    <t>Niphotrichum muticum (Musci, Grimmiaceae), an addition to the moss flora of the Aleutian Islands</t>
  </si>
  <si>
    <t>BOTANY</t>
  </si>
  <si>
    <t>Grimmiaceae; Niphotrichum; Racomitrium; distribution; Alaska; North America</t>
  </si>
  <si>
    <t>BRYOPHYTES</t>
  </si>
  <si>
    <t>Niphotrichum muticum (Kindb.) Frisvoll is recorded for the first time from the Aleutian Islands where it was collected on three islands, namely Kiska Island in the Rat Islands group, Adak Island in the Andreanof Islands group, and Unalaska Island in the Fox Islands group. The Aleutian plants are briefly described and illustrated and ecological requirements of the species are discussed. The North American and global ranges of N. muticum are reviewed and mapped.</t>
  </si>
  <si>
    <t>[Seppelt, Rodney D.] Australian Antarctic Div, Kingston, Tas 7050, Australia; [Bednarek-Ochyra, Halina; Ochyra, Ryszard] Polish Acad Sci, Inst Bot, Lab Bryol, PL-31512 Krakow, Poland</t>
  </si>
  <si>
    <t>Australian Antarctic Division; Polish Academy of Sciences</t>
  </si>
  <si>
    <t>Seppelt, RD (corresponding author), Australian Antarctic Div, Channel Highway, Kingston, Tas 7050, Australia.</t>
  </si>
  <si>
    <t>rod.seppelt@aad.gov.au</t>
  </si>
  <si>
    <t>Bednarek-Ochyra, Halina/K-7507-2012</t>
  </si>
  <si>
    <t>Ochyra, Ryszard/0000-0002-2541-0722; Bednarek-Ochyra, Halina/0000-0002-6994-8313</t>
  </si>
  <si>
    <t>CANADIAN SCIENCE PUBLISHING, NRC RESEARCH PRESS</t>
  </si>
  <si>
    <t>OTTAWA</t>
  </si>
  <si>
    <t>65 AURIGA DR, SUITE 203, OTTAWA, ON K2E 7W6, CANADA</t>
  </si>
  <si>
    <t>1916-2790</t>
  </si>
  <si>
    <t>1916-2804</t>
  </si>
  <si>
    <t>Botany</t>
  </si>
  <si>
    <t>10.1139/B10-001</t>
  </si>
  <si>
    <t>Plant Sciences</t>
  </si>
  <si>
    <t>591RA</t>
  </si>
  <si>
    <t>WOS:000277319200013</t>
  </si>
  <si>
    <t>Martin, AP; Cooper, AF; Dunlap, WJ</t>
  </si>
  <si>
    <t>Martin, Adam P.; Cooper, Alan F.; Dunlap, W. James</t>
  </si>
  <si>
    <t>Geochronology of Mount Morning, Antarctica: two-phase evolution of a long-lived trachyte-basanite-phonolite eruptive center</t>
  </si>
  <si>
    <t>BULLETIN OF VOLCANOLOGY</t>
  </si>
  <si>
    <t>Mount Morning; 40Ar/39Ar - K-Ar geochronology; Erebus volcanic province; McMurdo Volcanic Group Antarctica; Rift magmatism; Cenozoic alkaline volcanism</t>
  </si>
  <si>
    <t>MARIE BYRD LAND; JAMES-ROSS-ISLAND; SOUTHERN VICTORIA-LAND; MCMURDO VOLCANIC GROUP; GLACIAL HISTORY; NEW-ZEALAND; WEST; RIFT; ICE; ROCKS</t>
  </si>
  <si>
    <t>Mount Morning is a Cenozoic, alkaline eruptive center in the south-west Ross Sea, Antarctica. New ages on 17 Mount Morning volcanic rocks (combined with 34 existing ages) allows division of Mount Morning volcanism into two phases, erupted between at least 18.7 Ma and 11.4 Ma, and 6.13 and 0.02 Ma. The position of Mount Morning on the active West Antarctic Rift System within the stationary Antarctic plate is a key factor in the eruptive center's longevity. The earliest, mildly alkaline, Phase I volcanism comprises predominantly trachytic rocks produced by combined assimilation and fractional crystallization processes over 7.3 m.y. Strongly alkaline Phase II volcanism is dominated by a basanite - phonolite lineage, with the youngest (post last glacial maximum) activity dominated by small volume primitive basanite eruptions. The evolution from mildly to strongly alkaline chemistry between phases reflects magma residence time in the crust, the degree of mantle melting, or the degree of magma-country-rock interaction. Phase I magmatism occurred over a comparable area to the present-day, Phase II shield. The 5.2 m.y. volcanic hiatus separating Phase I and II coincides with a cycle of eruption and glacial erosion at the nearby Minna Bluff eruptive center. Mount Morning is the likely source of volcanic detritus in Cape Roberts drill-core (about 24.1 to 18.4 Ma) and in ANDRILL drill-hole 1B (about 13.6 Ma), located 170 km north and 105 km north-east respectively, of Mount Morning. Based upon the timing of eruptions and high heat-flow, Mount Morning should be considered a dormant volcano.</t>
  </si>
  <si>
    <t>[Martin, Adam P.; Cooper, Alan F.] Univ Otago, Dept Geol, Dunedin 9054, New Zealand; [Dunlap, W. James] Univ Minnesota, Dept Geol &amp; Geophys, Minneapolis, MN 55455 USA</t>
  </si>
  <si>
    <t>University of Otago; University of Minnesota System; University of Minnesota Twin Cities</t>
  </si>
  <si>
    <t>Martin, AP (corresponding author), Univ Otago, Dept Geol, POB 56, Dunedin 9054, New Zealand.</t>
  </si>
  <si>
    <t>adammartin2000@yahoo.com; alan.cooper@stonebow.otago.ac.nz</t>
  </si>
  <si>
    <t>Martin, A. P./0000-0002-4676-8344</t>
  </si>
  <si>
    <t>Antarctica New Zealand; New Zealand Post</t>
  </si>
  <si>
    <t>We would like to thank Antarctica New Zealand and New Zealand Post for event sponsorship, and Helicopters New Zealand for logistical support. Thank you to Brent Pooley and Damian Walls for assistance with slide preparation and geochemistry respectively. The reviews by Wes LeMasurier and John Smellie and comments from editor Michael Clynne involved a great deal of effort and constructively contributed to the final format of this paper. We would like to thank the Australian National University for mineral separation (SP), and for providing supplies and equipment (courtesy of GSL). A special thank you goes to Terry Spell for undertaking work on a complex set of samples for 40Ar/39Ar analysis. We thank University Gas Research, LLC (ugasres@yahoo.com) for assistance in K-Ar analysis.</t>
  </si>
  <si>
    <t>ONE NEW YORK PLAZA, SUITE 4600, NEW YORK, NY, UNITED STATES</t>
  </si>
  <si>
    <t>0258-8900</t>
  </si>
  <si>
    <t>1432-0819</t>
  </si>
  <si>
    <t>B VOLCANOL</t>
  </si>
  <si>
    <t>Bull. Volcanol.</t>
  </si>
  <si>
    <t>10.1007/s00445-009-0319-1</t>
  </si>
  <si>
    <t>Geosciences, Multidisciplinary</t>
  </si>
  <si>
    <t>Geology</t>
  </si>
  <si>
    <t>567PU</t>
  </si>
  <si>
    <t>WOS:000275459900007</t>
  </si>
  <si>
    <t>Jiang, XY; Kong, XG; Wang, YJ; Cheng, H; Wu, JY; Chen, ST</t>
  </si>
  <si>
    <t>Jiang XiuYang; Kong XingGong; Wang YongJin; Cheng Hai; Wu JiangYing; Chen ShiTao</t>
  </si>
  <si>
    <t>Orbital- and millennial-scale variability of the Asian monsoon during MIS8 from Sanbao Cave at Mount Shennongjia, central China</t>
  </si>
  <si>
    <t>CHINESE SCIENCE BULLETIN</t>
  </si>
  <si>
    <t>Termination III; Asian Monsoon; Shennongjia; Sanbao Cave; stalagmite</t>
  </si>
  <si>
    <t>PLEISTOCENE GLACIAL TERMINATIONS; PAST 800,000 YEARS; ISOTOPIC COMPOSITION; CLIMATE VARIABILITY; LAST DEGLACIATION; HULU CAVE; RECORD; SOUTHERN; CIRCULATION; ATLANTIC</t>
  </si>
  <si>
    <t>One stalagmite oxygen isotope record from Sanbao Cave, China, established with 7 Th-230 ages and 355 oxygen isotope data, provides a continuous history of the East Asian Monsoon (EAM) intensity for the period from 284 to 240 thousand years before present (ka BP) with typical errors of 3-4 ka. This new record extends the previously published stalagmite delta O-18 record back to the marine oxygen isotope stage (MIS) 8. The MIS8 EAM record broadly follows orbitally-induced insolation variations and is punctuated by at least 6 strong- and 3 weak-monsoon events. The weak monsoon events around Termination III (TIII) are dated at similar to 57 ka BP, similar to 253 ka BP and similar to 246 ka BP, and can be distinctly correlated to three ice-rafted debris (IRD) events in the North Atlantic. The TIII appears to display a two-phase glacial termination process, similar to that of the TI and TII. Phase I is characterized by a weak monsoon stage of several millennia (similar to 250-similar to 244 ka BP) that is coeval with the full atmospheric CO2 concentration and Antarctic temperature rise. Phase II is marked by a rapidly intensified monsoon at similar to 244 ka BP, accompanied by the rapid increase in CH4 concentration and maxima of Antarctic temperature and atmospheric CO2 concentration. Our observation supports the Milankovitch theory that the Northern Hemisphere (NH) summer insolation triggered the glacial-interglacial cycles. In addition, our results suggest that the Southern Hemisphere (SH) warming may have facilitated the termination of the AM at the TIII.</t>
  </si>
  <si>
    <t>[Jiang XiuYang; Kong XingGong; Wang YongJin; Cheng Hai; Wu JiangYing; Chen ShiTao] Nanjing Normal Univ, Coll Geog Sci, Nanjing 210097, Peoples R China; [Cheng Hai] Univ Minnesota, Dept Geol &amp; Geophys, Minneapolis, MN 55455 USA</t>
  </si>
  <si>
    <t>Nanjing Normal University; University of Minnesota System; University of Minnesota Twin Cities</t>
  </si>
  <si>
    <t>Kong, XG (corresponding author), Nanjing Normal Univ, Coll Geog Sci, Nanjing 210097, Peoples R China.</t>
  </si>
  <si>
    <t>kongxinggong@njnu.edu.cn</t>
  </si>
  <si>
    <t>CHENG, HAI/H-3413-2017</t>
  </si>
  <si>
    <t>CHENG, HAI/0000-0002-5305-9458; Jiang, Xiuyang/0000-0001-9617-0431</t>
  </si>
  <si>
    <t>National Natural Science Foundation of China [40631003, 40771009]; Innovation Project in Graduate Education of Jiangsu Province [CX07B-051Z]</t>
  </si>
  <si>
    <t>National Natural Science Foundation of China(National Natural Science Foundation of China (NSFC)); Innovation Project in Graduate Education of Jiangsu Province</t>
  </si>
  <si>
    <t>Comments and suggestions from three anonymous reviewers greatly improved this manuscript. Thanks are also due to Qiu Q. L. and Dong J. G. for their help with field work. This work was supported by the National Natural Science Foundation of China (Grant Nos. 40631003 and 40771009) and Innovation Project in Graduate Education of Jiangsu Province (Grant No. CX07B-051Z).</t>
  </si>
  <si>
    <t>SCIENCE PRESS</t>
  </si>
  <si>
    <t>BEIJING</t>
  </si>
  <si>
    <t>16 DONGHUANGCHENGGEN NORTH ST, BEIJING 100717, PEOPLES R CHINA</t>
  </si>
  <si>
    <t>1001-6538</t>
  </si>
  <si>
    <t>1861-9541</t>
  </si>
  <si>
    <t>CHINESE SCI BULL</t>
  </si>
  <si>
    <t>Chin. Sci. Bull.</t>
  </si>
  <si>
    <t>10.1007/s11434-009-0542-3</t>
  </si>
  <si>
    <t>586JL</t>
  </si>
  <si>
    <t>WOS:000276903400006</t>
  </si>
  <si>
    <t>Yang, QC; Sun, LG; Kong, DM; Huang, T; Wang, YH</t>
  </si>
  <si>
    <t>Yang QiChao; Sun LiGuang; Kong DeMing; Huang Tao; Wang YuHong</t>
  </si>
  <si>
    <t>Variation of Antarctic seal population in response to human activities in 20th century</t>
  </si>
  <si>
    <t>Antarctica; seal; population change; human activity; bio-element</t>
  </si>
  <si>
    <t>PENGUIN POPULATIONS; SOUTHERN-OCEAN; ICE; SEDIMENTS; RECORD; BAY</t>
  </si>
  <si>
    <t>A sediment core was collected from the Fildes Peninsula of Antarctica, which contained numerous seal hairs and was identified to be seal excrement deposition. By analyzing its total organic carbon (TOC) and concentrations of bio-elements, the seal population changes of the past century were reconstructed. The variation of seal population in the last century on the Fildes Peninsula is primarily controlled by human activities. The sealing industry in the early 20th century caused the dramatic decline of seal population. The protection of the Antarctic seals since the 1960s and the reduced seal's competition with whales for prey resources due to whaling lead to the recovery of seal population and make the high level of the seal population sustainable.</t>
  </si>
  <si>
    <t>[Yang QiChao; Sun LiGuang; Kong DeMing; Huang Tao] Univ Sci &amp; Technol China, Inst Polar Environm, Hefei 230026, Peoples R China; [Wang YuHong] NIH, Bethesda, MD 20892 USA</t>
  </si>
  <si>
    <t>Chinese Academy of Sciences; University of Science &amp; Technology of China, CAS; National Institutes of Health (NIH) - USA</t>
  </si>
  <si>
    <t>Sun, LG (corresponding author), Univ Sci &amp; Technol China, Inst Polar Environm, Hefei 230026, Peoples R China.</t>
  </si>
  <si>
    <t>slg@ustc.edu.cn</t>
  </si>
  <si>
    <t>Huang, Tao/B-5915-2009</t>
  </si>
  <si>
    <t>National Natural Science Foundation of China [40730107, 40676004]; National Key Technology RD Program [2006BAB 18B07]</t>
  </si>
  <si>
    <t>National Natural Science Foundation of China(National Natural Science Foundation of China (NSFC)); National Key Technology RD Program(National Key Technology R&amp;D Program)</t>
  </si>
  <si>
    <t>We are grateful to Resource-sharing Platform of Polar Samples &amp; National Infrastructure of Nature for Science and Technology for providing samples (Grant No. 2005DKA21406-6). This work was supported by the National Natural Science Foundation of China (Grant Nos. 40730107 and 40676004) and National Key Technology R&amp;D Program (Grant No. 2006BAB 18B07).</t>
  </si>
  <si>
    <t>10.1007/s11434-009-0581-9</t>
  </si>
  <si>
    <t>WOS:000276903400012</t>
  </si>
  <si>
    <t>Hunter, J</t>
  </si>
  <si>
    <t>Hunter, John</t>
  </si>
  <si>
    <t>Estimating sea-level extremes under conditions of uncertain sea-level rise</t>
  </si>
  <si>
    <t>CLIMATIC CHANGE</t>
  </si>
  <si>
    <t>Estimation of expected extremes, using combinations of observations and model simulations, is common practice. Many techniques assume that the background statistics are stationary and that the resulting estimates may be used satisfactorily for any time in the future. We are now however in a period of climate change, during which both average values and statistical distributions may change in time. The situation is further complicated by the considerable uncertainty which accompanies the projections of such future change. Any useful technique for the assessment of future risk should combine our knowledge of the present, our best estimate of how the world will change, and the uncertainty in both. A method of combining observations of present sea-level extremes with the (uncertain) projections of sea-level rise during the 21st century is described, using Australian data as an example. The technique makes the assumption that the change of flooding extremes during the 21st century will be dominated by the rise in mean sea level and that the effect of changes in the variability about the mean will be relatively small. The results give engineers, planners and policymakers a way of estimating the probability that a given sea level will be exceeded during any prescribed period during the present century.</t>
  </si>
  <si>
    <t>Antarctic Climate &amp; Ecosyst Cooperat Res Ctr, Hobart, Tas 7001, Australia</t>
  </si>
  <si>
    <t>Antarctic Climate &amp; Ecosystems Cooperative Research Centre (ACE CRC)</t>
  </si>
  <si>
    <t>Hunter, J (corresponding author), Antarctic Climate &amp; Ecosyst Cooperat Res Ctr, Private Bag 80, Hobart, Tas 7001, Australia.</t>
  </si>
  <si>
    <t>john.hunter@utas.edu.au</t>
  </si>
  <si>
    <t>0165-0009</t>
  </si>
  <si>
    <t>1573-1480</t>
  </si>
  <si>
    <t>Clim. Change</t>
  </si>
  <si>
    <t>3-4</t>
  </si>
  <si>
    <t>10.1007/s10584-009-9671-6</t>
  </si>
  <si>
    <t>Environmental Sciences; Meteorology &amp; Atmospheric Sciences</t>
  </si>
  <si>
    <t>Environmental Sciences &amp; Ecology; Meteorology &amp; Atmospheric Sciences</t>
  </si>
  <si>
    <t>570UU</t>
  </si>
  <si>
    <t>WOS:000275704500001</t>
  </si>
  <si>
    <t>Palinkas, LA; Reedy, KR; Shepanek, M; Reeves, D; Case, HS; Van Do, N; Reed, HL</t>
  </si>
  <si>
    <t>Palinkas, Lawrence A.; Reedy, Kathleen R.; Shepanek, Marc; Reeves, Dennis; Case, H. Samuel; Van Do, Nhan; Reed, H. Lester</t>
  </si>
  <si>
    <t>A randomized placebo-controlled clinical trial of the effectiveness of thyroxine and triiodothyronine and short-term exposure to bright light in prevention of decrements in cognitive performance and mood during prolonged Antarctic residence</t>
  </si>
  <si>
    <t>CLINICAL ENDOCRINOLOGY</t>
  </si>
  <si>
    <t>SEASONAL AFFECTIVE-DISORDER; THYROTROPIN LEVELS; SERUM THYROTROPIN; THYROID-HORMONES; PITUITARY; RHYTHM; TSH; HYPOTHYROIDISM; MELATONIN; RESPONSES</t>
  </si>
  <si>
    <t>P&gt;Objective We examined the effects of a combined levothyroxine/liothyronine supplement and exposure to bright (10,000 lux) light in euthyroid men and women who spent the austral summer (n = 43) and/or winter (n = 42) in Antarctica. Methods Subjects were randomized to receive 64 nmol of levothyroxine and 16 nmol of liothyronine supplement or a placebo capsule for 93 center dot 2 +/- 3 center dot 0 days in summer and/or 149 center dot 5 +/- 2 center dot 2 days in winter. Subjects were further randomized to receive 10,000 lux bright white light or 50 lux dim red light for 14 days at the end of summer and/or winter. Cognitive performance and mood were assessed using the Automatic Neuropsychological Assessment Metric - Isolated and Confined Environments. Results In winter, bright light exposure was associated with a significantly greater reduction in TSH and anger (P &lt; 0 center dot 05), a significantly greater increase in fT(3) (P &lt; 0 center dot 05), and a significantly smaller increase in depressive symptoms (P &lt; 0 center dot 001), when compared with dim light. The T4/T3 supplement also led to a significantly greater reduction in TSH (P &lt; 0 center dot 05), but a greater reduction in cognitive task efficiency (P &lt; 0 center dot 05) as well, when compared with placebo. Conclusion Administration of bright light leads to a significant reduction in serum TSH and prevents increases in anger and depressive symptoms in winter. However, these associations were not observed in summer, suggesting a seasonal influence of photoperiod over temperature upon this intervention in the polar environment.</t>
  </si>
  <si>
    <t>[Palinkas, Lawrence A.] Univ So Calif, Sch Social Work, Los Angeles, CA 90089 USA; [Palinkas, Lawrence A.] Univ So Calif, Dept Anthropol, Los Angeles, CA 90089 USA; [Palinkas, Lawrence A.] Univ So Calif, Dept Prevent Med, Los Angeles, CA 90089 USA; [Reedy, Kathleen R.] US FDA, Silver Spring, MD USA; [Shepanek, Marc] NASA, Washington, DC 20546 USA; [Reeves, Dennis] Clinvest Inc, Springfield, MO USA; [Case, H. Samuel] McDaniel Coll, Dept Exercise Sci &amp; Phys Educ, Westminster, MD USA; [Van Do, Nhan] Tricare Management Act, Falls Church, VA USA; [Reed, H. Lester] MultiCare Hlth Syst, Tacoma, WA USA</t>
  </si>
  <si>
    <t>University of Southern California; University of Southern California; University of Southern California; US Food &amp; Drug Administration (FDA); National Aeronautics &amp; Space Administration (NASA)</t>
  </si>
  <si>
    <t>Palinkas, LA (corresponding author), Univ So Calif, Sch Social Work, 669 W 34th St, Los Angeles, CA 90089 USA.</t>
  </si>
  <si>
    <t>palinkas@usc.edu</t>
  </si>
  <si>
    <t>Do, Nhan/0000-0001-6868-7011</t>
  </si>
  <si>
    <t>National Science Foundation [OPP-0090343]</t>
  </si>
  <si>
    <t>National Science Foundation(National Science Foundation (NSF))</t>
  </si>
  <si>
    <t>The opinions expressed herein are those of the authors and are not to be construed as reflecting the views of the Department of the Army, the Department of Defense, National Science Foundation, National Aeronautics and Space Administration, or US Food and Drug Administration. This study is supported by the National Science Foundation grant number OPP-0090343. The authors extend a special thanks to Barbara Brittell and Troy Wiles for their role in data collection in the field.</t>
  </si>
  <si>
    <t>WILEY</t>
  </si>
  <si>
    <t>HOBOKEN</t>
  </si>
  <si>
    <t>111 RIVER ST, HOBOKEN 07030-5774, NJ USA</t>
  </si>
  <si>
    <t>0300-0664</t>
  </si>
  <si>
    <t>1365-2265</t>
  </si>
  <si>
    <t>CLIN ENDOCRINOL</t>
  </si>
  <si>
    <t>Clin. Endocrinol.</t>
  </si>
  <si>
    <t>10.1111/j.1365-2265.2009.03669.x</t>
  </si>
  <si>
    <t>Endocrinology &amp; Metabolism</t>
  </si>
  <si>
    <t>563ZS</t>
  </si>
  <si>
    <t>WOS:000275180700018</t>
  </si>
  <si>
    <t>Song, JM; Nam, K; Sun, YU; Kang, MH; Kim, CG; Kwon, ST; Lee, J; Lee, YH</t>
  </si>
  <si>
    <t>Song, Jung Min; Nam, Kiwoong; Sun, Young-Uk; Kang, Mee Hye; Kim, Choong-Gon; Kwon, Suk-Tae; Lee, Jehee; Lee, Youn-Ho</t>
  </si>
  <si>
    <t>Molecular and biochemical characterizations of a novel arthropod endo-β-1,3-glucanase from the Antarctic springtail, Cryptopygus antarcticus, horizontally acquired from bacteria</t>
  </si>
  <si>
    <t>COMPARATIVE BIOCHEMISTRY AND PHYSIOLOGY B-BIOCHEMISTRY &amp; MOLECULAR BIOLOGY</t>
  </si>
  <si>
    <t>Endo-beta-1,3-glucanase; Laminarinase; Antarctic springtail; Cryptopygus antarcticus; Glycosyl hydrolase family 16 (GHF16); Horizontal gene transfer</t>
  </si>
  <si>
    <t>BETA-1,3-GLUCAN RECOGNITION PROTEIN; CDNA CLONING; BINDING-PROTEIN; MANDUCA-SEXTA; PURIFICATION; GENE; ENDO-1,3-BETA-D-GLUCANASE; LIPOPOLYSACCHARIDE; IDENTIFICATION; FAMILIES</t>
  </si>
  <si>
    <t>Collembolan species have been known to have beta,1,3-glucanase activity and yet the genes coding such enzymes have not been demonstrated. We report here a novel arthropod endo-beta-1,3-glucanase gene CaLam from the Antarctic springtail, Cryptopygus antarcticus. The open reading frame consists of 813 bp encoding 270 amino acids with a putative signal peptide and a typical motif of glycosyl hydrolase family 16 (GHF16), E-I-D-I-T-E. The recombinant protein expressed in E. coli shows the hydrolytic activity toward laminarin (K-m similar to 9.98 mg/mL) with an optimal temperature 50 degrees C and an optimal pH 6.0. CaLam digests laminarin and laminarioligosaccharides except laminaribiose as an endo-beta-1,3-glucanase, releasing glucose, laminaribiose and laminaritriose as the major products. Analyses of molecular phylogeny of CaLam and its protein structure reveal that CaLam is closely related with bacterial beta-1,3-glucanases more than with the eukaryotic homologues. Even so, the genomic structure of the CaLam gene consisting of six exons interspersed with approximately 57 to 63 bp introns confirms that it is endogenous in the genome of the Antarctic springtail. These results suggest that CaLam should have been transferred from bacteria to the lineage of the Collembolan species by horizontal gene transfer. (C) 2010 Elsevier Inc. All rights reserved.</t>
  </si>
  <si>
    <t>[Song, Jung Min; Nam, Kiwoong; Kang, Mee Hye; Kim, Choong-Gon; Lee, Youn-Ho] Korea Ocean Res &amp; Dev Inst, Marine Resources Res Div, Seoul 425600, South Korea; [Song, Jung Min; Sun, Young-Uk; Kwon, Suk-Tae] Sungkyunkwan Univ, Dept Genet Engn, Suwon 440746, South Korea; [Lee, Jehee] Jeju Natl Univ, Dept Marine Biotechnol, Cheju 690756, South Korea</t>
  </si>
  <si>
    <t>Korea Institute of Ocean Science &amp; Technology (KIOST); Sungkyunkwan University (SKKU); Jeju National University</t>
  </si>
  <si>
    <t>Lee, YH (corresponding author), Korea Ocean Res &amp; Dev Inst, Marine Resources Res Div, Ansan POB 29, Seoul 425600, South Korea.</t>
  </si>
  <si>
    <t>ylee@kordi.re.kr</t>
  </si>
  <si>
    <t>Lee, Jehee/AAS-3229-2021</t>
  </si>
  <si>
    <t>Lee, Jehee/0000-0001-9144-3648; Nam, Kiwoong/0000-0003-3194-8673</t>
  </si>
  <si>
    <t>Korea Ocean Research &amp; Development Institute, Republic of Korea [PE98474, PE98472]; National Research Foundation of Korea [핵09A2518] Funding Source: Korea Institute of Science &amp; Technology Information (KISTI), National Science &amp; Technology Information Service (NTIS)</t>
  </si>
  <si>
    <t>Korea Ocean Research &amp; Development Institute, Republic of Korea; National Research Foundation of Korea(National Research Foundation of Korea)</t>
  </si>
  <si>
    <t>This research was supported by research grants (PE98474 and PE98472) from Korea Ocean Research &amp; Development Institute, Republic of Korea.</t>
  </si>
  <si>
    <t>1096-4959</t>
  </si>
  <si>
    <t>1879-1107</t>
  </si>
  <si>
    <t>COMP BIOCHEM PHYS B</t>
  </si>
  <si>
    <t>Comp. Biochem. Physiol. B-Biochem. Mol. Biol.</t>
  </si>
  <si>
    <t>10.1016/j.cbpb.2010.01.003</t>
  </si>
  <si>
    <t>Biochemistry &amp; Molecular Biology; Zoology</t>
  </si>
  <si>
    <t>576YB</t>
  </si>
  <si>
    <t>WOS:000276184900008</t>
  </si>
  <si>
    <t>Godin-Beekmann, S</t>
  </si>
  <si>
    <t>Godin-Beekmann, Sophie</t>
  </si>
  <si>
    <t>Spatial observation of the ozone layer</t>
  </si>
  <si>
    <t>COMPTES RENDUS GEOSCIENCE</t>
  </si>
  <si>
    <t>Ozone layer; Satellite instruments; Antarctic ozone hole; Long term evolution; Ozone recovery; Chemistry climate models; Data assimilation</t>
  </si>
  <si>
    <t>GLOBAL OZONE; SATELLITE-OBSERVATIONS; PROFILES; RECORD</t>
  </si>
  <si>
    <t>This article provides an overview of the various satellite instruments, which have been used to observe stratospheric ozone and other chemical compounds playing a key role in stratospheric chemistry. It describes the various instruments that have been launched since the late 1970s for the measurement of total ozone column and ozone vertical profile, as well as the major satellite missions designed for the study of stratospheric chemistry. Since the discovery of the ozone hole in the early 19805, spatial ozone measurements have been widely used to evaluate and quantify the spatial extension of polar ozone depletion and global ozone decreasing trends as a function of latitude and height. Validation and evaluation of satellite ozone data have been the subject of intense scientific activity, which was reported in the various ozone assessments of the state of the ozone layer published after the signature of the Montreal protocol. Major results, based on satellite observations for the study of ozone depletion at the global scale and chemical polar ozone loss, are provided. The use of satellite observations for the validation of chemistry climate models that simulate the recovery of the ozone layer and in data assimilation is also described. (C) 2009 Academie des sciences. Published by Elsevier Masson SAS. All rights reserved.</t>
  </si>
  <si>
    <t>UPMC, CNRS, Inst Pierre Simon Laplace, Lab Atmospheres Milieux Observat Spatiales, F-75231 Paris 05, France</t>
  </si>
  <si>
    <t>Centre National de la Recherche Scientifique (CNRS); CNRS - National Institute for Earth Sciences &amp; Astronomy (INSU); Universite Paris Saclay; Sorbonne Universite; Universite Paris Cite</t>
  </si>
  <si>
    <t>Godin-Beekmann, S (corresponding author), UPMC, CNRS, Inst Pierre Simon Laplace, Lab Atmospheres Milieux Observat Spatiales, 4,Pl Jussieu,Case 102, F-75231 Paris 05, France.</t>
  </si>
  <si>
    <t>sophie.godin-beekmann@latmos.ipsl.fr</t>
  </si>
  <si>
    <t>ELSEVIER FRANCE-EDITIONS SCIENTIFIQUES MEDICALES ELSEVIER</t>
  </si>
  <si>
    <t>ISSY-LES-MOULINEAUX</t>
  </si>
  <si>
    <t>65 RUE CAMILLE DESMOULINS, CS50083, 92442 ISSY-LES-MOULINEAUX, FRANCE</t>
  </si>
  <si>
    <t>1631-0713</t>
  </si>
  <si>
    <t>1778-7025</t>
  </si>
  <si>
    <t>CR GEOSCI</t>
  </si>
  <si>
    <t>C. R. Geosci.</t>
  </si>
  <si>
    <t>APR-MAY</t>
  </si>
  <si>
    <t>4-5</t>
  </si>
  <si>
    <t>10.1016/j.crte.2009.10.012</t>
  </si>
  <si>
    <t>598CO</t>
  </si>
  <si>
    <t>WOS:000277810500009</t>
  </si>
  <si>
    <t>Pinkerton, MH; Smith, ANH; Raymond, B; Hosie, GW; Sharp, B; Leathwick, JR; Bradford-Grieve, JM</t>
  </si>
  <si>
    <t>Pinkerton, Matt H.; Smith, Adam N. H.; Raymond, Ben; Hosie, Graham W.; Sharp, Ben; Leathwick, John R.; Bradford-Grieve, Janet M.</t>
  </si>
  <si>
    <t>Spatial and seasonal distribution of adult Oithona similis in the Southern Ocean: Predictions using boosted regression trees</t>
  </si>
  <si>
    <t>DEEP-SEA RESEARCH PART I-OCEANOGRAPHIC RESEARCH PAPERS</t>
  </si>
  <si>
    <t>Oithona similis; Biogeography; Boosted regression trees; Continuous plankton recorder; Southern Ocean zooplankton; Bioregionalisation; Cyclopoid copepod</t>
  </si>
  <si>
    <t>CONTINUOUS PLANKTON RECORDER; ZOOPLANKTON COMMUNITY; ROSS SEA; VERTICAL MIGRATION; WEDDELL SEA; PACIFIC SECTOR; EGG-PRODUCTION; MCMURDO SOUND; COPEPOD; ICE</t>
  </si>
  <si>
    <t>We applied a multivariate statistical modelling technique called boosted regression trees to derive relationships between environmental conditions and the distribution of the adult stage of the cyclopoid copepod Oithona smiths in the Southern Ocean Nearly 20 000 samples from the Southern Ocean Continuous Plankton Recorder survey (87% from East Antarctica) were used to model the probability of detection (presence) and relative abundance of adults of this zooplankton species in surface waters. We demonstrate that it is possible to obtain reasonable models for both the presence (area under the Receiver Operating Characteristic curve of 0.77) and relative abundance (28-35% variance explained) of adult O similis between November and March in much of the Southern Ocean No investigation was possible where the environmental characteristics were not well represented by the SO-CPR dataset, namely, the Argentine shelf, Weddell Sea, and the frontal region north of the Amundsen Sea, or under sea-ice Our analyses support the hypothesis that adult O similis abundance is related to environmental conditions in a broadly similar way throughout the Southern Ocean. Compared to a compilation of net-haul data from the literature, the abundance model explained 34% of the variance in surface concentrations of adult stages of this species, and 23-59% of the variance in depth-integrated abundance of copepodite and adult stages combined. The models show higher occurrence and elevated abundances in a broad circumpolar band between the Antarctic Polar Front and the southern boundary of the Antarctic Circumpolar Current (approximately 54-64 degrees S) Evidence of diel vertical migration by adults of this species north of 65 degrees S was found, with surface abundances 20% higher at night than during the day. There was no evidence of diel migration south of 65 degrees S. Five potential hotspots of adult O similis were identified in the southern Scotia Sea, two areas off east Antarctica, in the frontal zone north of the Amundsen Sea, and a small area in the outer Bellingshausen Sea We recommend that a database of all available net-haul data on Oithona smiths in the Southern Ocean be created to facilitate further investigations on the circumpolar distribution of this species Crown Copyright (C) 2010 Published by Elsevier Ltd. All rights reserved</t>
  </si>
  <si>
    <t>[Pinkerton, Matt H.; Bradford-Grieve, Janet M.] Natl Inst Water &amp; Atmospher Res Ltd, Wellington, New Zealand; [Smith, Adam N. H.] Massey Univ, Auckland, New Zealand; [Raymond, Ben; Hosie, Graham W.] Australian Antarctic Div, Hobart, Tas, Australia; [Raymond, Ben] Antarctic Climate &amp; Ecosyst Cooperat Res Ctr, Hobart, Tas, Australia; [Sharp, Ben] Minist Fisheries, Wellington, New Zealand; [Leathwick, John R.] NIWA, Hamilton, New Zealand</t>
  </si>
  <si>
    <t>National Institute of Water &amp; Atmospheric Research (NIWA) - New Zealand; Massey University; Australian Antarctic Division; Antarctic Climate &amp; Ecosystems Cooperative Research Centre (ACE CRC); National Institute of Water &amp; Atmospheric Research (NIWA) - New Zealand</t>
  </si>
  <si>
    <t>Pinkerton, MH (corresponding author), Natl Inst Water &amp; Atmospher Res Ltd, Private Bag 14-901, Wellington, New Zealand.</t>
  </si>
  <si>
    <t>Smith, Adam/0000-0003-0059-6206; Bradford-Grieve, Janet/0000-0002-3580-1217</t>
  </si>
  <si>
    <t>New Zealand Foundation [C01 x 0505]; Australia Antarctic Science [472]</t>
  </si>
  <si>
    <t>New Zealand Foundation(New Zealand Foundation for Research, Science and Technology); Australia Antarctic Science</t>
  </si>
  <si>
    <t>Funding for much of this work was provided by New Zealand Foundation for Research, Science and Technology project C01 x 0505. We gratefully acknowledge the SCAR Southern Ocean Continuous Plankton Recorder Survey and its team of analysts for providing the data. The SO-CPR Survey was supported by the Australia Antarctic Science project 472 Andrew Constable is warmly thanked for stimulating interest in bioregionalisation of the Southern Ocean that led to this research Three anonymous reviewers and the journal editor are thanked for useful insights and comments that helped improve this work.</t>
  </si>
  <si>
    <t>PERGAMON-ELSEVIER SCIENCE LTD</t>
  </si>
  <si>
    <t>OXFORD</t>
  </si>
  <si>
    <t>THE BOULEVARD, LANGFORD LANE, KIDLINGTON, OXFORD OX5 1GB, ENGLAND</t>
  </si>
  <si>
    <t>0967-0637</t>
  </si>
  <si>
    <t>1879-0119</t>
  </si>
  <si>
    <t>DEEP-SEA RES PT I</t>
  </si>
  <si>
    <t>Deep-Sea Res. Part I-Oceanogr. Res. Pap.</t>
  </si>
  <si>
    <t>10.1016/j.dsr.2009.12.010</t>
  </si>
  <si>
    <t>586VO</t>
  </si>
  <si>
    <t>WOS:000276942400001</t>
  </si>
  <si>
    <t>Park, J; Oh, IS; Kim, HC; Yoo, S</t>
  </si>
  <si>
    <t>Park, Jisoo; Oh, Im-Sang; Kim, Hyun-Cheol; Yoo, Sinjae</t>
  </si>
  <si>
    <t>Variability of SeaWiFs chlorophyll-a in the southwest Atlantic sector of the Southern Ocean: Strong topographic effects and weak seasonality</t>
  </si>
  <si>
    <t>Interannual variation; Seasonality; SeaWiFS chlorophyll-a; Southern Ocean; Topographic effect</t>
  </si>
  <si>
    <t>KRILL EUPHAUSIA-SUPERBA; ANTARCTIC SEA-ICE; CIRCUMPOLAR CURRENT FRONT; INTERANNUAL VARIABILITY; PHYTOPLANKTON BIOMASS; CLIMATE-CHANGE; MIXED-LAYER; TEMPORAL VARIABILITY; SURFACE TEMPERATURE; ELEPHANT ISLAND</t>
  </si>
  <si>
    <t>This study examined 11-year (1997-2008) weekly and monthly time series of satellite-observed ocean color to understand the dominant temporal and spatial patterns of chlorophyll-a in the southwest Atlantic sector of the Southern Ocean. Using empirical orthogonal function analysis and k-means classification, we classified the study area into eight regions, which were in good accordance with the oceanographic and topographic features Examination of the chlorophyll-a time series in each region revealed that contrary to our expectation, regular seasonal phytoplankton blooms were observed only in a limited area. Of the eight regions, only two showed typical seasonal blooms, and one showed weak seasonality, whereas other regions exhibited irregular seasonal blooms of variable duration We attribute the absence of regularity in seasonal blooms to relatively shallow winter mixing, which would prevent entrainment of limiting micronutrients such as iron and silicate In the southwest Atlantic sector of the Southern Ocean, topographic effects and sea ice may be the most important factors controlling primary productivity In the South Georgia region, chlorophyll-a showed a significant correlation with geostrophic current velocity, indicating that topographic effects depend on the interaction of current strength and topographic structure. Interannual variability of the surface chlorophyll in some regions also revealed longer periodicity (similar to 6 years) The periodicity seemed to be related to El Nino-Southern Oscillation and to sea-ice dynamics influenced by the Antarctic Circumpolar Current (C) 2010 Elsevier Ltd All rights reserved.</t>
  </si>
  <si>
    <t>[Park, Jisoo; Yoo, Sinjae] Korea Ocean Res &amp; Dev Inst, Ansong 1270, South Korea; [Park, Jisoo; Oh, Im-Sang] Seoul Natl Univ, Seoul 151, South Korea</t>
  </si>
  <si>
    <t>Korea Institute of Ocean Science &amp; Technology (KIOST); Seoul National University (SNU)</t>
  </si>
  <si>
    <t>Yoo, S (corresponding author), Korea Ocean Res &amp; Dev Inst, 425-170 Sa Dong, Ansong 1270, South Korea.</t>
  </si>
  <si>
    <t>Kim, Hyun-Cheol/AAP-1250-2020; Yoo, Sinjae/B-5346-2011</t>
  </si>
  <si>
    <t>Kim, Hyun-Cheol/0000-0002-6831-9291;</t>
  </si>
  <si>
    <t>POSEIDON [PE98445]; Research and applications of Geostanonary Ocean Color Satellite [PM54970]; KOPRI [PG09030]</t>
  </si>
  <si>
    <t>POSEIDON; Research and applications of Geostanonary Ocean Color Satellite; KOPRI(Korea Polar Research Institute of Marine Research Placement (KOPRI))</t>
  </si>
  <si>
    <t>The authors would like to thank the SeaWiFS Project and NASA for the production and distribution of SeaWiFS, MODIS, and QuikSCAT data, NSIDC for SSM/I data, AVISO for geostrophic current data. NOAA for AVHRR data, Bureau of Meteorology of Australian Government for SOI index, and NERC-BAS for SAM Index. We are Indebted to the comments and recommendations from two anonymous reviewers, which greatly helped to improve the paper. Suggestions from Prof. Young-Hyang Park on the earlier manuscript helped broaden the scope of the paper. This research was supported primarily by the KORDI Projects #PE98445 (POSEIDON) and #PM54970 (Research and applications of Geostanonary Ocean Color Satellite). H.-C. Kim was also supported by KOPRI project #PG09030.</t>
  </si>
  <si>
    <t>10.1016/j.dsr.2010.01.004</t>
  </si>
  <si>
    <t>WOS:000276942400012</t>
  </si>
  <si>
    <t>Kawaguchi, S; Peterson, WT</t>
  </si>
  <si>
    <t>Kawaguchi, So; Peterson, William T.</t>
  </si>
  <si>
    <t>Krill biology and ecology</t>
  </si>
  <si>
    <t>DEEP-SEA RESEARCH PART II-TOPICAL STUDIES IN OCEANOGRAPHY</t>
  </si>
  <si>
    <t>[Kawaguchi, So] Australian Antarctic Div, Kingston, Tas 7050, Australia; [Peterson, William T.] NOAA Fisheries, NW Fisheries Sci Ctr, Newport, OR 97365 USA</t>
  </si>
  <si>
    <t>Australian Antarctic Division; National Oceanic Atmospheric Admin (NOAA) - USA</t>
  </si>
  <si>
    <t>Kawaguchi, S (corresponding author), Australian Antarctic Div, 203 Channel Hwy, Kingston, Tas 7050, Australia.</t>
  </si>
  <si>
    <t>So.Kawaguchi@aad.gov.au</t>
  </si>
  <si>
    <t>Kawaguchi, So/N-1795-2017</t>
  </si>
  <si>
    <t>Kawaguchi, So/0000-0002-2042-5095</t>
  </si>
  <si>
    <t>0967-0645</t>
  </si>
  <si>
    <t>DEEP-SEA RES PT II</t>
  </si>
  <si>
    <t>Deep-Sea Res. Part II-Top. Stud. Oceanogr.</t>
  </si>
  <si>
    <t>7-8</t>
  </si>
  <si>
    <t>10.1016/j.dsr2.2009.10.001</t>
  </si>
  <si>
    <t>588KR</t>
  </si>
  <si>
    <t>WOS:000277069300002</t>
  </si>
  <si>
    <t>Nicol, S; Brierley, AS</t>
  </si>
  <si>
    <t>Nicol, Stephen; Brierley, Andrew S.</t>
  </si>
  <si>
    <t>Through a glass less darkly-New approaches for studying the distribution, abundance and biology of Euphausiids</t>
  </si>
  <si>
    <t>Krill; Net; Acoustic; Sampling</t>
  </si>
  <si>
    <t>DAYTIME SURFACE SWARMS; EAST ANTARCTICA 80-150-DEGREES-E; KRILL MEGANYCTIPHANES-NORVEGICA; TARGET-STRENGTH MEASUREMENTS; DOPPLER CURRENT PROFILER; SOUTH SHETLAND ISLANDS; ACOUSTIC SURVEYS; SCOTIA SEA; POPULATION-STRUCTURE; INTRAANNUAL VARIABILITY</t>
  </si>
  <si>
    <t>Euphausiids are vital components of many oceanic foodwebs. Due to their large size, they are key prey species for many vertebrates, and several species are subject to commercial fisheries. The best studied euphausiid species is Antarctic krill (Euphausia superba), and a considerable literature exists documenting its ecology. The abundance of Antarctic krill varies enormously over multiple time and space scales in the Southern Ocean. This variability is driven partly by physical processes, but also by the behaviour of the animals as individuals and as groups. It is likely that such variability also affects the populations of other large euphausiid species. In order to understand this variability, particularly in the context of rapid environmental change and expanding fisheries interests, we need to shift emphasis from conventional point- and transect-sampling conducted from brief research cruises usually in summer to basin-scale observations over extended time periods. Future studies of the large-scale biology of krill of all species will also need to consider how their growth, reproduction and behaviour might alter in response to predicted environmental changes such as decline in sea ice cover, rising temperature and acidification of the ocean. Paradoxically, to answer many outstanding questions in krill biology, there also needs to be a shift towards examining the three-dimensional dynamics of krill aggregations on very small space and timescales. This paper outlines some of the approaches that might enable us to make progress in understanding these key organisms at multiple spatial and temporal scales, approaches that in turn may leave us better able to manage krill populations into the future. Whilst the paper's focus is primarily on Antarctic krill, the findings are applicable generally to other large, schooling euphausiid species. Crown Copyright (C) 2009 Published by Elsevier Ltd. All rights reserved.</t>
  </si>
  <si>
    <t>[Nicol, Stephen] Australian Antarctic Div, Dept Environm Water Heritage &amp; Arts, Kingston, Tas 7050, Australia; [Brierley, Andrew S.] Univ St Andrews, Gatty Marine Lab, Pelag Ecol Res Grp, St Andrews KY16 8LB, Fife, Scotland</t>
  </si>
  <si>
    <t>Australian Antarctic Division; University of St Andrews</t>
  </si>
  <si>
    <t>Nicol, S (corresponding author), Australian Antarctic Div, Dept Environm Water Heritage &amp; Arts, Channel Highway, Kingston, Tas 7050, Australia.</t>
  </si>
  <si>
    <t>Steve.nicol@aad.gov.au</t>
  </si>
  <si>
    <t>Brierley, Andrew/G-8019-2011</t>
  </si>
  <si>
    <t>Brierley, Andrew/0000-0002-6438-6892</t>
  </si>
  <si>
    <t>1879-0100</t>
  </si>
  <si>
    <t>10.1016/j.dsr2.2009.10.002</t>
  </si>
  <si>
    <t>WOS:000277069300003</t>
  </si>
  <si>
    <t>Cox, MJ; Warren, JD; Demer, DA; Cutter, GR; Brierley, AS</t>
  </si>
  <si>
    <t>Cox, Martin J.; Warren, Joseph D.; Demer, David A.; Cutter, George R.; Brierley, Andrew S.</t>
  </si>
  <si>
    <t>Three-dimensional observations of swarms of Antarctic krill (Euphausia superba) made using a multi-beam echosounder</t>
  </si>
  <si>
    <t>Antarctic krill; Euphausia superba; Pelagic; Multibeam echosounder; Swarm morphology; Three dimensions; Livingston Island; South Shetland Islands</t>
  </si>
  <si>
    <t>SOUTHERN-OCEAN; ACOUSTIC OBSERVATIONS; SARDINE SCHOOLS; SONAR; BEHAVIOR; IDENTIFICATION; AGGREGATIONS; ZOOPLANKTON; VARIABILITY; PREDATORS</t>
  </si>
  <si>
    <t>Antarctic krill (Euphausia superba) aggregate in dense swarms. Previous investigations of krill swarms have used conventional single- or split-beam echosounders that, with post-processing, provide a two-dimensional (2-D) view of the water column, leaving the third dimension to be inferred. We used a multi-beam echosounder system (SM20, 200 kHz, Kongsberg Mesotech Ltd, Canada) from an inflatable boat (length = 5.5 m) to sample water-column backscatter, particularly krill swarms, directly in 2-D and, with post-processing, to provide a three dimensional (3-D) view of entire krill swarms. The study took place over six days (2-8 February 2006) in the vicinity of Livingston Island, South Shetland Islands, Antarctica (62.4 degrees S, 60.7 degrees W). An automatic 3-D aggregation detection algorithm resolved 1006 krill swarms from the survey data. Principal component analyses indicated that swarm morphology metrics such as length, surface area and volume accounted for the largest between swarm variance, followed by echo energy, and finally swarm geographic location. Swarms did not form basic cylindrical or spherical shapes, but had quite consistent surface area to volume ratios of 3.3 m(-1). Swarms were spatially segregated, with larger sizes (mean north-south length = 276 m, at least double that of two other swarm classifications), found to the northwest of the survey area. The apparent clustering of swarm types suggests that krill biomass surveys and ecosystem investigations may require stratified survey design, in response to varying 3-D swarm morphology, variation that may be driven in turn by environmental characteristics such as bathymetry. (C) 2009 Elsevier Ltd. All rights reserved.</t>
  </si>
  <si>
    <t>[Cox, Martin J.; Brierley, Andrew S.] Univ St Andrews, Pelag Ecol Res Grp, Gatty Marine Lab, St Andrews KY16 8LB, Fife, Scotland; [Warren, Joseph D.] SUNY Stony Brook, Sch Marine &amp; Atmospher Sci, Southampton, NY 11968 USA; [Demer, David A.; Cutter, George R.] SW Fisheries Sci Ctr, Adv Survey Technol Program, La Jolla, CA 92037 USA</t>
  </si>
  <si>
    <t>University of St Andrews; State University of New York (SUNY) System; State University of New York (SUNY) Stony Brook; National Oceanic Atmospheric Admin (NOAA) - USA</t>
  </si>
  <si>
    <t>Cox, MJ (corresponding author), Univ St Andrews, Pelag Ecol Res Grp, Gatty Marine Lab, St Andrews KY16 8LB, Fife, Scotland.</t>
  </si>
  <si>
    <t>mjc16@st-and.ac.uk</t>
  </si>
  <si>
    <t>Warren, Joseph/Y-4078-2019; , David/ABC-8990-2022; Brierley, Andrew/G-8019-2011</t>
  </si>
  <si>
    <t>, David/0000-0001-5083-8854; Brierley, Andrew/0000-0002-6438-6892</t>
  </si>
  <si>
    <t>Royal Society; UK Natural Environment Research Council; NSF [06-OPP-33939]</t>
  </si>
  <si>
    <t>Royal Society(Royal Society); UK Natural Environment Research Council(UK Research &amp; Innovation (UKRI)Natural Environment Research Council (NERC)); NSF(National Science Foundation (NSF))</t>
  </si>
  <si>
    <t>We thank the Royal Society for funds enabling deployment of the MBE, and Jeff Condiotty of Simrad USA for the loan of the SM20. We are grateful to Rennie Holt, Director of the United States Antarctic Marine Living Resources program, for availing numerous resources and providing both financial and logistical support. We thank the Master, officers and crew of the R/V Yuzhmorgeologiya, and the personnel at the Cape Shirreff field station for logistical support. MJC was supported by a UK Natural Environment Research Council CASE PhD studentship. This work was conducted as a complement to JDW's and DAD's NSF-funded investigation of the Livingston Island nearshore environment (Grant #06-OPP-33939). We thank A. Jenkins and M. Van Den Berg for skippering the nearshore boats and S. Sessions for skippering the nearshore boats and providing invaluable field expertise.</t>
  </si>
  <si>
    <t>10.1016/j.dsr2.2009.10.003</t>
  </si>
  <si>
    <t>WOS:000277069300004</t>
  </si>
  <si>
    <t>Loeb, V; Hofmann, EE; Klinck, JM; Holm-Hansen, O</t>
  </si>
  <si>
    <t>Loeb, Valerie; Hofmann, Eileen E.; Klinck, John M.; Holm-Hansen, Osmund</t>
  </si>
  <si>
    <t>Hydrographic control of the marine ecosystem in the South Shetland-Elephant Island and Bransfield Strait region</t>
  </si>
  <si>
    <t>Southern Ocean; Euphausia superba; Climate regime shifts; Atmospheric-oceanic coupled processes; Antarctic Dipole; Antarctic Circumpolar Current</t>
  </si>
  <si>
    <t>ANTARCTIC CIRCUMPOLAR CURRENT; KRILL EUPHAUSIA-SUPERBA; WEDDELL-SCOTIA CONFLUENCE; SEA-ICE EXTENT; DRAKE PASSAGE; WATER MASSES; OCEANOGRAPHIC VARIABILITY; SURFACE-TEMPERATURE; CONTINENTAL-SHELF; AUSTRAL SUMMER</t>
  </si>
  <si>
    <t>The South Shetland-Elephant Island and Bransfield Strait region of the West Antarctic Peninsula is an important spawning and nursery ground of Antarctic krill (Euphausia superba) and is an important source of krill to the Southern Ocean. Krill reproductive and recruitment success, hence supply of krill to predator populations locally and in downstream areas, are extremely variable on interannual and longer time scales. Interannual ecosystem variability in this region has long been recognized and thought related to El Nino Southern Oscillation (ENSO) events, but understanding of how has been limited by the hydrographic complexity of the region and lack of appropriate ocean-atmosphere interaction models. This study utilizes multidisciplinary data sets collected in the region from 1990 to 2004 by the U.S. Antarctic Living Marine Resources (AMLR) Program. We focus on hydrographic conditions associated with changes in the distribution, abundance and composition of salp- and copepod-dominated zooplankton assemblages during 1998 and 1999, years characterized respectively by a strong El Nino event and La Nina conditions. We provide detailed analyses of hydrographic, biological and ecological conditions during these dichotomous years in order to identify previously elusive oceanographic processes underlying ecosystem variability. We found that fluctuations between salp-dominated coastal zooplankton assemblages and copepod-dominated oceanic zooplankton assemblages result from the relative influence of Weddell Sea and oceanic waters and that these fluctuations are associated with latitudinal movement of the Southern Antarctic Circumpolar Current Front (sACCf). Latitudinal movements of the sACCf can be explained by meridional atmosphere teleconnections instigated in the western tropical Pacific Ocean by ENSO variability and are consistent with out-of-phase forcing in the South Pacific and South Atlantic Oceans by the Antarctic Dipole high-latitude climate mode. During El Nino decreased northwest winds, equatorward movement of the sACCf and an intensified Weddell Gyre allow Weddell Sea water to flow into eastern Bransfield Strait. During these periods mixing between oceanic and coastal waters is reduced, chlorophyll a concentrations are low, salps numerically dominate the zooplankton, and krill recruitment success is poor. During La Nina increased and more frequent northwest winds and poleward movement of the sACCf allows increased influence of oceanic waters and mixing of these with cold coastal waters. These periods are characterized by numerical dominance of copepods, elevated concentrations of oceanic zooplankton taxa and phytoplankton blooms that promote krill reproduction and recruitment success. Hydrographic and ecological changes after the 1998 El Nino are associated with a shift from frequent El Ninos to the prevalence of La Nina and neutral conditions and conform to a decadal-scale climate regime shift in the Antarctic Peninsula region. (C) 2009 Elsevier Ltd. All rights reserved.</t>
  </si>
  <si>
    <t>[Loeb, Valerie] Moss Landing Marine Labs, Moss Landing, CA 95039 USA; [Hofmann, Eileen E.; Klinck, John M.] Old Dominion Univ, Norfolk, VA 23529 USA; [Holm-Hansen, Osmund] Univ Calif San Diego, Scripps Inst Oceanog, La Jolla, CA 92093 USA</t>
  </si>
  <si>
    <t>Moss Landing Marine Laboratories; Old Dominion University; University of California System; University of California San Diego; Scripps Institution of Oceanography</t>
  </si>
  <si>
    <t>Loeb, V (corresponding author), Moss Landing Marine Labs, 8272 Moss Landing Rd, Moss Landing, CA 95039 USA.</t>
  </si>
  <si>
    <t>loeb@mlml.calstate.edu</t>
  </si>
  <si>
    <t>Klinck, John/0000-0003-4312-5201</t>
  </si>
  <si>
    <t>NOAA [AB5CN0003, JG133F04SE0127, 1A7RJ1231]</t>
  </si>
  <si>
    <t>NOAA(National Oceanic Atmospheric Admin (NOAA) - USA)</t>
  </si>
  <si>
    <t>We thank the captains, crew, colleagues and multitudes of shipboard assistants over the years that helped develop the long-term AMLR data set. We thank also AMLR Program Director Rennie Holt for facilitating the current collaborative effort and AMLR Chief Scientist Christian Reiss for data quality control. Douglas Martinson was of great assistance in supporting our appreciation of the Antarctic Dipole and establishing the climatic regime shift after 1998. We also greatly appreciate his editorial assistance during preparation of this work. Support for VJL was provided by NOAA contract no. AB5CN0003. Support for EEH and JMK was provided by NOAA contract JG133F04SE0127. Support for OHH was provided by NOAA-JIMO grant no. 1A7RJ1231. The views expressed herein are those of the authors and do not necessarily reflect the views of NOAA or any of its subagencies.</t>
  </si>
  <si>
    <t>10.1016/j.dsr2.2009.10.004</t>
  </si>
  <si>
    <t>WOS:000277069300005</t>
  </si>
  <si>
    <t>Chapman, EW; Hofmann, EE; Patterson, DL; Fraser, WR</t>
  </si>
  <si>
    <t>Chapman, Erik W.; Hofmann, Eileen E.; Patterson, Donna L.; Fraser, William R.</t>
  </si>
  <si>
    <t>The effects of variability in Antarctic krill (Euphausia superba) spawning behavior and sex/maturity stage distribution on Adelie penguin (Pygoscelis adeliae) chick growth: A modeling study</t>
  </si>
  <si>
    <t>Adelie penguin; Antarctic krill; Chick growth</t>
  </si>
  <si>
    <t>KING-GEORGE-ISLAND; SEA-ICE CONDITIONS; CHINSTRAP PENGUINS; CHEMICAL-COMPOSITION; ENERGY-REQUIREMENTS; POPULATION-DYNAMICS; PIGEON GUILLEMOTS; CONTINENTAL-SHELF; JACKASS PENGUIN; CLIMATE-CHANGE</t>
  </si>
  <si>
    <t>Factors that control variability in energy density of Antarctic krill (Euphausia superba) populations, and the consequences of this variability for growth and fledging mass of Adelie penguin (Pygoscelis adeliae) chicks, were investigated using an individual-based energetics model. Lipid content as a function of sex/maturity stage and season was used to calculate the energy density of krill ingested by chicks. Simulations tested the influence of variability in krill size-class distribution, sex-ratio, length-at-maturity, and the timing of spawning on krill population energy density and penguin chick fledging mass. Of the parameters included in simulations, variability in the timing of krill spawning had the greatest influence on predicted Adelie penguin fledging mass, with fledging mass decreasing from 3.30 to 2.92 kg when peak spawning was shifted from early December to early March. Adelie penguin chicks that fledge from colonies along the western Antarctic Peninsula (wAP) and survive to recruit into the breeding population are 0.117 kg heavier than those that do not survive to breed. Thus, it appears that small differences in fledging mass potentially have significant implications for Adelie penguin chick survivorship. Therefore, the timing of krill spawning may have important consequences for Adelie penguins, and other top-predator species, that may time critical activities to coincide with a period of dependable prey availability with maximum energy density. (C) 2009 Elsevier Ltd. All rights reserved.</t>
  </si>
  <si>
    <t>[Chapman, Erik W.; Hofmann, Eileen E.] Old Dominion Univ, Ctr Coastal Phys Oceanog, Norfolk, VA 23529 USA; [Patterson, Donna L.; Fraser, William R.] Polar Oceans Res Grp, Sheridan, MT 59749 USA</t>
  </si>
  <si>
    <t>Old Dominion University</t>
  </si>
  <si>
    <t>Chapman, EW (corresponding author), Old Dominion Univ, Ctr Coastal Phys Oceanog, 4111 Monarch Way, Norfolk, VA 23529 USA.</t>
  </si>
  <si>
    <t>chapman@ccpo.odu.edu</t>
  </si>
  <si>
    <t>National Science Foundation [ANT-0323254, OPP-9011927, OPP-9605596, OPP-0130525, OPP-0217282, OPP-0224727, OPP-052361, ANT-0523254]; Office of Polar Programs (OPP); Directorate For Geosciences [0741351, 0823101] Funding Source: National Science Foundation</t>
  </si>
  <si>
    <t>National Science Foundation(National Science Foundation (NSF)); Office of Polar Programs (OPP); Directorate For Geosciences(National Science Foundation (NSF)NSF - Directorate for Geosciences (GEO))</t>
  </si>
  <si>
    <t>We thank B. Salihoglu for providing the original framework for the chick growth model. We are grateful to S. Kawaguchi and J. Torres for their helpful comments and suggestions that both motivated and guided this work. We also thank S. Stammerjohn for help in understanding recent trends in seasonal ice-coverage off the western Antarctic Peninsula. W.R. Karasov provided critical suggestions and insight into the complex physiological transition that occurs as chicks develop from hatchling to fledgling. This information provided the basis for parameterization of physiological processes used in the chick growth model. We also thank the Palmer Station support staff for facilitating our long-term data collection efforts. Furthermore, we are grateful for the assistance provided by many field team members who have helped with the data collection over the years. This research is funded through National Science Foundation Grants ANT-0323254, OPP-9011927, OPP-9605596, OPP-0130525, OPP-0217282, OPP-0224727 and OPP-052361. The development of the penguin chick growth model was supported by National Science Foundation Grant ANT-0523254 and is part of the US Southern Ocean Global Oceans Ecosystem Dynamics synthesis and integration phase.</t>
  </si>
  <si>
    <t>10.1016/j.dsr2.2009.10.005</t>
  </si>
  <si>
    <t>WOS:000277069300006</t>
  </si>
  <si>
    <t>Nishikawa, J; Toczko, S; Hosie, GW</t>
  </si>
  <si>
    <t>Nishikawa, Jun; Toczko, Sean; Hosie, Graham W.</t>
  </si>
  <si>
    <t>Distribution and community structure of euphausiids in the Southern Ocean along the 140°E meridian during the austral summer 2001/2002</t>
  </si>
  <si>
    <t>Euphausiids; Biomass; Southern Ocean; Community; Latitudinal zonation</t>
  </si>
  <si>
    <t>EAST ANTARCTICA 80-150-DEGREES-E; CONTINUOUS PLANKTON RECORDER; SCOTIA SEA; BIOLOGICAL/OCEANOGRAPHIC SURVEY; ZOOPLANKTON COMMUNITIES; POPULATION-STRUCTURE; PRYDZ BAY; KRILL; ABUNDANCE; JANUARY</t>
  </si>
  <si>
    <t>The abundance, biomass, diversity and community structure of euphausiids in the Southern Ocean along the 140 degrees E meridian from latitudes 47 degrees S-65 degrees S were examined by RMT8 from 0 to ca. 1000 m during the 2001/2002 austral summer. Both total abundance and biomass of euphausiids were much higher in the south of the southern branch of the Polar Front (PF-S) located at 60 degrees S-61 degrees S than in the northern part, corresponding with higher chlorophyll a concentrations. Eleven species of euphausiids were collected from the research areas: 2 species of Thysanoessa, 6 of Euphausia, and a single species each of Thysanopoda, Bentheuphausia and Nematoselis. In Euphausia and Thysanoessa, clear horizontal distribution patterns enabled the classification of each species into one of 3 different types: species occurring only at stations north of the PF, species occurring in a broad distribution from south of the PF-S to the south of the Southern Boundary (SB) of the Antarctic Circumpolar Current, and species occurring only south of the SB. The latitudinal zonations occurrence and peak abundance were evident for all species. Hierarchical cluster analysis by species and station resulted in the identification of 2 distinct communities of euphausiids: community I comprised the three stations north of the PF where both euphausiid abundance and biomass were relatively low, and 2 species, Thysanopoda acutifrons and Thysanoessa gregaria dominated, community II comprised the southern five stations where abundance and biomass were high and Euphausia frigida, E. superba and Thysanoessa macrura were numerically dominant. Among the five oceanographic fronts within the research area, the PF (either south or north) appears to be the important biogeographical boundary separating abundance, biomass, and the community structure of euphausiids. (C) 2009 Elsevier Ltd. All rights reserved.</t>
  </si>
  <si>
    <t>[Nishikawa, Jun; Toczko, Sean] Univ Tokyo, Ocean Res Inst, Nakano Ku, Tokyo 1648639, Japan; [Hosie, Graham W.] Australian Antarctic Div, Kingston, Tas 7050, Australia</t>
  </si>
  <si>
    <t>University of Tokyo; Australian Antarctic Division</t>
  </si>
  <si>
    <t>Nishikawa, J (corresponding author), Univ Tokyo, Ocean Res Inst, Nakano Ku, 1-15-1 Minamidai, Tokyo 1648639, Japan.</t>
  </si>
  <si>
    <t>jn@ori.u-tokyo.ac.jp</t>
  </si>
  <si>
    <t>Nishikawa, Jun/AAE-5355-2020</t>
  </si>
  <si>
    <t>Nishikawa, Jun/0000-0003-1044-0600; Toczko, Sean/0000-0002-0906-8592</t>
  </si>
  <si>
    <t>Ministry of Education, Sciences, Sports and Culture of Japan [13760139, 17780152]; Grants-in-Aid for Scientific Research [13760139, 17780152] Funding Source: KAKEN</t>
  </si>
  <si>
    <t>Ministry of Education, Sciences, Sports and Culture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</si>
  <si>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the reviewers for their critical reading of the manuscript and provision of valuable comments. We also appreciate Shozo Sawamoto for his support in the identification of damaged euphausiids. Thanks are extended to the captain and crew of the R/V Hakuho Maru and scientists onboard for their assistance in the collection and on board processing of samples. We would like to thank Mitsuo Fukuchi, So Kawaguchi, William T. Peterson and Dhugal J. Lindsay for their support in the preparation of this manuscript. This study was supported by a Grant-in-Aid from the Ministry of Education, Sciences, Sports and Culture of Japan awarded to JN (JSPS no.13760139, 17780152).</t>
  </si>
  <si>
    <t>10.1016/j.dsr2.2009.10.006</t>
  </si>
  <si>
    <t>WOS:000277069300007</t>
  </si>
  <si>
    <t>Färber-Lorda, J; Mayzaud, P</t>
  </si>
  <si>
    <t>Faerber-Lorda, Jaime; Mayzaud, Patrick</t>
  </si>
  <si>
    <t>Morphology and total lipids in Thysanoessa macura from the southern part of the Indian Ocean during summer. Spatial and sex differences</t>
  </si>
  <si>
    <t>Ecology; Antarctic krill; Morphometrics; Lipids; Feeding adaptations; Antarctic Ocean; Southern Indian Ocean; Cosmonaut Sea; Off Enderby Land</t>
  </si>
  <si>
    <t>ANTARCTIC KRILL; EUPHAUSIA-SUPERBA; MACRURA CRUSTACEA; SCOTIA SEA; MIGRATION; GROWTH; WATERS; STRAIT; LARVAL</t>
  </si>
  <si>
    <t>Samples obtained during austral summer (February) were utilized to study the morphological differences of Thysanoessa macrura and the total lipid content, in relation to sex and geographic location. This species shows an evolution in morphometry, its carapace length increases slightly with sexual maturation, and its second thoracic leg becomes bigger and stronger, as well as its dactylus and especially the setae in the dactylus, which are stronger in a bigger animal allowing them to feed on other lipid-rich zooplankton. All these characteristics seem to support the hypothesis that animals change their diet during this period, allowing them to grow faster during summer, and accumulate lipids as a reserve material. This hypothesis is supported by a steeper slope in the length-weight regression during summer and an even steeper slope of the regression between carapace length and total lipids, especially adults. Great differences in lipid content were found between subadults and adults during this season, being higher in adults and, especially females. Lipids were higher in the northern stations in frontal area. A significant difference in lipid content was found among the stations sampled. Also a significant difference in lipid content was found between subadults, males and females. The species has a longer reproductive season than previously thought, which could depend on local conditions. Its development is accelerated during the summer bloom. Life history strategies of subadults and adults are apparently quite different, according to our lipid results and morphometrics data. Lipids reserves in subadults are not accumulated during summer, thus. T. macrura must accumulate massive amounts of lipids during autumn or late summer as a survival strategy of the species, as proposed for other species. (C) 2009 Elsevier Ltd. All rights reserved.</t>
  </si>
  <si>
    <t>[Faerber-Lorda, Jaime] Ctr Invest Cient &amp; Educ Super Ensenda, Div Oceanol, Ensenada, Baja California, Mexico; [Mayzaud, Patrick] Observ Oceanol Oceanog Biochim &amp; Ecol, F-06230 Villefranche Sur Mer, France</t>
  </si>
  <si>
    <t>CICESE - Centro de Investigacion Cientifica y de Educacion Superior de Ensenada</t>
  </si>
  <si>
    <t>Färber-Lorda, J (corresponding author), Ctr Invest Cient &amp; Educ Super Ensenda, Div Oceanol, Carr Tijuana Ensenada,Km 103, Ensenada, Baja California, Mexico.</t>
  </si>
  <si>
    <t>jfarber@cicese.mx</t>
  </si>
  <si>
    <t>10.1016/j.dsr2.2009.11.001</t>
  </si>
  <si>
    <t>WOS:000277069300008</t>
  </si>
  <si>
    <t>Shaw, CT; Peterson, WT; Feinberg, LR</t>
  </si>
  <si>
    <t>Shaw, C. Tracy; Peterson, William T.; Feinberg, Leah R.</t>
  </si>
  <si>
    <t>Growth of Euphausia pacifica in the upwelling zone off the Oregon coast</t>
  </si>
  <si>
    <t>Zooplankton; Euphausiids; Euphausia pacifica; Growth rate; Seasonal variations; Oregon Coast</t>
  </si>
  <si>
    <t>ANTARCTIC KRILL; MEGANYCTIPHANES-NORVEGICA; THYSANOESSA-INERMIS; MOLT CYCLE; SUPERBA; VARIABILITY; LENGTH; RATES; TEMPERATURE; CALIFORNIA</t>
  </si>
  <si>
    <t>Growth rates and intermolt periods for Euphausia pacifica were determined from individual growth rate (IGR) experiments carried out over a 7-year period (2000-2006) on euphausiids collected off the Oregon Coast. Adult growth rates averaged 0.020 mm total length (TL) day(-1) during the summer upwelling season and 0.011 mm TL day(-1) during the winter downwelling season. Average intermolt period (IMP) was 8 d during upwelling and 11 d during downwelling. Growth rates and IMPs were highly variable, and were not related to surface chl-a concentration or length of the euphausiid. Negative growth occurred at all times of year. Negative growth rates during winter downwelling were most likely related to poor feeding conditions, while negative growth rates during the summer upwelling season were likely a result of the euphausiids investing ingested energy towards reproduction rather than somatic growth. Growth rates from this study using the IGR method were generally lower than E. pacifica growth rates from other studies that used the cohort analysis method. Since negative growth rates are difficult to capture using cohort analysis, we calculated a seasonal growth rate using only the positive values from our experiments to compare with cohort analysis growth rates. These seasonal positive growth rates were 0.08 mm TL d(-1) (2.4 mm month(-1)) for the upwelling season and 0.04 mm TL d(-1) (1.2 mm month(-1)) for the downwelling season, equivalent to weight-specific growth rates of 0.0135 d(-1) (upwelling) and 0.0089 d(-1) (downwelling), and are comparable to rates obtained in other studies using cohort analysis. Highest annual growth rates during upwelling were measured in 2004 (warm) and 2006 (cold), suggesting that E. pacifica is less affected by warm and cool periods than other types of zooplankton, such as copepods. (C) 2009 Elsevier Ltd. All rights reserved.</t>
  </si>
  <si>
    <t>[Shaw, C. Tracy; Feinberg, Leah R.] Oregon State Univ, Cooperat Inst Marine Resources Studies, Newport, OR 97365 USA; [Peterson, William T.] NOAA Fisheries, NW Fisheries Sci Ctr, Newport, OR 97365 USA</t>
  </si>
  <si>
    <t>Oregon State University; National Oceanic Atmospheric Admin (NOAA) - USA</t>
  </si>
  <si>
    <t>Shaw, CT (corresponding author), Oregon State Univ, Cooperat Inst Marine Resources Studies, 2030 SE Marine Sci Dr, Newport, OR 97365 USA.</t>
  </si>
  <si>
    <t>tracy.shaw@oregonstate.edu; bill.peterson@noaa.gov; leah.feinberg@oregonstate.edu</t>
  </si>
  <si>
    <t>Division Of Ocean Sciences; Directorate For Geosciences [0816358] Funding Source: National Science Foundation</t>
  </si>
  <si>
    <t>Division Of Ocean Sciences; Directorate For Geosciences(National Science Foundation (NSF)NSF - Directorate for Geosciences (GEO))</t>
  </si>
  <si>
    <t>10.1016/j.dsr2.2009.10.008</t>
  </si>
  <si>
    <t>WOS:000277069300010</t>
  </si>
  <si>
    <t>Gómez-Gutiérrez, J; Rodríguez-Jaramillo, C; Del Angel-Rodríguez, J; Robinson, CJ; Zavala-Hernández, C; Martínez-Gómez, S; Tremblay, N</t>
  </si>
  <si>
    <t>Gomez-Gutierrez, Jaime; Rodriguez-Jaramillo, Carmen; Del Angel-Rodriguez, Jorge; Robinson, Carlos J.; Zavala-Hernandez, Christian; Martinez-Gomez, Samuel; Tremblay, Nelly</t>
  </si>
  <si>
    <t>Biology of the subtropical sac-spawning euphausiid Nyctiphanes simplex in the northwestern seas of Mexico: Interbrood period, gonad development, and lipid content</t>
  </si>
  <si>
    <t>Nyctiphanes simplex; Sac-spawning; Interbrood period; Histology of gonads; Lipids; Spermatogenesis</t>
  </si>
  <si>
    <t>MEGANYCTIPHANES-NORVEGICA CRUSTACEA; EARLY LARVAL DEVELOPMENT; BAJA-CALIFORNIA-SUR; ANTARCTIC KRILL; POPULATION-STRUCTURE; OVARIAN DEVELOPMENT; HATCHING MECHANISM; NORTHERN KRILL; SUPERBA DANA; BIOCHEMICAL-COMPOSITION</t>
  </si>
  <si>
    <t>Interbrood period, gonad development, and total lipid content throughout the oogenesis and spermatogenesis processes of the subtropical euphausiid Nyctiphanes simplex were studied. Specimens were collected during six oceanographic cruises in Bahia Magdalena (March, July, and December 2004) and in the Gulf of California (November 2005 and January and July 2007). Females attained first spawning when similar to 7.5 mm total length (&gt; 52 days old). Histological evidence indicates that N. simplex females have group-synchronous ovaries, able to produce four broods per gonadic cycle, since ovigerous females develop simultaneously in three and four distinct substages (Oc1, Oc2, Oc3, and Oc4) in their gonads. Once females mature, as shown by pale pink gonads, they may reabsorb their gonads in &lt;4 days. Direct observations indicate that after a variable resting period, the formation of oogonia to vitellogenesis takes similar to 3 days, investing similar to 8% (4-14%) of weight-specific carbon body weight to reproduction (lipid approach) with an average interbrood period of 10 days (range: 7-26 days, estimated by three distinct methods). About 22% of the ovigerous females in the metanauplius stage show gonad development in vitellogenesis, likely spawning between 7 and 9 days. The rest of the female population have an interbrood period that is considerably &gt; 10 days. Embryonic development in the ovigerous sac last &lt;3 days (16 degrees C), hatching always as nauplius (usually 100% hatching success); the metanauplii are released from the ovigerous sac in a median of 5 days after spawning. Although sac-spawning euphausiid species may have comparatively lower total fecundity than broadcast-spawning species, they seem to have relatively similar reproductive effort and higher hatching success that increases larval recruitment rates, compared to similar size temperate broadcast-spawners. This partially explains why sac-spawners of the genera Nyctiphanes, Nematoscelis, and Pseudeuphausia are numerically dominant euphausiids in several highly eutrophic temperate, subtropical, and tropical ecosystems. N. simplex males have a continuous spermatogenesis after they attain size at first maturity; continuously allocating similar to 5.4% of weight-specific carbon to reproduction, results that are significantly different than previous assumptions that euphausiid male spermatogenesis is energetically insignificant. (C) 2009 Elsevier Ltd. All rights reserved.</t>
  </si>
  <si>
    <t>[Gomez-Gutierrez, Jaime; Del Angel-Rodriguez, Jorge; Zavala-Hernandez, Christian; Martinez-Gomez, Samuel; Tremblay, Nelly] Ctr Interdisciplinario Ciencias Marinas, Dept Plancton &amp; Ecol Marina, La Paz 23096, Baja California, Mexico; [Rodriguez-Jaramillo, Carmen; Del Angel-Rodriguez, Jorge] Ctr Invest Biol Noroeste, La Paz 23096, Baja California, Mexico; [Robinson, Carlos J.] Univ Nacl Autonoma Mexico, Inst Ciencias Mar &amp; Limnol, Lab Ecol Pesquerias, Mexico City 04510, DF, Mexico</t>
  </si>
  <si>
    <t>Telefonica SA; CIBNOR - Centro de Investigaciones Biologicas del Noroeste; Universidad Nacional Autonoma de Mexico</t>
  </si>
  <si>
    <t>Gómez-Gutiérrez, J (corresponding author), Ctr Interdisciplinario Ciencias Marinas, Dept Plancton &amp; Ecol Marina, Av IPN,Col Palo de Santa Rita S-N, La Paz 23096, Baja California, Mexico.</t>
  </si>
  <si>
    <t>jagomezg@ipn.mx</t>
  </si>
  <si>
    <t>Del Angel-Rodríguez, Jorge A./AAI-9707-2021; Tremblay, Nelly/K-2552-2014</t>
  </si>
  <si>
    <t>Del Angel-Rodríguez, Jorge A./0000-0002-9960-1337; Tremblay, Nelly/0000-0002-8221-4680; Martinez, Samuel/0000-0002-6441-3010; Rodriguez-Jaramillo, Maria del Carmen/0000-0003-3926-9560</t>
  </si>
  <si>
    <t>S.N.I.; COFAA-IPN; EDI-IPN; Centro Interdisciplinario de Ciencias Marinas-Instituto Politecnico Nacional; CONACYT-FOSEMARNAT; CONACYT-SAGAR-PA; Instituto de Ciencias del Mar y Limnologia at the Universidad Nacional Autonoma de Mexico</t>
  </si>
  <si>
    <t>S.N.I.; COFAA-IPN; EDI-IPN; Centro Interdisciplinario de Ciencias Marinas-Instituto Politecnico Nacional; CONACYT-FOSEMARNAT; CONACYT-SAGAR-PA(Consejo Nacional de Ciencia y Tecnologia (CONACyT)); Instituto de Ciencias del Mar y Limnologia at the Universidad Nacional Autonoma de Mexico</t>
  </si>
  <si>
    <t>We thank Eulalia Meza at CIBNOR for technical assistance in histology, Karmina Arroyo-Ramirez for technical assistance with the DEPBAMA biological data, and Ira Fogel at CIBNOR for editorial clarification. We also thank the crew of the R/V 'El Puma,' graduate students and researchers at the Fisheries Ecology Laboratory of ICMyL-UNAM, UABCS, and CICIMAR for their assistance with acoustical and zooplankton sampling. J.G.G. and C.J.R. were supported by S.N.I. fellowships and J.G.G. by grants from COFAA-IPN and EDI-IPN. This project was funded by grants from Centro Interdisciplinario de Ciencias Marinas-Instituto Politecnico Nacional, CONACYT-FOSEMARNAT, CONACYT-SAGAR-PA, and Instituto de Ciencias del Mar y Limnologia at the Universidad Nacional Autonoma de Mexico. We thank to the three referees for made cleaver critics that significantly improved the content of this manuscript.</t>
  </si>
  <si>
    <t>10.1016/j.dsr2.2009.10.011</t>
  </si>
  <si>
    <t>WOS:000277069300013</t>
  </si>
  <si>
    <t>Hamame, M; Antezana, T</t>
  </si>
  <si>
    <t>Hamame, Madeleine; Antezana, Tarsicio</t>
  </si>
  <si>
    <t>Vertical diel migration and feeding of Euphausia vallentini within southern Chilean fjords</t>
  </si>
  <si>
    <t>Vertical diel migration; Euphausia vallentini; Feeding ecology; Plankton; Chilean fjords; Strait of Magellan</t>
  </si>
  <si>
    <t>GUT CONTENTS; ANTARCTIC KRILL; OCEAN; ISLANDS; ZOOPLANKTON; PATTERNS; BENGUELA; RATES; PENGUINS; DYNAMICS</t>
  </si>
  <si>
    <t>E. vallentini is a circumpolar vertical migrator in the open ocean that enters the Chilean fjords through the sills to become the most common and abundant euphausiid. The diel migratory and feeding patterns of this species are studied in this distinct, enclosed and bathymetrically variable environment. The main goal was to determine the ability of E. vallentini to alter its vertical diel range in order to avoid shallow depths, or to maintain its depth migratory range and take advantage of benthic environment during daytime. Multiple opening closing nets sampled the water column in several basins along the Strait of Magellan. Fluorometrically determined stomach pigments along with on board experiments of evacuation rates allowed estimation of ingestion and consumption rates. Samples of stomach content were microscopically examined to compare day and night diet. E. vallentini migrated between the surface at night and 100-200 m in daytime. Surface night dwellers had higher chlorophyll stomach content than deep daytime dwellers. Diet composition changed from dinoflagellates and tintinnids at night, to a polychaeths-dominated diet in daytime. Stomach content, ingestion rates and consumption rates of phytoplankton were higher at night than in daytime, and accounted for an impact of 0.17% upon phytoplankton biomass. Changes of diet of E. vallentini imply unique adaptations to take advantage of both pelagic and demersal environments, which could explain its high abundance and high frequency of encounter within the southern Chilean fjords. (C) 2009 Elsevier Ltd. All rights reserved.</t>
  </si>
  <si>
    <t>[Antezana, Tarsicio] Univ Concepcion, Dept Oceanog, Concepcion, Chile; [Hamame, Madeleine] CIEP, Bilbao 449, Coyhaique, Chile</t>
  </si>
  <si>
    <t>Universidad de Concepcion</t>
  </si>
  <si>
    <t>Antezana, T (corresponding author), Univ Concepcion, Dept Oceanog, POB 4010, Concepcion, Chile.</t>
  </si>
  <si>
    <t>mhamame@ciep.cl; antezana@udec.cl</t>
  </si>
  <si>
    <t>University of Concepcion; Integrative Oceanography Division; Invertebrate Collection of Scripps Institution of Oceanography</t>
  </si>
  <si>
    <t>The authors benefited by the invitation to join R.V. Italica cruise in the Strait of Magellan (National Italian Program of Antarctic Research) by chief scientist L. Guglielmo, and sharing of samples and oceanographic data. The authors acknowledge facilities and financial support of University of Concepcion as well. During last stage of MS preparation and editing, the support of Integrative Oceanography Division and Invertebrate Collection of Scripps Institution of Oceanography during sabbatical leave of absence (TA) is highly appreciated. We are sincerely grateful to anonymous referees.</t>
  </si>
  <si>
    <t>10.1016/j.dsr2.2009.10.013</t>
  </si>
  <si>
    <t>WOS:000277069300015</t>
  </si>
  <si>
    <t>Harvey, HR; Ju, SJ; Son, SK; Feinberg, LR; Shaw, CT; Peterson, WT</t>
  </si>
  <si>
    <t>Harvey, H. R.; Ju, Se-J.; Son, S-K.; Feinberg, L. R.; Shaw, C. T.; Peterson, W. T.</t>
  </si>
  <si>
    <t>The biochemical estimation of age in Euphausiids: Laboratory calibration and field comparisons</t>
  </si>
  <si>
    <t>Euphausiids; Euphausia pacifica; Euphausia superba; Ageing; Lipofuscin; Demographic structure</t>
  </si>
  <si>
    <t>CRAB CALLINECTES-SAPIDUS; ANTARCTIC KRILL; EXTRACTABLE LIPOFUSCIN; SUPERBA; VARIABILITY; CRUSTACEANS; PACIFICA; GROWTH; ACCUMULATION; LONGEVITY</t>
  </si>
  <si>
    <t>Euphausiids play a key role in many marine ecosystems as a link between primary producers and top predators. Understanding their demographic (i.e. age) structure is an essential tool to assess growth and recruitment as well as to determine how changes in environmental conditions might alter their condition and distribution. Age determination of crustaceans cannot be accomplished using traditional approaches, and here we evaluate the potential for biochemical products of tissue metabolism (termed lipofuscins) to determine the demographic structure of euphausiids in field collections. Lipofuscin was extracted from krill neural tissues (eye and eye-stalk), quantified using fluorescent intensity and normalized to tissue protein content to allow comparisons across animal sizes. Multiple fluorescent components from krill were observed, with the major product having a maximum fluorescence at excitation of 355 nm and emission of 510 nm. Needed age calibration of lipofuscin accumulation in Euphausia pacifica was accomplished using known-age individuals hatched and reared in the laboratory for over one year. Lipofuscin content extracted from neural tissues of laboratory-reared animals was highly correlated with the chronological age of animals (r=0.87). Calibrated with laboratory lipofuscin accumulation rates, field-collected sub-adult and adult E. pacifica in the Northeast Pacific were estimated to be older than 100 days and younger than 1 year. Comparative data for the Antarctic krill, E. superba showed much higher lipofuscin values suggesting a much longer lifespan than the more temperate species, E. pacifica. These regional comparisons suggest that biochemical indices allow a practical approach to estimate population age structure of diverse populations, and combined with other measurements can provide estimates of vital rates (i.e. longevity, mortality, growth) for krill populations in dynamic environments. (C) 2009 Elsevier Ltd. All rights reserved.</t>
  </si>
  <si>
    <t>[Ju, Se-J.; Son, S-K.] Korea Ocean &amp; Res Dev Inst, Deep Sea &amp; Marine Georesources Res Dept, Seoul 425600, South Korea; [Harvey, H. R.] Univ Maryland, Ctr Environm Sci, Chesapeake Biol Lab, Solomons, MD 20688 USA; [Feinberg, L. R.; Shaw, C. T.] Oregon State Univ, Hatfield Marine Sci Ctr, Cooperat Inst Marine Resources Studies, Newport, OR 97365 USA; [Peterson, W. T.] Natl Marine Fisheries Serv, Hatfield Marine Sci Ctr, Newport, OR 97365 USA</t>
  </si>
  <si>
    <t>Korea Institute of Ocean Science &amp; Technology (KIOST); University System of Maryland; University of Maryland Center for Environmental Science; Oregon State University; National Oceanic Atmospheric Admin (NOAA) - USA; National Aeronautics &amp; Space Administration (NASA)</t>
  </si>
  <si>
    <t>Ju, SJ (corresponding author), Korea Ocean &amp; Res Dev Inst, Deep Sea &amp; Marine Georesources Res Dept, POB 29, Seoul 425600, South Korea.</t>
  </si>
  <si>
    <t>sjju@kordi.re.kr</t>
  </si>
  <si>
    <t>Ju, Se-Jong/A-9029-2009</t>
  </si>
  <si>
    <t>NSF [OPP-9910043]; NOAA [OCE-0000732]; KORDI [PE98314, PM54903]; KORP; Directorate For Geosciences; Division Of Ocean Sciences [0816358] Funding Source: National Science Foundation</t>
  </si>
  <si>
    <t>NSF(National Science Foundation (NSF)); NOAA(National Oceanic Atmospheric Admin (NOAA) - USA); KORDI; KORP; Directorate For Geosciences; Division Of Ocean Sciences(National Science Foundation (NSF)NSF - Directorate for Geosciences (GEO))</t>
  </si>
  <si>
    <t>We thank Rachael Dyda, Steve McGuire, and Susan Klosterhaus for their assistance in the collection of euphausiids. This work was supported by NSF through the Southern Ocean GLOBEC program (OPP-9910043) and NOAA through the NEP-GLOBEC program (OCE-0000732). S.-J. Ju was also partially supported by KORDI projects (PE98314 &amp; PM54903) and the industrial and academic outstanding researcher invitation program sponsored by KORP. This manuscript is contribution No. 4363 of The University of Maryland Center for Environmental Science and contribution No. 651 of US GLOBEC program.</t>
  </si>
  <si>
    <t>10.1016/j.dsr2.2009.10.015</t>
  </si>
  <si>
    <t>WOS:000277069300017</t>
  </si>
  <si>
    <t>Brown, M; Kawaguchi, S; Candy, S; Virtue, P</t>
  </si>
  <si>
    <t>Brown, Matthew; Kawaguchi, So; Candy, Steven; Virtue, Patti</t>
  </si>
  <si>
    <t>Temperature effects on the growth and maturation of Antarctic krill (Euphausia superba)</t>
  </si>
  <si>
    <t>Exoskeleton; Seasonal; Compensation; Regression; Modelling</t>
  </si>
  <si>
    <t>MODELING GROWTH; MOLT CYCLE; RATES; CRUSTACEA; MANAGEMENT; SHRINKAGE; FISHERIES; LENGTH; SEX</t>
  </si>
  <si>
    <t>This paper describes growth and maturation of individual Antarctic krill for a complete annual cycle in an artificially controlled environment. Antarctic krill were kept individually and maintained under temperature regimes of -1, 1 and 3 degrees C. while light conditions simulated natural seasonal conditions for the 14 months of the experiment starting in April. The growth increment (GI), instantaneous growth rate (IGR), daily growth rate (DGR), intermoult period (IMP) and maturity scores (MS) were tracked by measuring the consecutively moulted exoskeletons and modelled using linear mixed models (LMMs). There was a clear seasonal trend in growth and maturity in the three different temperature treatments. Males generally reached peak growth rates and matured earlier than females, but females showed higher growth rates overall. Negative growth occurred towards the end of January for both males and females, coinciding with the regression of external sexual characteristics. There was, as expected, a significant decline in IMP with increasing temperature, which was moderated by increasing trends with total length (TL) and month for the -1 degrees C treatment. For the 1 and 3 degrees C treatments there was no relationship with TL and the season effect declined after October and December, respectively. For krill with a TL of 40 mm in October, the predicted mean IMP values at -1, 1 and 3 degrees C were 28 days, 24 days and 19 days, respectively. There was some evidence to suggest that 1 degrees C was optimum for growth, as the IMP was significantly lower than at -1 degrees C but the difference in Cl between the two temperatures was not significantly different from zero, while all growth variables were significantly lower for the 3 compared to the -1 degrees C treatment. For the first time, this study has been able to confirm, by fitting a bivariate LMM, that compensation mechanisms do exist between IMP and IGR and to quantify the degree of compensation at both the between- and within-animal levels. This will allow modelling of growth trajectories in the wild to quantify the distribution of length given age. Crown Copyright (C) 2009 Published by Elsevier Ltd. All rights reserved.</t>
  </si>
  <si>
    <t>[Brown, Matthew; Virtue, Patti] Univ Tasmania, Inst Antarctic &amp; So Ocean Studies, Hobart, Tas 7001, Australia; [Brown, Matthew; Kawaguchi, So; Candy, Steven] Australian Antarctic Div, Kingston, Tas 7050, Australia; [Brown, Matthew; Kawaguchi, So] Antarctic Climate &amp; Ecosyst Cooperat Res Ctr, Hobart, Tas 7001, Australia</t>
  </si>
  <si>
    <t>University of Tasmania; Australian Antarctic Division; Antarctic Climate &amp; Ecosystems Cooperative Research Centre (ACE CRC)</t>
  </si>
  <si>
    <t>Brown, M (corresponding author), Univ Tasmania, Inst Antarctic &amp; So Ocean Studies, Private Bag 77, Hobart, Tas 7001, Australia.</t>
  </si>
  <si>
    <t>Matt.Brown@aad.gov.au</t>
  </si>
  <si>
    <t>Kawaguchi, So/0000-0002-2042-5095; Virtue, Patti/0000-0002-9870-1256</t>
  </si>
  <si>
    <t>Tasmanian Graduate Research Scholarship; Australian government's Cooperative Research Centres Programme through the Antarctic Climate and Ecosystems Cooperative Research Centre (ACE CRC)</t>
  </si>
  <si>
    <t>Tasmanian Graduate Research Scholarship; Australian government's Cooperative Research Centres Programme through the Antarctic Climate and Ecosystems Cooperative Research Centre (ACE CRC)(Australian GovernmentDepartment of Industry, Innovation and ScienceCooperative Research Centres (CRC) Programme)</t>
  </si>
  <si>
    <t>We are grateful to the captain and crew of RSV Aurora Australis for their skillful assistance during the collection of krill. We also like to extend our thanks to R. King and P. Cramp for their general support, and contribution and maintenance of the aquarium facilities at the Australian Antarctic Division. This work was supported by the Tasmanian Graduate Research Scholarship and by the Australian government's Cooperative Research Centres Programme through the Antarctic Climate and Ecosystems Cooperative Research Centre (ACE CRC).</t>
  </si>
  <si>
    <t>10.1016/j.dsr2.2009.10.016</t>
  </si>
  <si>
    <t>WOS:000277069300018</t>
  </si>
  <si>
    <t>Kawaguchi, S; King, R; Meijers, R; Osborn, JE; Swadling, KM; Ritz, DA; Nicol, S</t>
  </si>
  <si>
    <t>Kawaguchi, So; King, Rob; Meijers, Rob; Osborn, Jon E.; Swadling, Kerrie M.; Ritz, David A.; Nicol, Stephen</t>
  </si>
  <si>
    <t>An experimental aquarium for observing the schooling behaviour of Antarctic krill (Euphausia superba)</t>
  </si>
  <si>
    <t>Antarctic Krill; Schooling behaviour; Marine crustaceans; Aquaria; Aquaculture facilities; Recirculating systems</t>
  </si>
  <si>
    <t>DAYTIME SURFACE SWARMS; SWIMMING BEHAVIOR; MEGANYCTIPHANES-NORVEGICA; POPULATION-STRUCTURE; SPATIAL-DISTRIBUTION; TARGET STRENGTHS; FLOW-FIELD; AGGREGATION; PACIFICA; BAY</t>
  </si>
  <si>
    <t>Schooling behaviour of Antarctic krill was induced repeatedly over a period of one year in the Australian Antarctic Division research aquarium. The details of the laboratory setup suitable for krill to school are described. Light intensity and food condition were found to affect krill swimming patterns and schooling behaviour. Krill swam in polarised groups and responded as a group to objects that produced sharp contrasts but not to less distinct objects. Schools broke up when they encountered dense phytoplankton patches, and aggregated more tightly when kept with a white featureless background. The diel nature of school formation was observed under simulated natural light conditions with stronger and tighter schools during daytime and no obvious schooling behaviour during night. These behavioural patterns are further discussed in terms of their costs and benefits of feeding and predation risk, in conjunction with the diel vertical migration behaviour of krill. Crown Copyright (C) 2009 Published by Elsevier Ltd. All rights reserved.</t>
  </si>
  <si>
    <t>[Kawaguchi, So; King, Rob; Nicol, Stephen] Australian Antarctic Div, Dept Environm &amp; Heritage, Kingston, Tas 7050, Australia; [Meijers, Rob; Osborn, Jon E.] Univ Tasmania, Sch Geog &amp; Environm Studies, Hobart, Tas 7001, Australia; [Swadling, Kerrie M.] Univ Tasmania, Marine Res Labs, Tasmanian Aquaculture &amp; Fisheries Inst, Hobart, Tas 7001, Australia; [Swadling, Kerrie M.] Univ Tasmania, Sch Zool, Tasmanian Aquaculture &amp; Fisheries Inst, Hobart, Tas 7001, Australia</t>
  </si>
  <si>
    <t>Australian Antarctic Division; University of Tasmania; University of Tasmania; University of Tasmania</t>
  </si>
  <si>
    <t>Kawaguchi, S (corresponding author), Australian Antarctic Div, Dept Environm &amp; Heritage, Channel Hwy, Kingston, Tas 7050, Australia.</t>
  </si>
  <si>
    <t>King, Robert/0000-0002-4650-2335; Swadling, Kerrie/0000-0002-7620-841X; Osborn, Jon/0000-0003-2278-3766; Kawaguchi, So/0000-0002-2042-5095</t>
  </si>
  <si>
    <t>10.1016/j.dsr2.2009.10.017</t>
  </si>
  <si>
    <t>WOS:000277069300019</t>
  </si>
  <si>
    <t>Wille, M; Sutton, J; Ellwood, MJ; Sambridge, M; Maher, W; Eggins, S; Kelly, M</t>
  </si>
  <si>
    <t>Wille, Martin; Sutton, Jill; Ellwood, Michael J.; Sambridge, Malcolm; Maher, William; Eggins, Stephen; Kelly, Michelle</t>
  </si>
  <si>
    <t>Silicon isotopic fractionation in marine sponges: A new model for understanding silicon isotopic variations in sponges</t>
  </si>
  <si>
    <t>EARTH AND PLANETARY SCIENCE LETTERS</t>
  </si>
  <si>
    <t>silicon isotopes; sponges; isotope fractionation; Southern Ocean; silicon</t>
  </si>
  <si>
    <t>MISSING GE SINK; BIOGENIC SILICA; GROWTH-RATE; DIATOMS; GERMANIUM; MECHANISM; SEDIMENTS; PACIFIC; CYCLE</t>
  </si>
  <si>
    <t>The silicon (Si) isotope (delta Si-30) composition of deep-sea sponges from near Antarctica, subantarctic waters (Tasmania Seamounts) and subtropical waters north of New Zealand vary widely between +0.87 parts per thousand and -3.40 parts per thousand (vs. NBS28). Depth profiles show that sponge delta Si-30 compositions trend to lower values with increasing depth. This is exemplified by sponges from the Tasmania Seamounts where delta Si-30 varies from +0.87%. to -3.13%. over a depth range from 100 m to 1200 m. These changes in delta Si-30 of sponges are inconsistent with a Rayleigh type isotope fractionation model requiring constant delta Si-30 fractionation between sponge and seawater. We conclude that overall Si isotope fractionation Delta Si-30 (delta Si-30 sponge - delta Si-30 seawater) is influenced by seawater Si concentration, with more fractionated (lower) isotope values being associated with sponges collected from waters high in Si. We invoke and fit a model whereby the Delta Si-30 fractionation varies as a function Si influx and efflux. Using this model it appears that Delta Si-30 fractionation during transport into the sponge is constant at -1.34 parts per thousand. The model also shows asymptotic behaviour with Delta Si-30 trending towards a maximum of -6.02 parts per thousand at very high Si concentrations. These results suggest that the delta Si-30 composition of fossil spicules may be useful for reconstruction paleo-Si concentrations during the past. (C) 2010 Elsevier B.V. All rights reserved.</t>
  </si>
  <si>
    <t>[Wille, Martin; Sutton, Jill; Ellwood, Michael J.; Sambridge, Malcolm; Eggins, Stephen] Australian Natl Univ, Res Sch Earth Sci, Canberra, ACT 0200, Australia; [Maher, William] Univ Canberra, Ecochem Lab, Inst Appl Ecol, Fac Sci Appl, Canberra, ACT 2601, Australia; [Kelly, Michelle] Natl Inst Water &amp; Atmospher Res Ltd, Natl Ctr Aquat Biodivers &amp; Biosecur, Auckland, New Zealand</t>
  </si>
  <si>
    <t>Australian National University; University of Canberra; National Institute of Water &amp; Atmospheric Research (NIWA) - New Zealand</t>
  </si>
  <si>
    <t>Wille, M (corresponding author), Australian Natl Univ, Res Sch Earth Sci, GPO Box 4, Canberra, ACT 0200, Australia.</t>
  </si>
  <si>
    <t>martin.wille@anu.edu.au</t>
  </si>
  <si>
    <t>Ellwood, Michael J/G-7390-2011; Wille, Martin/A-1973-2009; Wille, Martin/AAU-7512-2020; Eggins, Stephen M/H-6943-2016; Sambridge, Malcolm/E-6902-2011</t>
  </si>
  <si>
    <t>Wille, Martin/0000-0003-1083-4730; Eggins, Stephen/0000-0002-0007-5753; Maher, William A./0000-0001-7564-3383; Sutton, Jill/0000-0003-3664-5049; Sambridge, Malcolm/0000-0003-2858-3175; Ellwood, Michael/0000-0003-4288-8530</t>
  </si>
  <si>
    <t>Australian Government Department of Environment, Water, Heritage and the Arts; CSIRO Wealth from Oceans Flagship; Australia's Marine National Facility; Australian Research Council [DP0770820, DP0771519]; New Zealand Foundation for Research Science and Technology; Australian Research Council [DP0770820, DP0771519] Funding Source: Australian Research Council</t>
  </si>
  <si>
    <t>Australian Government Department of Environment, Water, Heritage and the Arts(Australian Government); CSIRO Wealth from Oceans Flagship(Commonwealth Scientific &amp; Industrial Research Organisation (CSIRO)); Australia's Marine National Facility; Australian Research Council(Australian Research Council); New Zealand Foundation for Research Science and Technology(New Zealand Foundation for Research, Science and Technology); Australian Research Council(Australian Research Council)</t>
  </si>
  <si>
    <t>We thank Alan Williams (CSIRO) and Monika Schlacher-Hoenlinger (Queensland Museum) for Tasmanian sponge material collected on Southern Surveyor voyage SS0207, which received support funding from the Australian Government Department of Environment, Water, Heritage and the Arts, the CSIRO Wealth from Oceans Flagship, and Australia's Marine National Facility vessel. Funding to facilitate the collection of the East Antarctic sponges was from the Australian Antarctic Division. This project is core funded by two Australian Research Council Discovery Project grants DP0770820 and DP0771519. We thank Graham Mortimer for his help in all chemical issues. We thank Andrea De Leon (ANU) for help in collecting sponge specimens on the CAML-CEAMARC voyage aboard the RV Aurora Australis and help from the CAML-CEAMARC team. Sponge specimens collected from northern New Zealand was supported through funding awarded to NIWA from the New Zealand Foundation for Research Science and Technology. We are grateful to Mark Brzezinski (UCSB) for providing the diatom and Big Batch silicon isotope standards.</t>
  </si>
  <si>
    <t>0012-821X</t>
  </si>
  <si>
    <t>EARTH PLANET SC LETT</t>
  </si>
  <si>
    <t>Earth Planet. Sci. Lett.</t>
  </si>
  <si>
    <t>APR 1</t>
  </si>
  <si>
    <t>10.1016/j.epsl.2010.01.036</t>
  </si>
  <si>
    <t>586EP</t>
  </si>
  <si>
    <t>WOS:000276885800005</t>
  </si>
  <si>
    <t>Hendry, KR; Georg, RB; Rickaby, REM; Robinson, LF; Halliday, AN</t>
  </si>
  <si>
    <t>Hendry, Katharine R.; Georg, R. Bastian; Rickaby, Rosalind E. M.; Robinson, Laura F.; Halliday, Alex N.</t>
  </si>
  <si>
    <t>Deep ocean nutrients during the Last Glacial Maximum deduced from sponge silicon isotopic compositions</t>
  </si>
  <si>
    <t>Porifera; spicule; silicic acid; deep water; silicon cycle; glacial</t>
  </si>
  <si>
    <t>SOUTHERN-OCEAN; ATMOSPHERIC CO2; CARBON-ISOTOPE; TAYLOR-DOME; FRACTIONATION; CIRCULATION; DELTA-C-13; HOLOCENE; DIATOMS; WATER</t>
  </si>
  <si>
    <t>The relative importance of biological and physical processes within the Southern Ocean for the storage of carbon and atmospheric pCO(2) on glacial-interglacial timescales remains uncertain. Understanding the impact of surface biological production on carbon export in the past relies on the reconstruction of the nutrient supply from upwelling deep waters. In particular, the upwelling of silicic acid (Si(OH)(4)) is tightly coupled to carbon export in the Southern Ocean via diatom productivity. Here, we address how changes in deep water Si(OH)(4) concentrations can be reconstructed using the silicon isotopic composition of deep-sea sponges. We report delta Si-30 of modern deep-sea sponge spicules and show that they reflect seawater Si(OH)(4) concentration. The fractionation factor of sponge delta Si-30 compared to seawater delta Si-30 shows a positive relationship with Si(OH)(4), which may be a growth rate effect. Application of this proxy in two down-core records from the Scotia Sea reveals that Si(OH)(4) concentrations in the deep Southern Ocean during the Last Glacial Maximum (LGM) were no different than today. Our result does not support a coupling of carbon and nutrient build up in an isolated deep ocean reservoir during the LGM. Our data, combined with records of stable isotopes from diatoms, are only consistent with enhanced LGM Southern Ocean nutrient utilization if there was also a concurrent reduction in diatom silicification or a shift from siliceous to organic-walled phytoplankton. (C) 2010 Elsevier B.V. All rights reserved.</t>
  </si>
  <si>
    <t>[Hendry, Katharine R.; Robinson, Laura F.] Woods Hole Oceanog Inst, Dept Marine Chem &amp; Geochem, Woods Hole, MA 02543 USA; [Hendry, Katharine R.; Georg, R. Bastian; Rickaby, Rosalind E. M.; Halliday, Alex N.] Univ Oxford, Dept Earth Sci, Oxford OX1 3PR, England</t>
  </si>
  <si>
    <t>Woods Hole Oceanographic Institution; University of Oxford</t>
  </si>
  <si>
    <t>Hendry, KR (corresponding author), Woods Hole Oceanog Inst, Dept Marine Chem &amp; Geochem, Woods Hole, MA 02543 USA.</t>
  </si>
  <si>
    <t>khendry@whoi.edu</t>
  </si>
  <si>
    <t>; Hendry, Katharine/E-4793-2011</t>
  </si>
  <si>
    <t>Rickaby, Rosalind/0000-0002-6095-8419; Robinson, Laura/0000-0001-6811-0140; Georg, Bastian/0000-0002-3109-1860; Hendry, Katharine/0000-0002-0790-5895</t>
  </si>
  <si>
    <t>NSF [ANT-0636787, OPP-9011927, OPP-9632763, OPP-0217282]; Natural Environment Research Council (NERC) [NE/F005296/1]; Antarctic Science Bursary; NERC [NE/F003986/1, nigl010001, NE/F005296/1] Funding Source: UKRI; Natural Environment Research Council [NE/F003986/1, nigl010001, NE/F005296/1] Funding Source: researchfish</t>
  </si>
  <si>
    <t>NSF(National Science Foundation (NSF)); Natural Environment Research Council (NERC)(UK Research &amp; Innovation (UKRI)Natural Environment Research Council (NERC)); Antarctic Science Bursary; NERC(UK Research &amp; Innovation (UKRI)Natural Environment Research Council (NERC)); Natural Environment Research Council(UK Research &amp; Innovation (UKRI)Natural Environment Research Council (NERC))</t>
  </si>
  <si>
    <t>The authors would like to thank the captain and crew of the R/V Nathaniel B. Palmer (cruise NBP0805; Program Manager Thomas Wagner). Thanks also to Rhian Waller (University of Hawaii), Laura Schejter (INIDEP, Argentina), Jade Berman (University of Victoria, Wellington), Nicky White (University of Cambridge) and Andy Clarke (British Antarctic Survey) for sponge samples and help with identification. Thanks to Chris Siebert, Helen Williams, Sune Nielsen, Ros Armytage and Paul Savage (University of Oxford) for assistance in the laboratory, Melanie Leng (NIGL) for additional silicon isotope measurements, Maureen Auro and Paul Henderon (WHOI) for assistance with nutrient analyses and Kathy Scanlon (USGS) for map production. Core material and age model from Claire Allen and Claus-Dieter Hillenbrand (British Antarctic Survey). Thanks to Louisa Bradtmiller (WHOI), editor Peter deMenocal and three anonymous reviewers for constructive reviews and discussion. Cruise NBP0805 was funded by NSF Office of Polar Programs (OPP) Antarctic Sciences (grant number ANT-0636787). Data from the Palmer LTER data archive were supported by Office of Polar Programs, NSF grants OPP-9011927, OPP-9632763 and OPP-0217282. The work was funded by the Natural Environment Research Council (NERC) grant NE/F005296/1 and an Antarctic Science Bursary. The authors declare no competing financial interests.</t>
  </si>
  <si>
    <t>1385-013X</t>
  </si>
  <si>
    <t>10.1016/j.epsl.2010.02.005</t>
  </si>
  <si>
    <t>WOS:000276885800006</t>
  </si>
  <si>
    <t>Weise, MJ; Harvey, JT; Costa, DP</t>
  </si>
  <si>
    <t>Weise, Michael J.; Harvey, James T.; Costa, Daniel P.</t>
  </si>
  <si>
    <t>The role of body size in individual-based foraging strategies of a top marine predator</t>
  </si>
  <si>
    <t>ECOLOGY</t>
  </si>
  <si>
    <t>body size; California sea lion; diving behavior; foraging strategy; individual specialization; predator-prey interactions; sexual dimorphism; Zalophus californianus</t>
  </si>
  <si>
    <t>CALIFORNIA SEA LIONS; ANTARCTIC FUR SEALS; ZALOPHUS-CALIFORNIANUS; DIVING BEHAVIOR; NEW-ZEALAND; FISHERIES; PATTERNS; ECOLOGY; TIME; VARIABILITY</t>
  </si>
  <si>
    <t>Body size is an important determinant of the diving and foraging ability in air-breathing marine vertebrate predators. Satellite-linked dive recorders were used during 2003-2004 to investigate the foraging behavior of 22 male California sea lions (Zalophus californianus, a large, sexually dimorphic otariid) and to evaluate the extent to which body size explained variation among individuals and foraging strategies. Multivariate analyses were used to reduce the number of behavioral variables used to characterize foraging strategies (principal component analysis. PCA), to identify individually based foraging strategies in multidimensional space (hierarchical cluster analysis), and to classify each individual into a cluster or foraging strategy (discriminant analysis). Approximately 81.1% of the variation in diving behavior among individuals was explained by three factors: diving patterns,(PC1), foraging effort (PC2), and. behavior at the surface (PC3). Individuals were classified into three distinct groups based on their diving behavior (shallow, mixed depth, and deeper divers), and jackknife resampling of the data resulted in correct group assignment 86% of the time. Body size as an independent variable was positively related to dive duration and time spent ashore and negatively related to time at sea, and it was a key parameter in PC2 used to classify the three distinct clusters. Differences among individual-based foraging strategies probably were driven by differences in body size, which enabled larger animals to dive deeper and forage more efficiently by targeting different and perhaps larger prey items. The occurrence of foraging specializations within a species and age class has implications for quantitative modeling of population-level predator-prey interactions and ecosystem structure.</t>
  </si>
  <si>
    <t>[Weise, Michael J.; Costa, Daniel P.] Univ Calif Santa Cruz, Ctr Ocean Hlth, Dept Ecol &amp; Evolutionary Biol, Santa Cruz, CA 95060 USA; [Harvey, James T.] Moss Landing Marine Labs, Moss Landing, CA 95039 USA</t>
  </si>
  <si>
    <t>University of California System; University of California Santa Cruz; Moss Landing Marine Laboratories</t>
  </si>
  <si>
    <t>Weise, MJ (corresponding author), Off Naval Res, Marine Mammals &amp; Biol Oceanog Program, 875 N Randolph St, Arlington, VA 22203 USA.</t>
  </si>
  <si>
    <t>michael.j.weise@navy.mil</t>
  </si>
  <si>
    <t>Carlos, Universidade Federal de São/W-8832-2019; Costa, Daniel Paul/E-2616-2013</t>
  </si>
  <si>
    <t>Carlos, Universidade Federal de São/0000-0002-0334-3899; Costa, Daniel Paul/0000-0002-0233-5782</t>
  </si>
  <si>
    <t>Center for Integrative Marine Technologies; Tagging of Pacific Pelagics Program; Moore and Packard Foundations; California Sea Grant Program; Office of Naval Research; municipal harbor in Monterey, California</t>
  </si>
  <si>
    <t>Center for Integrative Marine Technologies; Tagging of Pacific Pelagics Program; Moore and Packard Foundations; California Sea Grant Program; Office of Naval Research(Office of Naval Research); municipal harbor in Monterey, California</t>
  </si>
  <si>
    <t>This research was supported by the Center for Integrative Marine Technologies, the Tagging of Pacific Pelagics Program, the Moore and Packard Foundations, the California Sea Grant Program, and the Office of Naval Research. Thanks to R. DeLong and P. Gearin for their advice and trap design, and the sea lion crew for their great efforts, including C. Kuhn, S. Simmons, S. Villegas, P. Morris, P. DalFerro, R. Walsh, P. Thorson, T. Goldstein, K. Debier, S. Davis, S. Seganti, Y. Tremblay, G. DelMundo, S. Hayes, G. MacDonald, S. Hansen, M. Lander, P. Robinson, J. Hassrick, H. Mostman, H. Vuorisalo, G. Singer, L. Gilligan, and M. Rutishauser, B. Long, and T. Fink (who were supported by a grant to T. Williams from the Alaska Sealife Center). Special thanks to D. Casper, DVM, for his invaluable expertise. This work was performed (in part) at the University of California Natural Reserve System (Ano Nuevo Island) Reserve, and with the support and cooperation of the municipal harbor in Monterey, California. This work was conducted in accordance with the Chancellor's Animal Research Committee (CA RC) protocol (COST 01.10) and under National Marine Fisheries Service permit number 87-1593-05.</t>
  </si>
  <si>
    <t>0012-9658</t>
  </si>
  <si>
    <t>1939-9170</t>
  </si>
  <si>
    <t>Ecology</t>
  </si>
  <si>
    <t>10.1890/08-1554.1</t>
  </si>
  <si>
    <t>Environmental Sciences &amp; Ecology</t>
  </si>
  <si>
    <t>594GV</t>
  </si>
  <si>
    <t>WOS:000277525300008</t>
  </si>
  <si>
    <t>Carlson, SM; Kottas, A; Mangel, M</t>
  </si>
  <si>
    <t>Carlson, Stephanie M.; Kottas, Athanasios; Mangel, Marc</t>
  </si>
  <si>
    <t>Bayesian analysis of size-dependent overwinter mortality from size-frequency distributions</t>
  </si>
  <si>
    <t>inverse Gaussian distribution; Markov chain Monte Carlo; Metropolis-Hastings algorithm; threespine stickleback</t>
  </si>
  <si>
    <t>QUANTIFYING NATURAL-SELECTION; SOCKEYE-SALMON; PHENOTYPIC SELECTION; RESOURCE SELECTION; WINTER MORTALITY; ANTARCTIC KRILL; BODY-SIZE; GROWTH; POPULATION; YOUNG</t>
  </si>
  <si>
    <t>Understanding the relationship between body size and mortality is an important problem in ecology. We introduce a novel Bayesian method that can be used to quantify this relationship when the only data available are size-frequency distributions of unmarked individuals measured at two successive time periods. The inverse Gaussian distribution provides a parametric form for the statistical model development, and we use Markov chain Monte Carlo methods to evaluate posterior distributions. We illustrate the method using data on threespine stickleback (Gasterosteus aculeatus) collected before and after the winter season in an Alaskan lake. Our method allows us to compare the intensity of size-biased mortality in different years. We discuss generalizations that include more complicated relationships between size and survival as well as time-series modeling.</t>
  </si>
  <si>
    <t>[Carlson, Stephanie M.; Kottas, Athanasios; Mangel, Marc] Univ Calif Santa Cruz, Dept Appl Math &amp; Stat, Ctr Stock Assessment Res, Santa Cruz, CA 95064 USA</t>
  </si>
  <si>
    <t>University of California System; University of California Santa Cruz</t>
  </si>
  <si>
    <t>Carlson, SM (corresponding author), Univ Calif Berkeley, Dept Environm Sci Policy &amp; Management, Berkeley, CA 94720 USA.</t>
  </si>
  <si>
    <t>smcarlson@berkeley.edu</t>
  </si>
  <si>
    <t>Carlson, Stephanie/0000-0003-3055-6483</t>
  </si>
  <si>
    <t>NSF [DBI-0630626, DEB-0727543]; Center for Stock Assessment Research; Lenfest Ocean program</t>
  </si>
  <si>
    <t>NSF(National Science Foundation (NSF)); Center for Stock Assessment Research; Lenfest Ocean program</t>
  </si>
  <si>
    <t>We thank the Alaska Salmon Program at the University of Washington for graciously sharing their long-term stickleback data set with us. We also thank Kate Richerson for performing the literature review needed to create Fig. I. and two reviewers for helpful comments. S. Carlson was supported by an NSF Postdoctoral Research Fellowship in Biological Informatics (DBI-0630626) and by the Center for Stock Assessment Research; A. Kottas was supported in part by NSF grant DEB-0727543; M. Mangel was partially supported by the Lenfest Ocean program.</t>
  </si>
  <si>
    <t>ECOLOGICAL SOC AMER</t>
  </si>
  <si>
    <t>1990 M STREET NW, STE 700, WASHINGTON, DC 20036 USA</t>
  </si>
  <si>
    <t>10.1890/09-0252.1</t>
  </si>
  <si>
    <t>WOS:000277525300009</t>
  </si>
  <si>
    <t>Kounaves, SP; Stroble, ST; Anderson, RM; Moore, Q; Catling, DC; Douglas, S; McKay, CP; Ming, DW; Smith, PH; Tamppari, LK; Zent, AP</t>
  </si>
  <si>
    <t>Kounaves, Samuel P.; Stroble, Shannon T.; Anderson, Rachel M.; Moore, Quincy; Catling, David C.; Douglas, Susanne; McKay, Christopher P.; Ming, Douglas W.; Smith, Peter H.; Tamppari, Leslie K.; Zent, Aaron P.</t>
  </si>
  <si>
    <t>Discovery of Natural Perchlorate in the Antarctic Dry Valleys and Its Global Implications</t>
  </si>
  <si>
    <t>ENVIRONMENTAL SCIENCE &amp; TECHNOLOGY</t>
  </si>
  <si>
    <t>NITRATE; DEPOSITION; REDUCTION; CHEMISTRY; ORIGIN</t>
  </si>
  <si>
    <t>In the past few years, it has become increasingly apparent that perchlorate (ClO4-) is present on all continents, except the polar regions where it had not yet been assessed, and that it may have a significant natural source. Here, we report on the discovery of perchlorate in soil and ice from several Antarctic Dry Valleys (ADVs) where concentrations reach up to 1100 mu g/kg. In the driest ADV, perchlorate correlates with atmospherically deposited nitrate. Far from anthropogenic activity, ADV perchlorate provides unambiguous evidence that natural perchlorate is ubiquitous on Earth. The discovery has significant implications for the origin of perchlorate, its global biogeochemical interactions, and possible interactions with the polar ice sheets. The results support the hypotheses that perchlorate is produced globally and continuously in the Earth's atmosphere, that it typically accumulates in hyperarid areas, and that it does not build up in oceans or other wet environments most likely because of microbial reduction on a global scale.</t>
  </si>
  <si>
    <t>[Kounaves, Samuel P.; Stroble, Shannon T.; Anderson, Rachel M.; Moore, Quincy; Catling, David C.] Tufts Univ, Dept Chem, Medford, MA 02155 USA; Univ Washington, Dept Earth &amp; Space Sci, Seattle, WA 98195 USA; [Douglas, Susanne; Tamppari, Leslie K.] CALTECH, Jet Prop Lab, Pasadena, CA 91109 USA; [McKay, Christopher P.; Zent, Aaron P.] NASA, Ames Res Ctr, Moffett Field, CA 94035 USA; [Ming, Douglas W.] NASA, Lyndon B Johnson Space Ctr, Houston, TX 77058 USA; [Smith, Peter H.] Univ Arizona, Lunar &amp; Planetary Lab, Tucson, AZ 85721 USA</t>
  </si>
  <si>
    <t>Tufts University; University of Washington; University of Washington Seattle; California Institute of Technology; National Aeronautics &amp; Space Administration (NASA); NASA Jet Propulsion Laboratory (JPL); National Aeronautics &amp; Space Administration (NASA); NASA Ames Research Center; National Aeronautics &amp; Space Administration (NASA); NASA Johnson Space Center; University of Arizona</t>
  </si>
  <si>
    <t>Kounaves, SP (corresponding author), Tufts Univ, Dept Chem, Medford, MA 02155 USA.</t>
  </si>
  <si>
    <t>samuel.kounaves@tufts.edu</t>
  </si>
  <si>
    <t>Catling, David C/D-2082-2009</t>
  </si>
  <si>
    <t>Kounaves, Samuel/0000-0002-2629-4831; McKay, Christopher/0000-0002-6243-1362; Catling, David/0000-0001-5646-120X</t>
  </si>
  <si>
    <t>National Aeronautics &amp; Space Administration; National Science Foundation</t>
  </si>
  <si>
    <t>National Aeronautics &amp; Space Administration(National Aeronautics &amp; Space Administration (NASA)); National Science Foundation(National Science Foundation (NSF))</t>
  </si>
  <si>
    <t>This research project was supported by the National Aeronautics &amp; Space Administration and the National Science Foundation, as part of the International Polar Year.</t>
  </si>
  <si>
    <t>0013-936X</t>
  </si>
  <si>
    <t>1520-5851</t>
  </si>
  <si>
    <t>ENVIRON SCI TECHNOL</t>
  </si>
  <si>
    <t>Environ. Sci. Technol.</t>
  </si>
  <si>
    <t>10.1021/es9033606</t>
  </si>
  <si>
    <t>Engineering, Environmental; Environmental Sciences</t>
  </si>
  <si>
    <t>Engineering; Environmental Sciences &amp; Ecology</t>
  </si>
  <si>
    <t>574MN</t>
  </si>
  <si>
    <t>WOS:000275993700023</t>
  </si>
  <si>
    <t>Chakrabarti, B</t>
  </si>
  <si>
    <t>Chakrabarti, Bhupati</t>
  </si>
  <si>
    <t>ANTARCTIC TREATY : FIFTY YEARS OF THE FIRST INTERNATIONAL TREATY TOWARDS EARTH-CARE</t>
  </si>
  <si>
    <t>EVERYMANS SCIENCE</t>
  </si>
  <si>
    <t>The signing of the Antarctic treaty was no doubt the culmination of some high level political and diplomatic manoevre but science had a very significant role in the whole exercise.</t>
  </si>
  <si>
    <t>[Chakrabarti, Bhupati] City Coll, Dept Phys, Kolkata 700009, India</t>
  </si>
  <si>
    <t>University of Calcutta</t>
  </si>
  <si>
    <t>Chakrabarti, B (corresponding author), City Coll, Dept Phys, Kolkata 700009, India.</t>
  </si>
  <si>
    <t>bhupati2005@yahoo.co.in</t>
  </si>
  <si>
    <t>INDIAN SCIENCE CONGRESS ASSOC</t>
  </si>
  <si>
    <t>KOLKATA</t>
  </si>
  <si>
    <t>14 DR BIRESH GUHA STREET, KOLKATA, 700 017, INDIA</t>
  </si>
  <si>
    <t>0531-495X</t>
  </si>
  <si>
    <t>EVERYMANS SCI</t>
  </si>
  <si>
    <t>Everymans Sci.</t>
  </si>
  <si>
    <t>Emerging Sources Citation Index (ESCI)</t>
  </si>
  <si>
    <t>VB7FJ</t>
  </si>
  <si>
    <t>WOS:000416783700007</t>
  </si>
  <si>
    <t>Ceridon, ML; Anderson, PJ; Miller, AD; Beck, KC; OMalley, KA; Johnson, JB; Johnson, BD</t>
  </si>
  <si>
    <t>Ceridon, M. L.; Anderson, P. J.; Miller, A. D.; Beck, K. C.; OMalley, K. A.; Johnson, J. B.; Johnson, B. D.</t>
  </si>
  <si>
    <t>Physical Activity and the Incidence of Acute Mountain Sickness in United States Antarctic Program Participants Following Rapid Transport to the South Pole: Antarctic Study of Altitude Physiology (ASAP)</t>
  </si>
  <si>
    <t>FASEB JOURNAL</t>
  </si>
  <si>
    <t>[Ceridon, M. L.; Miller, A. D.; Beck, K. C.; OMalley, K. A.; Johnson, J. B.; Johnson, B. D.] Mayo Clin, Rochester, MN USA; [Anderson, P. J.] Ctr Dis Control &amp; Prevent, Natl Inst Occupat Safety &amp; Hlth, Anchorage, AK USA</t>
  </si>
  <si>
    <t>Mayo Clinic; Centers for Disease Control &amp; Prevention - USA; National Institute for Occupational Safety &amp; Health (NIOSH)</t>
  </si>
  <si>
    <t>FEDERATION AMER SOC EXP BIOL</t>
  </si>
  <si>
    <t>BETHESDA</t>
  </si>
  <si>
    <t>9650 ROCKVILLE PIKE, BETHESDA, MD 20814-3998 USA</t>
  </si>
  <si>
    <t>0892-6638</t>
  </si>
  <si>
    <t>FASEB J</t>
  </si>
  <si>
    <t>Faseb J.</t>
  </si>
  <si>
    <t>Biochemistry &amp; Molecular Biology; Biology; Cell Biology</t>
  </si>
  <si>
    <t>Biochemistry &amp; Molecular Biology; Life Sciences &amp; Biomedicine - Other Topics; Cell Biology</t>
  </si>
  <si>
    <t>V28IW</t>
  </si>
  <si>
    <t>WOS:000208675504682</t>
  </si>
  <si>
    <t>Lalande, S; Ceridon, ML; Anderson, PJ; Miller, AD; Beck, KC; O'Malley, KA; Johnson, JB; Johnson, BD</t>
  </si>
  <si>
    <t>Lalande, S.; Ceridon, M. L.; Anderson, P. J.; Miller, A. D.; Beck, K. C.; O'Malley, K. A.; Johnson, J. B.; Johnson, B. D.</t>
  </si>
  <si>
    <t>Variability in pulmonary function changes in United States Antarctic Program participants following rapid transport to the South Pole</t>
  </si>
  <si>
    <t>[Lalande, S.; Ceridon, M. L.; Miller, A. D.; Beck, K. C.; O'Malley, K. A.; Johnson, J. B.; Johnson, B. D.] Mayo Clin, Rochester, MN USA; [Anderson, P. J.] Ctr Dis Control &amp; Prevent, Anchorage, AK USA</t>
  </si>
  <si>
    <t>Mayo Clinic; Centers for Disease Control &amp; Prevention - USA</t>
  </si>
  <si>
    <t>WOS:000208675505532</t>
  </si>
  <si>
    <t>Krot, AN; Nagashima, K; Yoshitake, M; Yurimoto, H</t>
  </si>
  <si>
    <t>Krot, Alexander N.; Nagashima, Kazuhide; Yoshitake, Miwa; Yurimoto, Hisayoshi</t>
  </si>
  <si>
    <t>Oxygen isotopic compositions of chondrules from the metal-rich chondrites Isheyevo (CH/CBb), MAC 02675 (CBb) and QUE 94627 (CBb)</t>
  </si>
  <si>
    <t>GEOCHIMICA ET COSMOCHIMICA ACTA</t>
  </si>
  <si>
    <t>HAMMADAH AL HAMRA-237; CARBONACEOUS CHONDRITE; REFRACTORY INCLUSIONS; CH CHONDRITES; BENCUBBIN; ALH85085; ORIGIN; PETROLOGY; CALCIUM; GRAINS</t>
  </si>
  <si>
    <t>It has been recently suggested that (1) CH chondrites and the CBb/CH-like chondrite Isheyevo contain two populations of chondrules formed by different processes: (i) magnesian non-porphyritic (cryptocrystalline and barred) chondrules, which are similar to those in the CB chondrites and formed in an impact-generated plume of melt and gas resulted from large-scale asteroidal collision, and (ii) porphyritic chondrules formed by melting of solid precursors in the solar nebula. (2) Porphyritic chondrules in Isheyevo and CH chondrites are different from porphyritic chondrules in other carbonaceous chondrites (Krot et al., 2005, 2008a,b). In order to test these hypotheses, we measured in situ oxygen isotopic compositions of porphyritic (magnesian, Type I and ferroan, Type 11) and non-porphyritic (magnesian and ferroan cryptocrystalline) chondrules from Isheyevo and CBb chondrites MAC 02675 and QUE 94627, paired with QUE 94611, using a Cameca ims-1280 ion microprobe. On a three-isotope oxygen diagram (Delta O-17 vs. Delta O-18), compositions of chondrules measured follow approximately slope-1 line. Data for 19 magnesian cryptocrystalline chondrules from Isheyevo, 24 magnesian cryptocrystalline chondrules and 6 magnesian cryptocrystalline silicate inclusions inside chemically-zoned Fe, Ni-metal condensates from CBb chondrites have nearly identical compositions: Delta O-17 = -2.2 +/- 0.9 parts per thousand, -2.3 +/- 0.6 parts per thousand and -2.2 +/- 1.0 parts per thousand (2 sigma), respectively. These observations and isotopically light magnesium compositions of cryptocrystalline magnesian chondrules in CBb chondrites (Gounelle et al., 2007) are consistent with their single-stage origin, possibly as gas-melt condensates in an impact-generated plume. In contrast. Delta O-17 values for 11 Type I and 9 Type II chondrules from Isheyevo range from -5 parts per thousand to +4 parts per thousand and from -17 parts per thousand to +3 parts per thousand, respectively. In contrast to typical chondrules from carbonaceous chondrites, seven out of 11 Type I chondrules from Isheyevo plot above the terrestrial fractionation line. We conclude that (i) porphyritic chondrules in Isheyevo belong to a unique population of objects, suggesting formation either in a different nebular region or at a different time than chondrules from other carbonaceous chondrites; (ii) Isheyevo, CB and CH chondrites are genetically related meteorites: they contain non-porphyritic chondrules produced during the same highly-energetic event, probably large-scale asteroidal collision; (iii) the differences in mineralogy, petrography, chemical and whole-rock oxygen isotopic compositions between CH and CB chondrites are due to various proportions of the nebular and the impact-produced materials. (C) 2010 Elsevier Ltd. All rights reserved.</t>
  </si>
  <si>
    <t>[Krot, Alexander N.; Nagashima, Kazuhide] Univ Hawaii Manoa, Sch Ocean Earth Sci &amp; Technol, Hawaii Inst Geophys &amp; Planetol, Honolulu, HI 96822 USA; [Yoshitake, Miwa; Yurimoto, Hisayoshi] Hokkaido Univ, Sapporo, Hokkaido 0600810, Japan</t>
  </si>
  <si>
    <t>University of Hawaii System; University of Hawaii Manoa; Hokkaido University</t>
  </si>
  <si>
    <t>Krot, AN (corresponding author), Univ Hawaii Manoa, Sch Ocean Earth Sci &amp; Technol, Hawaii Inst Geophys &amp; Planetol, Honolulu, HI 96822 USA.</t>
  </si>
  <si>
    <t>sasha@higp.hawaii.edu</t>
  </si>
  <si>
    <t>Yurimoto, Hisayoshi/S-9938-2018</t>
  </si>
  <si>
    <t>Yurimoto, Hisayoshi/0000-0003-0702-0533; Nagashima, Kazuhide/0000-0002-9322-3187</t>
  </si>
  <si>
    <t>NASA [NNX07A143G, NNX08AH91G, NAG5-4212]; NASA [100332, NNX08AH91G] Funding Source: Federal RePORTER</t>
  </si>
  <si>
    <t>NASA(National Aeronautics &amp; Space Administration (NASA)); NASA(National Aeronautics &amp; Space Administration (NASA))</t>
  </si>
  <si>
    <t>This work was supported by NASA Grants NNX07A143G and NNX08AH91G (A.N. Krot, P.I.) and NAG5-4212 (K. Keil, P.I.). We thank the Antarctic Meteorite Working Group (NASA, Johnson Space Center) for providing polished thin sections of the meteorites studied. We thank Alan Rubin, Roger Hewins, Michael Weisberg. Harold Connolly. and Gregory Herzog for their constructive reviews. We also thank Gregory Herzog for handling the manuscript. This is Hawaii Institute of Geophysics and Planetology publication No. 1832 and School of Ocean and Earth Science and Technology publication No. 7877.</t>
  </si>
  <si>
    <t>0016-7037</t>
  </si>
  <si>
    <t>1872-9533</t>
  </si>
  <si>
    <t>GEOCHIM COSMOCHIM AC</t>
  </si>
  <si>
    <t>Geochim. Cosmochim. Acta</t>
  </si>
  <si>
    <t>10.1016/j.gca.2009.12.013</t>
  </si>
  <si>
    <t>564OP</t>
  </si>
  <si>
    <t>WOS:000275225200017</t>
  </si>
  <si>
    <t>Arai, T; Hawke, BR; Giguere, TA; Misawa, K; Miyamoto, M; Kojima, H</t>
  </si>
  <si>
    <t>Arai, Tomoko; Hawke, B. Ray; Giguere, Thomas A.; Misawa, Keiji; Miyamoto, Masamichi; Kojima, Hideyasu</t>
  </si>
  <si>
    <t>Antarctic lunar meteorites Yamato-793169, Asuka-881757, MIL 05035, and MET 01210 (YAMM): Launch pairing and possible cryptomare origin</t>
  </si>
  <si>
    <t>ALEXANDRA RANGE 93069; NORTHWEST AFRICA-773; SURFACE; REGOLITH; BRECCIA; MOON; GEOCHEMISTRY; SYSTEMATICS; MAGMATISM; CRITERIA</t>
  </si>
  <si>
    <t>The Antarctic lunar meteorite Meteorite Hills (MET) 01210 is a polymict regolith breccia, dominantly composed of mare basalt components. One relatively large (2.7 x 4.7 mm) basalt clast in MET 01210 (MET basalt) shows remarkable mineralogical similarities to the lunar-meteorite crystalline mare basalts Yamato (Y)-793169, Asuka (A)-881757, and Miller Range (MIL) 05035. All four basalts have similar rock texture, mineral assemblage, mineral composition, pyroxene crystallization trend, and pyroxene exsolution lamellae. The estimated TiO2 contents (similar to 2.0 wt%) of the MET basalt and M I L 05035 are close to the bulk-rock TiO2 contents of Y-793169 and A-881757. These similarities suggest that Y-793169, A-881757, MIL 05035, and the MET basalt came from the same basalt flow, which we designate the YAMM basalt. The source-basalt pairing of the YAMM is also supported by their similar REE abundances, crystallization ages (approx. 3.8-3.9 Ga), and isotopic compositions (low U/Pb, low Rb/Sr, and high Sm/Nd). The pyroxene exsolution lamellae, which are unusually coarse (up to a few microns) by mare standards, imply a relatively slow cooling in an unusually thick lava and/or subsequent annealing within a cryptomare. Reported noble gas and CRE data with close launch ages (similar to 1 Ma) and ejection depths (deeper than several meters) among the four meteorites further indicate their simultaneous ejection from the moon. Despite the marginally close terrestrial ages, pairing in the conventional Earth-entry sense seems unlikely because of the remote recovery sites among the YAMM meteorites. The high abundance (68%) of mare components in MET 01210 estimated from a two-component mixing model calculation could have resulted from either lateral mixing at a mare-highland boundary or vertical mixing in a cryptomare. The proportion of mare materials in MET 01210 is greater than in Apollo core samples at the mare-highland boundary. The burial depth (&gt;several meters deep) inferred from the lack of surface irradiation of MET 01210 exceeds the typical mitre regolith thickness (a few meters). Thus, the source of the YAMM meteorites is likely a terrain of locally high mare-highland mixing within a cryptomare. We searched for a possible source crater of the YAMM meteorites within the well-defined cryptomare, based on the multiple constraints obtained from this study and published data. An unnamed 1.4 km-diameter crater (53 degrees W, 44.5 degrees S) on the floor of the Schickard crater is the most suitable source for the YAMM meteorites. The U-238/Pb-204 (mu) value of the YAMM basalts is extremely low, relative to those of the Apollo mare basalts, but comparable to those of the Luna 24 very low-Ti basalts. The low-Et source indicates a derivation from a less differentiated mantle with a lack of KREEP components. Although the chemical sources of materials and heat source of melting might be independent, the heat source that generated the source magma of the YAMM and Luna 24 basalts may not be related to KREEP, unlike the case of the Apollo basalts. The distinct chemical and isotopic compositions of mantle sources between the Apollo basalts and the YAMM/Lunar 24 basalts imply differences in mantle composition and thermal evolution between the Procellarum KREEP Terrane (PKT) and non-PKT regions of the nearside. (C) 2010 Elsevier Ltd. All rights reserved.</t>
  </si>
  <si>
    <t>[Arai, Tomoko] Chiba Inst Technol, Planetary Explorat Res Ctr, Chiba 2750016, Japan; [Arai, Tomoko; Misawa, Keiji; Kojima, Hideyasu] Antarctic Meteorite Res Ctr, Natl Inst Polar Res, Tokyo 1908518, Japan; [Hawke, B. Ray; Giguere, Thomas A.] Univ Hawaii, Hawaii Inst Geophys &amp; Planetol, Honolulu, HI 96822 USA; [Giguere, Thomas A.] Intergraph Corp, Kapolei, HI 96707 USA; [Misawa, Keiji; Kojima, Hideyasu] Grad Univ Adv Studies, Dept Polar Sci, Tokyo 1908518, Japan; [Miyamoto, Masamichi] Univ Tokyo, Dept Earth &amp; Planetary Sci, Tokyo 1130033, Japan</t>
  </si>
  <si>
    <t>Chiba Institute of Technology; Research Organization of Information &amp; Systems (ROIS); National Institute of Polar Research (NIPR) - Japan; University of Hawaii System; Hexagon AB; Graduate University for Advanced Studies - Japan; University of Tokyo</t>
  </si>
  <si>
    <t>Arai, T (corresponding author), Chiba Inst Technol, Planetary Explorat Res Ctr, 2-17-1 Tsudanuma, Chiba 2750016, Japan.</t>
  </si>
  <si>
    <t>tomoko.arai@it-chiba.ac.jp</t>
  </si>
  <si>
    <t>Giguere, Thomas/KHY-7638-2024</t>
  </si>
  <si>
    <t>NIPR; Research Project Funds; P-8 (Evolution of the early Solar System Materials); JSPS</t>
  </si>
  <si>
    <t>NIPR(National Institute of Polar Research (NIPR) - Japan); Research Project Funds; P-8 (Evolution of the early Solar System Materials); JSPS(Ministry of Education, Culture, Sports, Science and Technology, Japan (MEXT)Japan Society for the Promotion of Science)</t>
  </si>
  <si>
    <t>We thank the Antarctic Meteorite Working Group for the samples of MET 01210 and MIL 05035 and the Japanese National Institute of Polar Research for the samples of Y-793169 and A-881757. We thank Kuni Nishiizumi, Noriko Kita, Yayoi Miura, and Takashi Mikouchi for productive discussions, and J. Gillis for providing compositional data of cryptomare. Tim Fagan, Paul Spudis, David Mittlefeldht and anonymous reviewers provided critical and constructive comments for which we are grateful. This research was supported by NIPR, the Research Project Funds, P-8 (Evolution of the early Solar System Materials) and JSPS Research Fellowships for Young Scientists.</t>
  </si>
  <si>
    <t>10.1016/j.gca.2009.11.019</t>
  </si>
  <si>
    <t>WOS:000275225200019</t>
  </si>
  <si>
    <t>McFadden, RR; Teyssier, C; Siddoway, CS; Whitney, DL; Fanning, CM</t>
  </si>
  <si>
    <t>McFadden, R. R.; Teyssier, C.; Siddoway, C. S.; Whitney, D. L.; Fanning, C. M.</t>
  </si>
  <si>
    <t>Oblique dilation, melt transfer, and gneiss dome emplacement</t>
  </si>
  <si>
    <t>GEOLOGY</t>
  </si>
  <si>
    <t>MARIE-BYRD-LAND; ROSS SEA RIFT; SHEAR ZONE; CONVERGENT OROGEN; BRITISH-COLUMBIA; CORE COMPLEX; ANTARCTICA; GRANITE; FLOW; TRANSTENSION</t>
  </si>
  <si>
    <t>The upward transfer of partially molten crust and the formation of gneiss domes and metamorphic core complexes commonly take place by localization of normal or oblique extension in the middle and upper crust. In Marie Byrd Land, Antarctica, a transition from wrench to oblique extension occurred during oblique plate divergence along the East Gondwana margin and intracontinental crustal extension associated with the West Antarctic Rift System in mid-Cretaceous time. Migmatites in the Fosdick dome record steep fabrics formed during wrenching, and associated granite networks display crystallization ages of 117-115 Ma. These steep fabrics are overprinted by subhorizontal foliation and leucogranite sheets with crystallization ages in the 109-102 Ma range. Syntectonic emplacement of granite sheets in the South Fosdick detachment zone indicates that detachment tectonics led to rapid exhumation of the terrain by 100 Ma. This study has implications for understanding melt transport, magma accumulation, and the formation of detachments in an oblique tectonic setting.</t>
  </si>
  <si>
    <t>[McFadden, R. R.; Teyssier, C.; Whitney, D. L.] Univ Minnesota, Minneapolis, MN 55455 USA; [Siddoway, C. S.] Colorado Coll, Dept Geol, Colorado Springs, CO 80903 USA; [Fanning, C. M.] Australian Natl Univ, Res Sch Earth Sci, Canberra, ACT 0200, Australia</t>
  </si>
  <si>
    <t>University of Minnesota System; University of Minnesota Twin Cities; Colorado College; Australian National University</t>
  </si>
  <si>
    <t>McFadden, RR (corresponding author), Smithsonian Trop Res Inst Ancon, Unit 0948, APO, AA 34002 USA.</t>
  </si>
  <si>
    <t>mcfaddenR@si.edu</t>
  </si>
  <si>
    <t>Whitney, Donna/AAB-8332-2019; Yakymchuk, Chris/H-1297-2013; Siddoway, Christine/HKV-0895-2023; Fanning, Christopher Mark/I-6449-2016</t>
  </si>
  <si>
    <t>Whitney, Donna/0000-0002-8296-4692; Fanning, Christopher Mark/0000-0003-3331-3145; Siddoway, Christine Smith/0000-0003-0478-6138</t>
  </si>
  <si>
    <t>National Science Foundation [NSF-OPP 0337488, NSF-OPP 0338279]; Geological Society of America</t>
  </si>
  <si>
    <t>National Science Foundation(National Science Foundation (NSF)); Geological Society of America</t>
  </si>
  <si>
    <t>Work was supported by National Science Foundation Office of Polar Programs grants NSF-OPP 0337488 to Teyssier and NSF-OPP 0338279 to Siddoway, and partially supported by a Geological Society of America Bruce L. Biff Reed Student Scholarship awarded to McFadden. This manuscript was improved by insightful reviews by Chris Andronicos, An Yin, and Carl Stevenson.</t>
  </si>
  <si>
    <t>GEOLOGICAL SOC AMER, INC</t>
  </si>
  <si>
    <t>BOULDER</t>
  </si>
  <si>
    <t>PO BOX 9140, BOULDER, CO 80301-9140 USA</t>
  </si>
  <si>
    <t>0091-7613</t>
  </si>
  <si>
    <t>1943-2682</t>
  </si>
  <si>
    <t>10.1130/G30493.1</t>
  </si>
  <si>
    <t>573XC</t>
  </si>
  <si>
    <t>WOS:000275947700023</t>
  </si>
  <si>
    <t>DeMets, C; Gordon, RG; Argus, DF</t>
  </si>
  <si>
    <t>DeMets, Charles; Gordon, Richard G.; Argus, Donald F.</t>
  </si>
  <si>
    <t>Geologically current plate motions</t>
  </si>
  <si>
    <t>GEOPHYSICAL JOURNAL INTERNATIONAL</t>
  </si>
  <si>
    <t>Plate motions; Planetary tectonics</t>
  </si>
  <si>
    <t>MID-ATLANTIC-RIDGE; NORTH-AMERICA PLATE; SOUTHWEST INDIAN RIDGE; EAST PACIFIC RISE; GALAPAGOS SPREADING CENTER; BASE-LINE INTERFEROMETRY; BOUVET TRIPLE JUNCTION; II FRACTURE-ZONE; TRANSFORM-FAULT; RELATIVE MOTION</t>
  </si>
  <si>
    <t>We describe best-fitting angular velocities and MORVEL, a new closure-enforced set of angular velocities for the geologically current motions of 25 tectonic plates that collectively occupy 97 per cent of Earth's surface. Seafloor spreading rates and fault azimuths are used to determine the motions of 19 plates bordered by mid-ocean ridges, including all the major plates. Six smaller plates with little or no connection to the mid-ocean ridges are linked to MORVEL with GPS station velocities and azimuthal data. By design, almost no kinematic information is exchanged between the geologically determined and geodetically constrained subsets of the global circuit-MORVEL thus averages motion over geological intervals for all the major plates. Plate geometry changes relative to NUVEL-1A include the incorporation of Nubia, Lwandle and Somalia plates for the former Africa plate, Capricorn, Australia and Macquarie plates for the former Australia plate, and Sur and South America plates for the former South America plate. MORVEL also includes Amur, Philippine Sea, Sundaland and Yangtze plates, making it more useful than NUVEL-1A for studies of deformation in Asia and the western Pacific. Seafloor spreading rates are estimated over the past 0.78 Myr for intermediate and fast spreading centres and since 3.16 Ma for slow and ultraslow spreading centres. Rates are adjusted downward by 0.6-2.6 mm yr(-1) to compensate for the several kilometre width of magnetic reversal zones. Nearly all the NUVEL-1A angular velocities differ significantly from the MORVEL angular velocities. The many new data, revised plate geometries, and correction for outward displacement thus significantly modify our knowledge of geologically current plate motions. MORVEL indicates significantly slower 0.78-Myr-average motion across the Nazca-Antarctic and Nazca-Pacific boundaries than does NUVEL-1A, consistent with a progressive slowdown in the eastward component of Nazca plate motion since 3.16 Ma. It also indicates that motions across the Caribbean-North America and Caribbean-South America plate boundaries are twice as fast as given by NUVEL-1A. Summed, least-squares differences between angular velocities estimated from GPS and those for MORVEL, NUVEL-1 and NUVEL-1A are, respectively, 260 per cent larger for NUVEL-1 and 50 per cent larger for NUVEL-1A than for MORVEL, suggesting that MORVEL more accurately describes historically current plate motions. Significant differences between geological and GPS estimates of Nazca plate motion and Arabia-Eurasia and India-Eurasia motion are reduced but not eliminated when using MORVEL instead of NUVEL-1A, possibly indicating that changes have occurred in those plate motions since 3.16 Ma. The MORVEL and GPS estimates of Pacific-North America plate motion in western North America differ by only 2.6 +/- 1.7 mm yr(-1), approximate to 25 per cent smaller than for NUVEL-1A. The remaining difference for this plate pair, assuming there are no unrecognized systematic errors and no measurable change in Pacific-North America motion over the past 1-3 Myr, indicates deformation of one or more plates in the global circuit. Tests for closure of six three-plate circuits indicate that two, Pacific-Cocos-Nazca and Sur-Nubia-Antarctic, fail closure, with respective linear velocities of non-closure of 14 +/- 5 and 3 +/- 1 mm yr(-1) ( 95 per cent confidence limits) at their triple junctions. We conclude that the rigid plate approximation continues to be tremendously useful, but-absent any unrecognized systematic errors-the platesdeform measurably, possibly by thermal contraction and wide plate boundaries with deformation rates near or beneath the level of noise in plate kinematic data.</t>
  </si>
  <si>
    <t>[DeMets, Charles] Univ Wisconsin, Dept Geosci, Madison, WI 53706 USA; [Gordon, Richard G.] Rice Univ, Dept Earth Sci, Houston, TX 77005 USA; [Argus, Donald F.] CALTECH, Jet Prop Lab, Pasadena, CA 91109 USA</t>
  </si>
  <si>
    <t>University of Wisconsin System; University of Wisconsin Madison; Rice University; National Aeronautics &amp; Space Administration (NASA); NASA Jet Propulsion Laboratory (JPL); California Institute of Technology</t>
  </si>
  <si>
    <t>DeMets, C (corresponding author), Univ Wisconsin, Dept Geosci, Madison, WI 53706 USA.</t>
  </si>
  <si>
    <t>chuck@geology.wisc.edu</t>
  </si>
  <si>
    <t>Zhan, Zhongwen/D-3016-2009; Argus, Donald F/F-7704-2011</t>
  </si>
  <si>
    <t>NSF [OCE-0453113, OCE-0453219, EAR-0735156]; National Science Foundation; NASA</t>
  </si>
  <si>
    <t>NSF(National Science Foundation (NSF)); National Science Foundation(National Science Foundation (NSF)); NASA(National Aeronautics &amp; Space Administration (NASA))</t>
  </si>
  <si>
    <t>The following individuals, whom we thank, kindly contributed published and unpublished original data that were critical for this project: Daniel Aslanian, Anne Briais, John Brozena, Steve Cande, Mathilde Cannat, Jim Cochran, Rajendra Drolia, Javier Escartin, Marc Fournier, Toshiya Fujiwara, Pascal Gente, Jean Goslin, Nancy Grindlay, Allegra Hosford, Philippe Huchon, Jill Karsten, Teruyuki Kato, Skip Kovacs, Tim Le Bas, Marco Ligi, Roy Livermore, Emanuele Lodolo, RonMacnab, Fernando Martinez, the late Sergei Maschenkov, Serguei Merkouriev, Bramley Murton, Rob Pockalny, Walter Roest, Jean-Yves Royer, Takeshi Sagiya, Dan Scheirer, JeanGuys Schilling, Roger Searle, Shuanngen Jin, Wim Simons, Chris Small, Bob Smalley, Joann Stock, Graham Westbrook and ShuiBeih Yu. We also thank Ben Horner-Johnson for supplying software to facilitate plotting pole uncertainty ellipses and Indrajit Das for assembling from multibeam data a new digital file of the mid-ocean ridges for the paper figures. We also thank Thorsten Becker and two anonymous reviewers for constructive comments. Figures were produced with Generic Mapping Tool software (Wessel &amp; Smith 1991). This work was funded by NSF grants OCE-0453113 ( CD) and OCE-0453219 (RG). Part of this material is based on data provided by the UNAVCO Facility with support from the National Science Foundation and NASA under NSF Cooperative Agreement No. EAR-0735156.</t>
  </si>
  <si>
    <t>OXFORD UNIV PRESS</t>
  </si>
  <si>
    <t>GREAT CLARENDON ST, OXFORD OX2 6DP, ENGLAND</t>
  </si>
  <si>
    <t>0956-540X</t>
  </si>
  <si>
    <t>1365-246X</t>
  </si>
  <si>
    <t>GEOPHYS J INT</t>
  </si>
  <si>
    <t>Geophys. J. Int.</t>
  </si>
  <si>
    <t>10.1111/j.1365-246X.2009.04491.x</t>
  </si>
  <si>
    <t>573BV</t>
  </si>
  <si>
    <t>WOS:000275884300001</t>
  </si>
  <si>
    <t>Brammah, M; Hoffman, JI; Amos, W</t>
  </si>
  <si>
    <t>Brammah, Martin; Hoffman, Joseph I.; Amos, William</t>
  </si>
  <si>
    <t>Genetic divergence between and within two subspecies of Laudakia stellio on islands in the Greek Cyclades</t>
  </si>
  <si>
    <t>HERPETOLOGICAL JOURNAL</t>
  </si>
  <si>
    <t>amplified fragment length polymorphism (AFLP); allopatric speciation; population structure; lizard</t>
  </si>
  <si>
    <t>FRAGMENT LENGTH POLYMORPHISM; MULTILOCUS GENOTYPE DATA; AFLP MARKERS; MORPHOLOGY; INFERENCE; REPTILIA; HISTORY; LIZARDS</t>
  </si>
  <si>
    <t>The study of genetic differentiation between allopatric island populations should ideally account for regional palaeogeography, as this can often help to explain current distribution patterns. Here we present a study of two subspecies of the lizard Laudakia stellio in the Greek Cyclades, an excellent model for studying vicariant speciation over a relatively short geological timescale: L. s. stellio on the islands of Mykonos and Delos; and L. s. daani on Paros and Naxos. Using AFLP techniques, we demonstrate a high degree of genetic differentiation both between and within the two subspecies, and relate this to the known palaeogeography of this region. Our results suggest that the genetic differences between the populations of the two subspecies can be explained by a more recent colonization of Paros and Naxos by L. s. daani, with L. s. stellio having been established in the Cyclades for a longer period of time.</t>
  </si>
  <si>
    <t>[Brammah, Martin; Hoffman, Joseph I.; Amos, William] Univ Cambridge, Dept Zool, Cambridge CB2 3EJ, England</t>
  </si>
  <si>
    <t>Amos, W (corresponding author), Univ Cambridge, Dept Zool, Downing St, Cambridge CB2 3EJ, England.</t>
  </si>
  <si>
    <t>wa100@cam.ac.uk</t>
  </si>
  <si>
    <t>Hoffman, Joseph/K-7725-2012</t>
  </si>
  <si>
    <t>Hoffman, Joseph/0000-0001-5895-8949</t>
  </si>
  <si>
    <t>Natural Environment Research Council; Pembroke College (University of Cambridge)</t>
  </si>
  <si>
    <t>Natural Environment Research Council(UK Research &amp; Innovation (UKRI)Natural Environment Research Council (NERC)); Pembroke College (University of Cambridge)(University of Cambridge)</t>
  </si>
  <si>
    <t>We wish to thank Prof. Nick Davies for his helpful comments and Giorgios Handrinos (Greek Minister for Agriculture) for his kind assistance in organizing permits for catching lizards and taking DNA samples. MB was funded by the Natural Environment Research Council and Pembroke College (University of Cambridge). JIH currently holds a NERC British Antarctic Survey Strategic Alliance Fellowship.</t>
  </si>
  <si>
    <t>BRITISH HERPETOL SOC</t>
  </si>
  <si>
    <t>C/O ZOOL SOC LONDON REGENTS PARK, LONDON NW1 4RY, ENGLAND</t>
  </si>
  <si>
    <t>0268-0130</t>
  </si>
  <si>
    <t>HERPETOL J</t>
  </si>
  <si>
    <t>Herpetolog. J.</t>
  </si>
  <si>
    <t>645NE</t>
  </si>
  <si>
    <t>WOS:000281466800005</t>
  </si>
  <si>
    <t>Wiebe, PH; Chu, DZ; Kaartvedt, S; Hundt, A; Melle, W; Ona, E; Batta-Lona, P</t>
  </si>
  <si>
    <t>Wiebe, Peter H.; Chu, Dezhang; Kaartvedt, Stein; Hundt, Anna; Melle, Webjorn; Ona, Egil; Batta-Lona, Paola</t>
  </si>
  <si>
    <t>The acoustic properties of Salpa thompsoni</t>
  </si>
  <si>
    <t>ICES JOURNAL OF MARINE SCIENCE</t>
  </si>
  <si>
    <t>acoustic detection; DWBA salp backscattering model; salp in situ images; salp material properties; salp target strength; Salpa thompsoni; zooplankton</t>
  </si>
  <si>
    <t>SOUTHERN-OCEAN; ANTARCTIC PENINSULA; SOUND-SCATTERING; ATLANTIC SECTOR; AUSTRAL SUMMER; KRILL; ZOOPLANKTON; BIOMASS; SPEED; AGGREGATIONS</t>
  </si>
  <si>
    <t>Aggregations of the salp Salpa thompsoni were encountered during the Antarctic krill and ecosystem-studies cruise on the RV G.O. Sars from 19 February to 27 March 2008. The salp's in situ target strength (TS), size, number of individuals in aggregate chains, and chain angle of orientation were determined. Shipboard measurements were made of Salpa thompsoni's material properties. Individual aggregates were mostly 45.5-60.6 mm in mean length; relatively rare solitaries were similar to 100 mm. Chains ranged from 3 to at least 121 individuals, and in surface waters (&lt;20 m), they showed no preferred angle of orientation. Sound-speed contrast (h) ranged from 1.0060 to 1.0201 and density contrast (g) estimates between 1.0000 and 1.0039. The in situ TS distributions peaked between 275 and 276 dB at 38 kHz, with a secondary peak at approximately 265 dB. TS ranged between 285 and 265 dB at 120 and 200 kHz and peaked around 274 dB. The measured in situ TS of salps reasonably matched the theoretical scattering-model predictions based on multi-individual chains. The backscattering from aggregate salps gives rise to TS values that can be similar to krill and other zooplankton with higher density and sound-speed contrasts.</t>
  </si>
  <si>
    <t>[Wiebe, Peter H.] Woods Hole Oceanog Inst, Dept Biol, Woods Hole, MA 02543 USA; [Chu, Dezhang] NOAA NMFS NWFSC FRAM, Seattle, WA 98112 USA; [Kaartvedt, Stein] Univ Oslo, Dept Biol, N-0316 Oslo, Norway; [Hundt, Anna] Univ Bergen, Dept Biol, N-5020 Bergen, Norway; [Melle, Webjorn; Ona, Egil] Inst Marine Res, N-5817 Bergen, Norway; [Batta-Lona, Paola] Univ Connecticut, Groton, CT 06340 USA</t>
  </si>
  <si>
    <t>Woods Hole Oceanographic Institution; National Oceanic Atmospheric Admin (NOAA) - USA; University of Oslo; University of Bergen; Institute of Marine Research - Norway; University of Connecticut</t>
  </si>
  <si>
    <t>Wiebe, PH (corresponding author), Woods Hole Oceanog Inst, Dept Biol, Mail Stop 33, Woods Hole, MA 02543 USA.</t>
  </si>
  <si>
    <t>pwiebe@whoi.edu</t>
  </si>
  <si>
    <t>Chu, Dezhang/L-7004-2015; Batta-Lona, Paola G/B-7848-2016</t>
  </si>
  <si>
    <t>Batta-Lona, Paola G/0000-0002-6477-6110; Wiebe, Peter/0000-0002-6059-4651</t>
  </si>
  <si>
    <t>Institute of Marine Research; University of Bergen; Norwegian Antarctic Research Expeditions (NARE); Research Council of Norway; Norsk Hydro (StatoilHydro); Norwegian Petroleum Directorate</t>
  </si>
  <si>
    <t>Institute of Marine Research; University of Bergen; Norwegian Antarctic Research Expeditions (NARE); Research Council of Norway(Research Council of Norway); Norsk Hydro (StatoilHydro); Norwegian Petroleum Directorate</t>
  </si>
  <si>
    <t>In addition, the survey and the project were made possible by contributions from the Institute of Marine Research, the University of Bergen, the Norwegian Antarctic Research Expeditions (NARE), and the Research Council of Norway, and was also sponsored by Norsk Hydro (StatoilHydro) and the Norwegian Petroleum Directorate.</t>
  </si>
  <si>
    <t>1054-3139</t>
  </si>
  <si>
    <t>ICES J MAR SCI</t>
  </si>
  <si>
    <t>ICES J. Mar. Sci.</t>
  </si>
  <si>
    <t>10.1093/icesjms/fsp263</t>
  </si>
  <si>
    <t>Fisheries; Marine &amp; Freshwater Biology; Oceanography</t>
  </si>
  <si>
    <t>572HI</t>
  </si>
  <si>
    <t>Green Submitted, Bronze</t>
  </si>
  <si>
    <t>WOS:000275818300021</t>
  </si>
  <si>
    <t>Laird, CM; Blake, WA; Matsuoka, K; Conway, H; Allen, CT; Leuschen, CJ; Gogineni, S</t>
  </si>
  <si>
    <t>Laird, Claude M.; Blake, William A.; Matsuoka, Kenichi; Conway, Howard; Allen, Christopher T.; Leuschen, Carl J.; Gogineni, Sivaprasad</t>
  </si>
  <si>
    <t>Deep Ice Stratigraphy and Basal Conditions in Central West Antarctica Revealed by Coherent Radar</t>
  </si>
  <si>
    <t>IEEE GEOSCIENCE AND REMOTE SENSING LETTERS</t>
  </si>
  <si>
    <t>Antarctica; glaciology; ice cores; ice sheets; radar measurements</t>
  </si>
  <si>
    <t>SHEET; CORE; BOREHOLE; SOUNDER; MODEL</t>
  </si>
  <si>
    <t>We discuss results from a high-sensitivity, multichannel, very high frequency, and surface-based radar depth sounder/imager. The instrument was used to map deep internal layers and characterize basal conditions over a 240-km(2) grid in the vicinity of the West Antarctic Ice Sheet Divide ice core site. The ice thickness at the core site was found to be about 3470 m, and we detected internal layers to within 350 m of the ice/bed interface. Radar-detected layer stratigraphy does not show evidence of flow-induced disturbances that might complicate the depth-age relationship and the interpretation of climate history preserved in the ice. We also found that bed reflectivity over the region varies by more than 30 dB. Approximately 15 dB of this variability appears to be the result of transitions from a frozen to a thawed bed in a number of places. The remainder probably results from changes in bed roughness. Our data are important for planning drilling to the bed, as well as providing constraints and boundary conditions for regional ice-flow models.</t>
  </si>
  <si>
    <t>[Laird, Claude M.; Blake, William A.; Allen, Christopher T.; Leuschen, Carl J.; Gogineni, Sivaprasad] Univ Kansas, Ctr Remote Sensing Ice Sheets, Lawrence, KS 66045 USA; [Matsuoka, Kenichi; Conway, Howard] Univ Washington, Dept Earth &amp; Space Sci, Seattle, WA 98195 USA</t>
  </si>
  <si>
    <t>University of Kansas; University of Washington; University of Washington Seattle</t>
  </si>
  <si>
    <t>Laird, CM (corresponding author), Univ Kansas, Ctr Remote Sensing Ice Sheets, Lawrence, KS 66045 USA.</t>
  </si>
  <si>
    <t>claird@ku.edu; wblake0000@gmail.com; matsuoka@ess.washinton.edu; conway@ess.washington.edu; callen@cresis.ku.edu; leuschen@cresis.ku.edu; gogineni@cresis.ku.edu</t>
  </si>
  <si>
    <t>Blake, William/AAP-4558-2021; Matsuoka, Kenichi/B-7298-2017</t>
  </si>
  <si>
    <t>Conway, Howard/0000-0003-4634-3474; Matsuoka, Kenichi/0000-0002-3587-3405</t>
  </si>
  <si>
    <t>National Science Foundation [OPP-0122520, ANT-0424589, ANT-0338151]</t>
  </si>
  <si>
    <t>This work was supported by the National Science Foundation under Grants OPP-0122520, ANT-0424589, and ANT-0338151.</t>
  </si>
  <si>
    <t>IEEE-INST ELECTRICAL ELECTRONICS ENGINEERS INC</t>
  </si>
  <si>
    <t>PISCATAWAY</t>
  </si>
  <si>
    <t>445 HOES LANE, PISCATAWAY, NJ 08855-4141 USA</t>
  </si>
  <si>
    <t>1545-598X</t>
  </si>
  <si>
    <t>IEEE GEOSCI REMOTE S</t>
  </si>
  <si>
    <t>IEEE Geosci. Remote Sens. Lett.</t>
  </si>
  <si>
    <t>10.1109/LGRS.2009.2032304</t>
  </si>
  <si>
    <t>Geochemistry &amp; Geophysics; Engineering, Electrical &amp; Electronic; Remote Sensing; Imaging Science &amp; Photographic Technology</t>
  </si>
  <si>
    <t>Geochemistry &amp; Geophysics; Engineering; Remote Sensing; Imaging Science &amp; Photographic Technology</t>
  </si>
  <si>
    <t>583NF</t>
  </si>
  <si>
    <t>WOS:000276683000005</t>
  </si>
  <si>
    <t>Kumar, PA; Srinivas, TNR; Madhu, S; Manorama, R; Shivaji, S</t>
  </si>
  <si>
    <t>Kumar, P. Anil; Srinivas, T. N. R.; Madhu, S.; Manorama, R.; Shivaji, S.</t>
  </si>
  <si>
    <t>Indibacter alkaliphilus gen. nov., sp nov., an alkaliphilic bacterium isolated from a haloalkaline lake</t>
  </si>
  <si>
    <t>INTERNATIONAL JOURNAL OF SYSTEMATIC AND EVOLUTIONARY MICROBIOLOGY</t>
  </si>
  <si>
    <t>CENTRAL BALTIC SEA; ET-AL. 2003; SODA LAKE; MARINE BACTERIUM; EMENDED DESCRIPTION; MODERATE HALOPHILE; SURFACE-WATER; HONGIELLA YI; ALGORIPHAGUS; CYCLOBACTERIUM</t>
  </si>
  <si>
    <t>A novel Gram-stain-negative, rod-shaped, non-motile bacterium, strain LW1(T), was isolated from a water sample collected at a depth of 3.5 m from Lonar Lake, Buldhana district, Maharashtra, India. The cell suspension was reddish-orange due to the presence of carotenoids. Strain LW1(T) was positive for catalase, oxidase, ornithine decarboxylase and lysine decarboxylase and negative for gelatinase, urease and lipase. Fatty acids were dominated by branched-chain fatty acids (&gt;76%), with a high abundance of iso-C-15:0 (48%), anteiso-C-15:0 (7%) and iso-C-17:0 3-OH (11%). Strain LW1(T) contained MK-4 and MK-7 as the major respiratory quinones and phosphatidylglycerol, phosphatidylcholine and phosphatidylethanolamine as the major phospholipids. A BLAST sequence similarity search based on 16S rRNA gene sequences indicated that members of the genera Belliella and Aquiflexum were the nearest phylogenetic neighbours with similarities of 91.8-92.3%. Phylogenetic analyses indicated that strain LW1(T) formed a deep-rooted lineage distinct from the clades represented by the genera Belliella, Aquiflexum, Cyclobacterium, Echinicola and Algoriphagus. Based on the above-mentioned phenotypic and phylogenetic characteristics, it is proposed that strain LW1(T) represents a novel species in a new genus, Indibacter alkaliphilus gen. nov., sp. nov. (type strain LW1(T)=KCTC 22604(T)=CCUG 57479(T)). The genomic DNA G+C content of strain LW1(T) is 42.7 +/- 1 mol%.</t>
  </si>
  <si>
    <t>[Kumar, P. Anil; Srinivas, T. N. R.; Madhu, S.; Manorama, R.; Shivaji, S.] Ctr Cellular &amp; Mol Biol, Hyderabad 500007, Andhra Pradesh, India</t>
  </si>
  <si>
    <t>Council of Scientific &amp; Industrial Research (CSIR) - India; CSIR - Centre for Cellular &amp; Molecular Biology (CCMB)</t>
  </si>
  <si>
    <t>Shivaji, S (corresponding author), Ctr Cellular &amp; Mol Biol, Uppal Rd, Hyderabad 500007, Andhra Pradesh, India.</t>
  </si>
  <si>
    <t>shivas@ccmb.res.in</t>
  </si>
  <si>
    <t>TANUKU, SRINIVAS N R/F-1029-2013</t>
  </si>
  <si>
    <t>shivaji, sisinthy/0000-0003-0376-4658</t>
  </si>
  <si>
    <t>National Centre for Antarctic and Ocean Research, Goa; Department of Biotechnology, New Delhi; CSIR</t>
  </si>
  <si>
    <t>National Centre for Antarctic and Ocean Research, Goa; Department of Biotechnology, New Delhi(Department of Biotechnology (DBT) India); CSIR(Council of Scientific &amp; Industrial Research (CSIR) - India)</t>
  </si>
  <si>
    <t>We would like to thank Dr S. W. A. Naqvi, Scientist, National Institute of Oceanography, Goa, India, for providing the samples. S. S. is grateful to National Centre for Antarctic and Ocean Research, Goa, Department of Biotechnology, New Delhi, and the CSIR Network Project on Biodiversity for funding.</t>
  </si>
  <si>
    <t>SOC GENERAL MICROBIOLOGY</t>
  </si>
  <si>
    <t>READING</t>
  </si>
  <si>
    <t>MARLBOROUGH HOUSE, BASINGSTOKE RD, SPENCERS WOODS, READING RG7 1AG, BERKS, ENGLAND</t>
  </si>
  <si>
    <t>1466-5026</t>
  </si>
  <si>
    <t>1466-5034</t>
  </si>
  <si>
    <t>INT J SYST EVOL MICR</t>
  </si>
  <si>
    <t>Int. J. Syst. Evol. Microbiol.</t>
  </si>
  <si>
    <t>10.1099/ijs.0.014076</t>
  </si>
  <si>
    <t>Microbiology</t>
  </si>
  <si>
    <t>597CK</t>
  </si>
  <si>
    <t>WOS:000277733300001</t>
  </si>
  <si>
    <t>Debruyne, L; Broman, T; Bergström, S; Olsen, B; On, SLW; Vandamme, P</t>
  </si>
  <si>
    <t>Debruyne, Lies; Broman, Tina; Bergstrom, Sven; Olsen, Bjorn; On, Stephen L. W.; Vandamme, Peter</t>
  </si>
  <si>
    <t>Campylobacter subantarcticus sp nov., isolated from birds in the sub-Antarctic region</t>
  </si>
  <si>
    <t>IDENTIFICATION; DNA; CLASSIFICATION; TESTS; TAXA; LARI</t>
  </si>
  <si>
    <t>Six Gram-stain-negative, spiral-shaped, microaerobic isolates were obtained during a sampling from wild birds in the sub-Antarctic region. Based on initial observations, these isolates were classified as Campylobacter tan-like. The isolates were further characterized by whole-cell protein and amplified fragment length polymorphism (AFLP) analysis, which revealed that they were distinct from C. lari and all other known species of the genus Campylobacter. Here, we present comprehensive phylogenetic, genomic and phenotypic evidence that these isolates represent a novel species within the genus Campylobacter, for which the name Campylobacter subantarcticus sp. nov. is proposed. The type strain is R-3023(T) (=LMG 24377(T) =CCUG 38513(T)).</t>
  </si>
  <si>
    <t>[Debruyne, Lies; Vandamme, Peter] Univ Ghent, Fac Sci, Dept Biochem Physiol &amp; Microbiol, B-9000 Ghent, Belgium; [Broman, Tina] Swedish Def Res Inst, FOI, CBRN Def &amp; Secur, SE-90182 Umea, Sweden; [Bergstrom, Sven] Umea Univ, Dept Mol Biol, SE-90187 Umea, Sweden; [Olsen, Bjorn] Uppsala Univ, Infect Dis Sect, Dept Med Sci, SE-75185 Uppsala, Sweden; [Olsen, Bjorn] Kalmar Univ, Dept Nat Sci, Sect Zoonot Ecol &amp; Epidemiol, SE-39182 Kalmar, Sweden; [On, Stephen L. W.] Inst Environm Res &amp; Sci, Food Safety Programme, Christchurch, New Zealand</t>
  </si>
  <si>
    <t>Ghent University; FOI - Swedish Defence Research Agency; Umea University; Uppsala University; University of Kalmar; Linnaeus University; Institute of Environmental Science &amp; Research (ESR) - New Zealand</t>
  </si>
  <si>
    <t>Debruyne, L (corresponding author), Univ Ghent, Fac Sci, Dept Biochem Physiol &amp; Microbiol, Ledeganckstr 35, B-9000 Ghent, Belgium.</t>
  </si>
  <si>
    <t>Lies.Debruyne@UGent.be</t>
  </si>
  <si>
    <t>Vandamme, Peter/ABG-3431-2021; Vandamme, Peter AR/B-7967-2009</t>
  </si>
  <si>
    <t>Vandamme, Peter AR/0000-0002-5581-7937; Olsen, Bjorn/0000-0002-4646-691X</t>
  </si>
  <si>
    <t>Swedish Research Council; Swedish Polar Secretariat; Fund for Scientific Research Flanders (Belgium)</t>
  </si>
  <si>
    <t>Swedish Research Council(Swedish Research Council); Swedish Polar Secretariat; Fund for Scientific Research Flanders (Belgium)(FWO)</t>
  </si>
  <si>
    <t>The expedition was supported financially by the Swedish Research Council FORMAS and the Swedish Polar Secretariat. We thank Jean Euzeby for help with naming the novel species. P. V. and L. D. are indebted to the Fund for Scientific Research Flanders (Belgium) for financial support.</t>
  </si>
  <si>
    <t>10.1099/ijs.0.011056-0</t>
  </si>
  <si>
    <t>WOS:000277733300017</t>
  </si>
  <si>
    <t>Reddy, GSN; Pradhan, S; Manorama, R; Shivaji, S</t>
  </si>
  <si>
    <t>Reddy, G. S. N.; Pradhan, Suman; Manorama, Ruth; Shivaji, S.</t>
  </si>
  <si>
    <t>Cryobacterium roopkundense sp nov., a psychrophilic bacterium isolated from glacial soil</t>
  </si>
  <si>
    <t>PERFORMANCE LIQUID-CHROMATOGRAPHY; MENAQUINONE MIXTURES; SEQUENCE ALIGNMENT; INDIAN HIMALAYAS; PINDARI GLACIER; ANTARCTICA</t>
  </si>
  <si>
    <t>Strain RuG17(T) was isolated from a soil sample collected at the periphery of the glacial Lake Roopkund in the Himalayan mountain range, India. Cells of RuG17(T) were Gram-positive, aerobic, rod-shaped, motile and grew optimally between 15 and 18 degrees C. Cells of RuG17(T) contained 2,4-diaminobutyric acid in the cell-wall peptidoglycan and the major menaquinones were MK-10, MK-11 and MK-12. The polar lipids present were diphosphatidylglycerol and phosphatidylglycerol and an unknown lipid and the major fatty acid was anteiso-C-15,C-0. Based on the above characteristics, strain RuG17(T) was assigned to the genus Cryobacterium. Strain RuG17(T) shared a 16S rRNA gene sequence similarity of 97.0 and 99.0% with Cryobacterium psychrotolerans JCM 13925(T) and Cryobacterium psychrophilum JCM 1463(T), respectively. However, DNA-DNA relatedness values between strain RuG17(T) and C. psychrotolerans and C. psychrophilum were 28 and 23%, respectively. Furthermore, strain RuG17(T) exhibited several phenotypic and genotypic differences when compared with C. psychrotolerans, C. psychrophilum and Cryobacterium mesophilum. Based on these differentiating characteristics, strain RuG17(T) was identified as a novel species of the genus Cryobacterium for which the name Cryobacterium roopkundense sp. nov. is proposed. The type strain is RuG17(T) (=DSM 21065(T)=JCM 15131(T)).</t>
  </si>
  <si>
    <t>[Reddy, G. S. N.; Pradhan, Suman; Manorama, Ruth; Shivaji, S.] Ctr Cellular &amp; Mol Biol, Hyderabad 500007, Andhra Pradesh, India</t>
  </si>
  <si>
    <t>shivaji, sisinthy/0000-0003-0376-4658; Pradhan, Suman/0000-0002-9596-8190</t>
  </si>
  <si>
    <t>Department of Biotechnology, Department of Earth Sciences; National Centre for Antarctic Research, Government of India</t>
  </si>
  <si>
    <t>Department of Biotechnology, Department of Earth Sciences; National Centre for Antarctic Research, Government of India(Ministry of Earth Science (MoES), Government of India)</t>
  </si>
  <si>
    <t>We would like to thank the Department of Biotechnology, Department of Earth Sciences and The National Centre for Antarctic Research, Government of India, for financial support to S. S.</t>
  </si>
  <si>
    <t>MICROBIOLOGY SOC</t>
  </si>
  <si>
    <t>CHARLES DARWIN HOUSE, 12 ROGER ST, LONDON WC1N 2JU, ERKS, ENGLAND</t>
  </si>
  <si>
    <t>10.1099/ijs.0.011775-0</t>
  </si>
  <si>
    <t>WOS:000277733300027</t>
  </si>
  <si>
    <t>Stein, M</t>
  </si>
  <si>
    <t>Stein, Manfred</t>
  </si>
  <si>
    <t>Results of the research cruises of FRV 'Walther Herwig' to South America. LXXV: trans-Atlantic oceanographic measurements during South America Expeditions 1966-1976 of the Institute of Sea Fisheries, Hamburg, Germany</t>
  </si>
  <si>
    <t>JOURNAL OF APPLIED ICHTHYOLOGY</t>
  </si>
  <si>
    <t>P&gt;During the 1960s, with the new research platform FRV 'Walther Herwig' being available for long-distance exploratory fishery and ichthyology research, the Institute of Sea Fisheries started a series of South America Expeditions. During these expeditions large-scale oceanographic sections were performed which cross major oceanic surface current systems between 40 degrees N and 40 degrees S. By means of historic oceanographic data, as available through the World Data Centre A, Washington, the thermohaline situation along these sections is presented and described in relation to large-scale oceanic features like the North Atlantic Subpolar Gyre System, the northern Subtropical Gyre, the Atlantic Equatorial Current System, the southern Subtropical Gyre, the Brazil Current and the Malvinas Current System. Data obtained during the 1970s reveal large-scale oceanographic properties within the Subtropical Convergence belt at 40 degrees S, between South America and South Africa. Based on these data, an analysis on the baroclinic current velocities of the upper 1000 m is presented. This analysis documents the deep reaching influence of the two boundary currents in this region, the Brazil Current system in the west, and the Agulhas/Benguela Current system in the east of the transect along 40 degrees S. Also designed as large-scale ichthyology transects, the oceanographic observations performed during leg I of the Antarctic Expedition of the Federal Republic of Germany during 1975/1976 along 50 degrees W and 40 degrees W, reveal thermal properties across the Subtropical Convergence, in the sub-Antarctic surface waters and in Antarctic surface waters.</t>
  </si>
  <si>
    <t>Inst Seefischerei, Johann Heinrich von Thunen Inst, D-22767 Hamburg, Germany</t>
  </si>
  <si>
    <t>Johann Heinrich von Thunen Institute</t>
  </si>
  <si>
    <t>Stein, M (corresponding author), Inst Seefischerei, Johann Heinrich von Thunen Inst, Palmaille 9, D-22767 Hamburg, Germany.</t>
  </si>
  <si>
    <t>manfred.stein@vti.bund.de</t>
  </si>
  <si>
    <t>WILEY-BLACKWELL PUBLISHING, INC</t>
  </si>
  <si>
    <t>MALDEN</t>
  </si>
  <si>
    <t>COMMERCE PLACE, 350 MAIN ST, MALDEN 02148, MA USA</t>
  </si>
  <si>
    <t>0175-8659</t>
  </si>
  <si>
    <t>J APPL ICHTHYOL</t>
  </si>
  <si>
    <t>J. Appl. Ichthyol.</t>
  </si>
  <si>
    <t>10.1111/j.1439-0426.2010.01444.x</t>
  </si>
  <si>
    <t>Fisheries; Marine &amp; Freshwater Biology</t>
  </si>
  <si>
    <t>571OA</t>
  </si>
  <si>
    <t>gold</t>
  </si>
  <si>
    <t>WOS:000275761600007</t>
  </si>
  <si>
    <t>Siegel, V</t>
  </si>
  <si>
    <t>Siegel, V.</t>
  </si>
  <si>
    <t>The Antarctic krill: resource and climate indicator, 35 years of German krill research</t>
  </si>
  <si>
    <t>EUPHAUSIA-SUPERBA; POPULATION-DYNAMICS; WEDDELL SEA; ICE; VARIABILITY; BIOMASS</t>
  </si>
  <si>
    <t>P&gt;In 1975/76, Germany resurrected its scientific interest in Antarctic marine biological research after it had ceased at the end of the 1930s. The first field campaign was carried out on board FRV 'Walther Herwig' (II) by the Federal Research Board of Fisheries in Hamburg in cooperation with the Institute of Marine Research at Kiel University. At that time the main objective was the search for freely accessible, and hardly exploited marine living resources. A commercial krill fishery had just started in the Antarctic, but was developing rapidly. Therefore, very soon it became necessary to integrate this research in international programmes. The multinational BIOMASS programme (Biological Investigations on Marine Antarctic Systems and Stocks) was founded in 1980. Its central focus was nothing less than to accomplish a first population census for krill in the South Atlantic.</t>
  </si>
  <si>
    <t>Siegel, V (corresponding author), Inst Seefischerei, Johann Heinrich von Thunen Inst, Palmaille 9, D-22767 Hamburg, Germany.</t>
  </si>
  <si>
    <t>volker.siegel@vti.bund.de</t>
  </si>
  <si>
    <t>10.1111/j.1439-0426.2010.01445.x</t>
  </si>
  <si>
    <t>WOS:000275761600008</t>
  </si>
  <si>
    <t>Rusov, VD; Vaschenko, VN; Linnik, EP; Myhalus, OT; Bondartchuk, YA; Smolyar, VP; Kosenko, SI; Mavrodiev, SC; Vachev, BI</t>
  </si>
  <si>
    <t>Rusov, Vitaliy D.; Vaschenko, Vladimir N.; Linnik, Elena P.; Myhalus, Oksana T.; Bondartchuk, Yuriy A.; Smolyar, Vladimir P.; Kosenko, Sergey I.; Mavrodiev, Strachimir Cht.; Vachev, Boyko I.</t>
  </si>
  <si>
    <t>Galactic cosmic rays-clouds effect and bifurcation model of the Earth global climate. Part 2. Comparison of theory with experiment</t>
  </si>
  <si>
    <t>JOURNAL OF ATMOSPHERIC AND SOLAR-TERRESTRIAL PHYSICS</t>
  </si>
  <si>
    <t>Energy-balance model; Governing parameters; Climatic sensitivity; Hierarchical climatic models</t>
  </si>
  <si>
    <t>DELAYED ACTION OSCILLATOR; STOCHASTIC RESONANCE; CYCLE; ORIGIN; FIELD</t>
  </si>
  <si>
    <t>The solution of energy-balance model of the Earth global climate and the EPICA Dome C and Vostok experimental data of the Earth surface palaeotemperature evolution over past 420 and 740 kyr are compared. In the framework of proposed bifurcation model (i) the possible sharp warmings of the Dansgaard-Oeschger type during the last glacial period due to stochastic resonance is theoretically argued; (ii) the concept of climatic sensitivity of water in the atmosphere, whose temperature instability has the form of so-called hysteresis loop, is proposed, and based on this concept the time series of global ice volume over the past 1000 kyr, which is in good agreement with the time series of delta O-18 concentration in the sea sediments, is obtained; (iii) the so-called CO2 doubling problem is discussed. (C) 2010 Elsevier Ltd. All rights reserved.</t>
  </si>
  <si>
    <t>[Rusov, Vitaliy D.] Odessa Natl Polytech Univ, Dept Theoret &amp; Expt Nucl Phys, UA-65044 Odessa, Ukraine; [Rusov, Vitaliy D.] Univ Bielefeld, D-33615 Bielefeld, Germany; [Rusov, Vitaliy D.; Vaschenko, Vladimir N.] Ukrainian Natl Antarctic Ctr, UA-01601 Kiev, Ukraine; [Mavrodiev, Strachimir Cht.; Vachev, Boyko I.] Bulgarian Acad Sci, Inst Nucl Res &amp; Nucl Energy, BU-1784 Sofia, Bulgaria</t>
  </si>
  <si>
    <t>Ministry of Education &amp; Science of Ukraine; Odessa National Polytechnic University; University of Bielefeld; Ministry of Education &amp; Science of Ukraine; State Institution National Antarctic Scientific Center; Bulgarian Academy of Sciences</t>
  </si>
  <si>
    <t>Rusov, VD (corresponding author), Odessa Natl Polytech Univ, Dept Theoret &amp; Expt Nucl Phys, 1 Shevchenko Ave, UA-65044 Odessa, Ukraine.</t>
  </si>
  <si>
    <t>siiis@te.net.ua</t>
  </si>
  <si>
    <t>Smolyar, Vladimir/C-3406-2016; Rusov, Vitaliy D./I-1932-2015; Kosenko, Sergei/Q-8650-2016</t>
  </si>
  <si>
    <t>Smolyar, Vladimir/0000-0002-0420-513X; Rusov, Vitaliy D./0000-0003-1091-1396; Kosenko, Sergei/0000-0002-7082-5644</t>
  </si>
  <si>
    <t>1364-6826</t>
  </si>
  <si>
    <t>1879-1824</t>
  </si>
  <si>
    <t>J ATMOS SOL-TERR PHY</t>
  </si>
  <si>
    <t>J. Atmos. Sol.-Terr. Phys.</t>
  </si>
  <si>
    <t>5-6</t>
  </si>
  <si>
    <t>10.1016/j.jastp.2009.12.006</t>
  </si>
  <si>
    <t>Geochemistry &amp; Geophysics; Meteorology &amp; Atmospheric Sciences</t>
  </si>
  <si>
    <t>580DZ</t>
  </si>
  <si>
    <t>WOS:000276428600004</t>
  </si>
  <si>
    <t>Rusov, VD; Glushkov, AV; Vaschenko, VN; Myhalus, OT; Bondartchuk, YA; Smolyar, VP; Linnik, EP; Mavrodiev, SC; Vachev, BI</t>
  </si>
  <si>
    <t>Rusov, Vitaliy D.; Glushkov, Alexandr V.; Vaschenko, Vladimir N.; Myhalus, Oksana T.; Bondartchuk, Yuriy A.; Smolyar, Vladimir P.; Linnik, Elena P.; Mavrodiev, Strachimir Cht.; Vachev, Boyko I.</t>
  </si>
  <si>
    <t>Galactic cosmic rays-clouds effect and bifurcation model of the Earth global climate. Part 1. Theory</t>
  </si>
  <si>
    <t>Energy-balance model; Indirect aerosol effects; Galactic cosmic rays-cloud effect; Governing parameters; Hierarchical climatic models</t>
  </si>
  <si>
    <t>AEROSOLS; PARTICLES; POLLUTION; ALBEDO; FIELD</t>
  </si>
  <si>
    <t>Based on theoretical and experimental consideration of the first (the Twomey effect) and second indirect aerosol effects the quasianalytic description of physical connection between the galactic cosmic rays intensity and the Earth's cloud cover is obtained. It is shown that the basic equation of the Earth's climate energy-balance model is described by the bifurcation equation (with respect to the temperature of the Earth's surface) in the form of assembly-type catastrophe with the two governing parameters defining the variations of insolation and Earth's magnetic field (or the galactic cosmic rays intensity in the atmosphere), respectively. The principle of hierarchical climatic models construction, which consists in the structural invariance of balance equations of these models evolving on different time scales, is described. (C) 2010 Elsevier Ltd. All rights reserved.</t>
  </si>
  <si>
    <t>[Rusov, Vitaliy D.] Odessa Natl Polytech Univ, Dept Theoret &amp; Expt Nucl Phys, UA-65044 Odessa, Ukraine; [Rusov, Vitaliy D.] Univ Bielefeld, D-33615 Bielefeld, Germany; [Rusov, Vitaliy D.; Vaschenko, Vladimir N.] Ukrainian Natl Antarctic Ctr, UA-01601 Kiev, Ukraine; [Glushkov, Alexandr V.] Odessa State Environm Univ, UA-65105 Odessa, Ukraine; [Mavrodiev, Strachimir Cht.; Vachev, Boyko I.] Bulgarian Acad Sci, Inst Nucl Res &amp; Nucl Energy, BU-1784 Sofia, Bulgaria</t>
  </si>
  <si>
    <t>Ministry of Education &amp; Science of Ukraine; Odessa National Polytechnic University; University of Bielefeld; Ministry of Education &amp; Science of Ukraine; State Institution National Antarctic Scientific Center; Ministry of Education &amp; Science of Ukraine; Odessa State Environmental University; Bulgarian Academy of Sciences</t>
  </si>
  <si>
    <t>Glushkov, Aleksandr/JNS-7969-2023; Smolyar, Vladimir/C-3406-2016; Rusov, Vitaliy D./I-1932-2015; Glushkov, Habil. Dr., Prof. Alexander V./C-9804-2018</t>
  </si>
  <si>
    <t>Smolyar, Vladimir/0000-0002-0420-513X; Rusov, Vitaliy D./0000-0003-1091-1396; Glushkov, Habil. Dr., Prof. Alexander V./0000-0001-7192-791X</t>
  </si>
  <si>
    <t>10.1016/j.jastp.2009.12.007</t>
  </si>
  <si>
    <t>WOS:000276428600005</t>
  </si>
  <si>
    <t>Frank-Kamenetsky, AV; Makarova, LN; Morozov, VN; Shirochkov, AV; Burns, GB</t>
  </si>
  <si>
    <t>Frank-Kamenetsky, A. V.; Makarova, L. N.; Morozov, V. N.; Shirochkov, A. V.; Burns, G. B.</t>
  </si>
  <si>
    <t>On the connection between the atmospheric electric field measured at the surface and the ionospheric electric field in the Central Antarctica</t>
  </si>
  <si>
    <t>Atmospheric electricity; Central Antarctica; Polar ionosphere; Global electric circuit</t>
  </si>
  <si>
    <t>Regular measurements of the atmospheric electric field made at Vostok Station (phi=78.45 degrees S; lambda=106.87 degrees E, elevation 3500 m) in Antarctica demonstrate that extremely intense electric fields (1000-5000 V/m) can be observed during snow storms. Usually the measured value of the atmospheric electric field at Vostok is about 100-250 V/m during periods with fair weather conditions. Actual relation between near-surface electric fields and ionospheric electric fields remain to be a controversial problem. Some people claimed that these intense electric fields produced by snowstorms or appearing before strong earthquakes can re-distribute electric potential in the ionosphere at the heights up to 300 km. We investigated interrelation between the atmospheric and ionospheric electric fields by both experimental and theoretical methods. Our conclusion is that increased near-surface atmospheric electric fields do not contribute notably to distribution of ionospheric electric potential. (C) 2010 Elsevier Ltd. All rights reserved.</t>
  </si>
  <si>
    <t>[Frank-Kamenetsky, A. V.; Makarova, L. N.; Shirochkov, A. V.] Arctic &amp; Antarctic Res Inst, St Petersburg 199397, Russia; [Morozov, V. N.] Main Geophys Observ, St Petersburg 194021, Russia; [Burns, G. B.] Australian Antarctic Div, Kingston, Tas, Australia</t>
  </si>
  <si>
    <t>Arctic &amp; Antarctic Research Institute; Australian Antarctic Division</t>
  </si>
  <si>
    <t>Shirochkov, AV (corresponding author), Arctic &amp; Antarctic Res Inst, St Petersburg 199397, Russia.</t>
  </si>
  <si>
    <t>shirmak@aari.nw.ru</t>
  </si>
  <si>
    <t>Russian Foundation for Basic Research [06-05-64311a]</t>
  </si>
  <si>
    <t>Russian Foundation for Basic Research(Russian Foundation for Basic Research (RFBR)Spanish Government)</t>
  </si>
  <si>
    <t>This research is supported by the Russian Foundation for Basic Research (project 06-05-64311a). The Australian Antarctic Division developed the electric field mill electronics and data collection software. The Vostok electric field measurements were collected by specialists of the Russian Antarctic program.</t>
  </si>
  <si>
    <t>10.1016/j.jastp.2009.12.009</t>
  </si>
  <si>
    <t>WOS:000276428600007</t>
  </si>
  <si>
    <t>Smith, AJ; Horne, RB; Meredith, NP</t>
  </si>
  <si>
    <t>Smith, A. J.; Horne, R. B.; Meredith, N. P.</t>
  </si>
  <si>
    <t>The statistics of natural ELF/VLF waves derived from a long continuous set of ground-based observations at high latitude</t>
  </si>
  <si>
    <t>ELF/VLF; Radio noise; Whistler mode; Chorus</t>
  </si>
  <si>
    <t>DRIVEN ELECTRON ACCELERATION; QUASI-BIENNIAL OSCILLATION; VLF RADIO-WAVES; RELATIVISTIC ENERGIES; CHORUS; ELF; ANTARCTICA; FREQUENCY; STATIONS; NOISE</t>
  </si>
  <si>
    <t>This paper analyses a unique set of continuous high-quality well-calibrated observations of natural ELF/VLF radio waves, in the range 0.3-10 kHz, made at Halley Research Station, Antarctica (76 degrees S,27 W,L = 4.5) over one and a half solar cycles (1992-2007). Reference is also made to similar but shorter data sets obtained from other Antarctic stations. The observed waves vary over a very wide dynamic range, from the receiver noise level of similar to 20dB wrt 10(-33)T(2) Hz(-1) (at 1 kHz) up to 40-50 dB above it, over a wide range of timescales. However, the long continuous data set allows us to average out the random and aperiodic variations to extract the underlying dependence of the wave characteristics on local time, time of year, solar cycle, etc. Below about 5 kHz the received waves are predominantly whistler-mode waves, notably chorus, which are generated in the magnetosphere and propagate on geomagnetic field-aligned (ducted) paths to low altitudes. At the top of the frequency range (similar to 10 kHz) the observed waves are mostly atmospherics from tropical lightning. The spectrum, and dependence on local time and season, are discussed in terms of a source function and a propagation function from the source region through the ionosphere (in the case of the magnetospheric waves) and under the ionosphere. The dependence of the waves on latitude, geomagnetic activity, solar cycle and day of the week are also described. (C) 2010 Elsevier Ltd. All rights reserved.</t>
  </si>
  <si>
    <t>[Smith, A. J.] VLF ELF Radio Res Inst, Bradwell S33 9JD, Hope Valley, England; [Horne, R. B.; Meredith, N. P.] British Antarctic Survey, Cambridge CB3 0ET, England</t>
  </si>
  <si>
    <t>Smith, AJ (corresponding author), VLF ELF Radio Res Inst, Hungry Lane, Bradwell S33 9JD, Hope Valley, England.</t>
  </si>
  <si>
    <t>a.j.smith@verri.org.uk; r.horne@bas.ac.uk; nmer@bas.ac.uk</t>
  </si>
  <si>
    <t>Horne, Richard B/U-3764-2019; Meredith, Nigel P/C-5806-2018</t>
  </si>
  <si>
    <t>Horne, Richard B/0000-0002-0412-6407; Meredith, Nigel/0000-0001-5032-3463</t>
  </si>
  <si>
    <t>British Antarctic Survey; Australian Antarctic Division; NERC [bas0100023] Funding Source: UKRI; Natural Environment Research Council [bas0100023] Funding Source: researchfish</t>
  </si>
  <si>
    <t>British Antarctic Survey; Australian Antarctic Division; NERC(UK Research &amp; Innovation (UKRI)Natural Environment Research Council (NERC)); Natural Environment Research Council(UK Research &amp; Innovation (UKRI)Natural Environment Research Council (NERC))</t>
  </si>
  <si>
    <t>We thank the many scientists and engineers, both in Antarctic and the UK, who have maintained the flow of high quality data over the years. The data from Casey station was obtained under a joint project between British Antarctic Survey and the Australian Antarctic Division.</t>
  </si>
  <si>
    <t>10.1016/j.jastp.2009.12.018</t>
  </si>
  <si>
    <t>WOS:000276428600012</t>
  </si>
  <si>
    <t>Wang, Q; Liang, JM; Hu, ZJ; Hu, HH; Zhao, H; Hu, HQ; Gao, XB; Yang, HG</t>
  </si>
  <si>
    <t>Wang, Qian; Liang, Jimin; Hu, Ze-Jun; Hu, Hai-Hong; Zhao, Heng; Hu, Hong-Qiao; Gao, Xinbo; Yang, Huigen</t>
  </si>
  <si>
    <t>Spatial texture based automatic classification of dayside aurora in all-sky images</t>
  </si>
  <si>
    <t>Dayside aurora; Automatic classification; Local binary patterns; Auroral morphology</t>
  </si>
  <si>
    <t>LOCAL BINARY PATTERNS; ARCS; MORPHOLOGY; SCALE; OVAL</t>
  </si>
  <si>
    <t>A spatial texture based representation method including features of intensity, shape and texture, was utilized to characterize all-sky auroral images. The combination of the local binary pattern (LBP) operator and a delicately designed block partition scheme achieved both global shapes and local textures capabilities. The representation method was used in automatic recognition of four primary categories of discrete dayside aurora using observations between years 2003-2009 at the Yellow River Station, Ny-Alesund, Svalbard. The supervised classification results on labeled data in 2003 were in accordance with the labeling by scientists considering both spectral and morphological information. The occurrence distributions of the four categories were obtained through automatic classification of data between 2004-2009, which confirm the multiple-wavelength intensity distribution of dayside aurora, and further provide morphological interpretation of auroral types. (C) 2010 Elsevier Ltd. All rights reserved.</t>
  </si>
  <si>
    <t>[Wang, Qian; Liang, Jimin; Hu, Ze-Jun; Hu, Hai-Hong; Zhao, Heng] Xidian Univ, Life Sci Res Ctr, Sch Life Sci &amp; Technol, Xian 710071, Peoples R China; [Hu, Ze-Jun; Hu, Hong-Qiao; Yang, Huigen] Polar Res Inst China, SOA Key Lab Polar Sci, Shanghai 200136, Peoples R China; [Gao, Xinbo] Xidian Univ, Sch Elect Engn, Xian 710071, Peoples R China</t>
  </si>
  <si>
    <t>Xidian University; Polar Research Institute of China; Xidian University</t>
  </si>
  <si>
    <t>Liang, JM (corresponding author), Xidian Univ, Life Sci Res Ctr, Sch Life Sci &amp; Technol, Xian 710071, Peoples R China.</t>
  </si>
  <si>
    <t>wangqian@life.xidian.edu.cn; jiminliang@gmail.com; huzejun@pric.gov.cn; huhaihong@life.xidian.edu.cn; hengzhao@mail.xidian.edu.cn; hhq@pric.gov.cn; xbgao@mail.xidian.edu.cn; huigen_yang@pric.gov.cn</t>
  </si>
  <si>
    <t>Hu, Ze-Jun/X-8090-2019; Liang, Jimin/B-5394-2014; Life, FP/M-9555-2013</t>
  </si>
  <si>
    <t>Hu, Ze-Jun/0000-0003-2448-2094; Liang, Jimin/0000-0003-1428-5804; , Qian/0000-0002-3819-7369</t>
  </si>
  <si>
    <t>National Natural Science Foundation of China [60872154, 40890164, 40904041, 40974103, 40604020]; Ministry of Science and Technology of the People's Republic of China [2006BAB18B06, 2008DFA20420, 2008AA121703]; China Meteorological Administration [GYHY200706043]; National Basic Research Program of China (NBRPC) [2006CB705700]; Chair Professors of the Cheung Kong Scholars; Program for Cheung Kong Scholars and Innovative Research Team in University (PCSIRT) [IRT0645]; Science and Technology Commission of Shanghai Municipality [09R21421800]; Chinese IPY</t>
  </si>
  <si>
    <t>National Natural Science Foundation of China(National Natural Science Foundation of China (NSFC)); Ministry of Science and Technology of the People's Republic of China(Ministry of Science and Technology, China); China Meteorological Administration; National Basic Research Program of China (NBRPC)(National Basic Research Program of China); Chair Professors of the Cheung Kong Scholars; Program for Cheung Kong Scholars and Innovative Research Team in University (PCSIRT)(Program for Changjiang Scholars &amp; Innovative Research Team in University (PCSIRT)); Science and Technology Commission of Shanghai Municipality(Science &amp; Technology Commission of Shanghai Municipality (STCSM)); Chinese IPY</t>
  </si>
  <si>
    <t>This research was supported by the National Natural Science Foundation of China (60872154, 40890164, 40904041, 40974103, 40604020), the projects of Ministry of Science and Technology of the People's Republic of China (2006BAB18B06, 2008DFA20420, 2008AA121703), the fund of China Meteorological Administration (GYHY200706043), the National Basic Research Program of China (NBRPC) under Grant 2006CB705700, the Chair Professors of the Cheung Kong Scholars, the Program for Cheung Kong Scholars and Innovative Research Team in University (PCSIRT) under Grant IRT0645, the postdoctoral scientific research fund of Science and Technology Commission of Shanghai Municipality (09R21421800), the fund of Chinese IPY (International Polar Year) program. Many thanks for the funds supporting the Chinese Arctic and Antarctic Administration, and for the technique support from the National Institute of Polar Research, Japan.</t>
  </si>
  <si>
    <t>10.1016/j.jastp.2010.01.011</t>
  </si>
  <si>
    <t>WOS:000276428600016</t>
  </si>
  <si>
    <t>Marques, AC; Cantero, ALP</t>
  </si>
  <si>
    <t>Marques, Antonio C.; Pena Cantero, Alvaro L.</t>
  </si>
  <si>
    <t>Areas of endemism in the Antarctic - a case study of the benthic hydrozoan genus Oswaldella (Cnidaria, Kirchenpaueriidae)</t>
  </si>
  <si>
    <t>JOURNAL OF BIOGEOGRAPHY</t>
  </si>
  <si>
    <t>Antarctica; historical biogeography; Hydrozoa; Leptothecata; Oswaldella; PAE; palaeocurrents; Southern Ocean</t>
  </si>
  <si>
    <t>STECHOW; BIOGEOGRAPHY; EXPEDITIONS; STATEMENTS</t>
  </si>
  <si>
    <t>Aim The aim of this study is to investigate areas of endemism within the distribution of Oswaldella species in the Southern Ocean, thereby testing previous hypotheses and proposing alternative scenarios for Antarctic evolution. Location Southern Ocean, Antarctic and sub-Antarctic waters of southern South America. Methods We prepared a database for the 31 currently known species of the Antarctic genus Oswaldella, which includes geographical locations gathered from published taxonomic studies as well as materials from museums and expeditions. A parsimony analysis of endemicity (PAE) was used to test hypotheses of distribution patterns. Results Four areas of endemism are hypothesized: southern South America, two high Antarctic areas (eastern and western) and a larger area, mainly in western Antarctica at lower latitudes and including insular areas (but not the Balleny Islands). Main conclusions The results support, in part, previous hypotheses for the Southern Ocean region, while providing more detailed resolution. The areas of endemism may reflect both historical and ecological processes that influenced the Antarctic biota. The Magellanic area reflects the well-known affinities of the Antarctic biota with that of South America and may be a consequence of dispersal through deeper (and colder) waters, followed by speciation. The second area, the largest one, encompasses most of the insular faunas and may also be associated with deeper waters formed since 43 Ma. The third area may be explained by the development of seaways in the circum-Antarctic region beginning 50 Ma. Finally, the fourth zone, with a very poor fauna, coincides with the opening of the Tasman Strait and the formation of the Australo-Antarctic Gulf, associated with a minor wind-driven current.</t>
  </si>
  <si>
    <t>[Marques, Antonio C.] Univ Sao Paulo, Dept Zool, Inst Biociencias, BR-05422970 Sao Paulo, Brazil; [Pena Cantero, Alvaro L.] Univ Valencia, Inst Cavanilles Biodiversidad &amp; Biol Evolut, Fdn Gen, Valencia 46071, Spain</t>
  </si>
  <si>
    <t>Universidade de Sao Paulo; University of Valencia</t>
  </si>
  <si>
    <t>Marques, AC (corresponding author), Univ Sao Paulo, Dept Zool, Inst Biociencias, CP 11461, BR-05422970 Sao Paulo, Brazil.</t>
  </si>
  <si>
    <t>marques@ib.usp.br</t>
  </si>
  <si>
    <t>Cantero, Álvaro Luis Peña/F-7888-2016; Marques, Antonio/E-8049-2011</t>
  </si>
  <si>
    <t>Marques, Antonio/0000-0002-2884-0541; Pena Cantero, Alvaro/0000-0003-3056-6673</t>
  </si>
  <si>
    <t>FAPESP [1996/10544-0, 2004/09961-4]; CNPq [55.7333/2005-9, 490348/2006-8, 305735/2006-3, 474672/2007-7]; Ministerio de Ciencia e Innovacion of Spain [CTM2009-11128ANT]; Fondo Europeo de Desarrollo Regional (FEDER); Fundacao de Amparo a Pesquisa do Estado de Sao Paulo (FAPESP) [04/09961-4] Funding Source: FAPESP</t>
  </si>
  <si>
    <t>FAPESP(Fundacao de Amparo a Pesquisa do Estado de Sao Paulo (FAPESP)); CNPq(Conselho Nacional de Desenvolvimento Cientifico e Tecnologico (CNPQ)); Ministerio de Ciencia e Innovacion of Spain(Spanish Government); Fondo Europeo de Desarrollo Regional (FEDER)(European Union (EU)Spanish Government); Fundacao de Amparo a Pesquisa do Estado de Sao Paulo (FAPESP)(Fundacao de Amparo a Pesquisa do Estado de Sao Paulo (FAPESP))</t>
  </si>
  <si>
    <t>We would like to thank Sergio Pereira and Erika Tavares (Royal Ontario Museum, Canada) for valuable literature suggestions on the Antarctica, and to James Roper for his help with the English. This study was supported by grants from FAPESP (1996/10544-0; 2004/09961-4), CNPq (55.7333/2005-9, 490348/2006-8, 305735/2006-3 and 474672/2007-7) and by a research project (CTM2009-11128ANT) funded by the Ministerio de Ciencia e Innovacion of Spain and the Fondo Europeo de Desarrollo Regional (FEDER)</t>
  </si>
  <si>
    <t>0305-0270</t>
  </si>
  <si>
    <t>1365-2699</t>
  </si>
  <si>
    <t>J BIOGEOGR</t>
  </si>
  <si>
    <t>J. Biogeogr.</t>
  </si>
  <si>
    <t>10.1111/j.1365-2699.2009.02238.x</t>
  </si>
  <si>
    <t>Ecology; Geography, Physical</t>
  </si>
  <si>
    <t>Environmental Sciences &amp; Ecology; Physical Geography</t>
  </si>
  <si>
    <t>571CT</t>
  </si>
  <si>
    <t>WOS:000275729600003</t>
  </si>
  <si>
    <t>Harvey, PM; Shellie, RA; Haddad, PR</t>
  </si>
  <si>
    <t>Harvey, Paul McA.; Shellie, Robert A.; Haddad, Paul R.</t>
  </si>
  <si>
    <t>Design Considerations For Pulsed-Flow Comprehensive Two-Dimensional GC: Dynamic Flow Model Approach</t>
  </si>
  <si>
    <t>JOURNAL OF CHROMATOGRAPHIC SCIENCE</t>
  </si>
  <si>
    <t>GAS-CHROMATOGRAPHY; MODULATION; PRESSURE; SYSTEM</t>
  </si>
  <si>
    <t>A dynamic flow model, which maps carrier gas pressures and carrier gas flow rates through the first dimension separation column, the modulator sample loop, and the second dimension separation column(s) in a pulsed-flow modulation comprehensive two-dimensional gas chromatography (PFM-GCxGC) system is described. The dynamic flow model assists design of a PFM-GCxGC modulator and leads to rapid determination of pneumatic conditions, timing parameters, and the dimensions of the separation columns and connecting tubing used to construct the PFM-GCxGC system. Three significant innovations are introduced in this manuscript, which were all uncovered by using the dynamic flow model. A symmetric flow path modulator improves baseline stability, appropriate selection of the flow restrictors in the first dimension column assembly provides a generally more stable and robust system, and these restrictors increase the modulation period flexibility of the PFM-GCxGC system. The flexibility of a PFMGCxGC system resulting from these innovations is illustrated using the same modulation interface to analyze Special Antarctic Blend (SAB) diesel using 3 s and 9 s modulation periods.</t>
  </si>
  <si>
    <t>[Harvey, Paul McA.; Shellie, Robert A.; Haddad, Paul R.] Univ Tasmania, ACROSS, Hobart, Tas 7001, Australia</t>
  </si>
  <si>
    <t>University of Tasmania</t>
  </si>
  <si>
    <t>Shellie, RA (corresponding author), Univ Tasmania, ACROSS, Private Bag 75, Hobart, Tas 7001, Australia.</t>
  </si>
  <si>
    <t>robert.shellie@utas.edu.au</t>
  </si>
  <si>
    <t>Shellie, Robert/AAU-6100-2020</t>
  </si>
  <si>
    <t>Shellie, Robert/0000-0002-8470-0893; Haddad, Paul/0000-0001-9579-7363</t>
  </si>
  <si>
    <t>Australian Research Council's Discovery [DP0771893]; Australian Antarctic Science [2930]; Australian Research Council [DP0771893] Funding Source: Australian Research Council</t>
  </si>
  <si>
    <t>Australian Research Council's Discovery(Australian Research Council); Australian Antarctic Science; Australian Research Council(Australian Research Council)</t>
  </si>
  <si>
    <t>This work was supported under the Australian Research Council's Discovery funding scheme (project number DP0771893) and Australian Antarctic Science Grant 2930. The generous support of Restek Corporation is gratefully acknowledged. PMcAH acknowledges the assistance of Dr. M. Brideson (UTAS) and Dr. B. Raymond (AAD) in setting up finite difference analysis methods.</t>
  </si>
  <si>
    <t>OXFORD UNIV PRESS INC</t>
  </si>
  <si>
    <t>CARY</t>
  </si>
  <si>
    <t>JOURNALS DEPT, 2001 EVANS RD, CARY, NC 27513 USA</t>
  </si>
  <si>
    <t>0021-9665</t>
  </si>
  <si>
    <t>1945-239X</t>
  </si>
  <si>
    <t>J CHROMATOGR SCI</t>
  </si>
  <si>
    <t>J. Chromatogr. Sci.</t>
  </si>
  <si>
    <t>+</t>
  </si>
  <si>
    <t>10.1093/chromsci/48.4.245</t>
  </si>
  <si>
    <t>Biochemical Research Methods; Chemistry, Analytical</t>
  </si>
  <si>
    <t>Biochemistry &amp; Molecular Biology; Chemistry</t>
  </si>
  <si>
    <t>575GN</t>
  </si>
  <si>
    <t>Bronze, Green Submitted</t>
  </si>
  <si>
    <t>WOS:000276055100001</t>
  </si>
  <si>
    <t>Fyke, JG; Carter, L; Mackintosh, A; Weaver, AJ; Meissner, KJ</t>
  </si>
  <si>
    <t>Fyke, Jeremy G.; Carter, Lionel; Mackintosh, Andrew; Weaver, Andrew J.; Meissner, Katrin J.</t>
  </si>
  <si>
    <t>Surface Melting over Ice Shelves and Ice Sheets as Assessed from Modeled Surface Air Temperatures</t>
  </si>
  <si>
    <t>JOURNAL OF CLIMATE</t>
  </si>
  <si>
    <t>ANTARCTIC PENINSULA; BREAK-UP</t>
  </si>
  <si>
    <t>Summer surface melting plays an important role in the evolution of ice shelves and their progenitor ice sheets. To explore the magnitude of surface melt occurring over modern ice shelves and ice sheets in a climate scenario forced by anthropogenic emissions of carbon dioxide (CO2), a coupled climate model was used to simulate the distribution of summer melt at high latitudes and project the future evolution of high-melt regions in both hemispheres. Forcing of the climate model with CO2 emissions resulting from combustion of the present-day fossil-fuel resource base resulted in expansion of high-melt regions, as defined by the contour marking 200 positive degree-days per year, in the Northern Hemisphere and the Antarctic Peninsula and the introduction of high summer melt over the Ross. Ronne-Filchner, and Amery ice shelves as well as a large portion of the West Antarctic Ice Sheet (WAIS) and most of the Greenland Ice Sheet (GIS) by the year 2500. Capping CO2 concentrations at present-day levels avoided significant summer melt over the large Antarctic shelves. the WAIS. and much of the GIS.</t>
  </si>
  <si>
    <t>[Fyke, Jeremy G.] Victoria Univ Wellington, Antarctic Res Ctr, Wellington 6140, New Zealand; [Weaver, Andrew J.; Meissner, Katrin J.] Univ Victoria, Sch Earth &amp; Ocean Sci, Victoria, BC, Canada</t>
  </si>
  <si>
    <t>Victoria University Wellington; University of Victoria</t>
  </si>
  <si>
    <t>Fyke, JG (corresponding author), Victoria Univ Wellington, Antarctic Res Ctr, POB 600, Wellington 6140, New Zealand.</t>
  </si>
  <si>
    <t>fykejere@student.vuw.ac.nz</t>
  </si>
  <si>
    <t>Weaver, Andrew J/E-7590-2011</t>
  </si>
  <si>
    <t>Weaver, Andrew J/0000-0001-8919-3598; Mackintosh, Andrew/0000-0002-6430-4711; Meissner, Katrin/0000-0002-0716-7415</t>
  </si>
  <si>
    <t>FRST; VUW</t>
  </si>
  <si>
    <t>FRST(New Zealand Foundation for Research, Science and Technology); VUW</t>
  </si>
  <si>
    <t>We thank Dr. Alun Hubbard for valuable discussions, Michael Eby and Ed Wiebe for technical support, and Luke Copland for supplying calculated Arctic PDD data. Travel related to this work was funded by the FRST-supported ANZICE program and the VUW Endowed Development Fund. JGF is supported with a VUW Ph.D. scholarship.</t>
  </si>
  <si>
    <t>AMER METEOROLOGICAL SOC</t>
  </si>
  <si>
    <t>BOSTON</t>
  </si>
  <si>
    <t>45 BEACON ST, BOSTON, MA 02108-3693, UNITED STATES</t>
  </si>
  <si>
    <t>0894-8755</t>
  </si>
  <si>
    <t>1520-0442</t>
  </si>
  <si>
    <t>J CLIMATE</t>
  </si>
  <si>
    <t>J. Clim.</t>
  </si>
  <si>
    <t>10.1175/2009JCLI3122.1</t>
  </si>
  <si>
    <t>581EY</t>
  </si>
  <si>
    <t>WOS:000276505500017</t>
  </si>
  <si>
    <t>Lehette, P; Hernández-León, S</t>
  </si>
  <si>
    <t>Lehette, Pascal; Hernandez-Leon, Santiago</t>
  </si>
  <si>
    <t>Carbon dioxide production rates of marine epipelagic copepods in subtropical waters during the late winter bloom</t>
  </si>
  <si>
    <t>JOURNAL OF EXPERIMENTAL MARINE BIOLOGY AND ECOLOGY</t>
  </si>
  <si>
    <t>Canary Islands; Factorial scope; Infra-red; pCO(2); Respiration; Zooplankton</t>
  </si>
  <si>
    <t>NITROGEN-EXCRETION; AMMONIUM EXCRETION; OXYGEN-CONSUMPTION; METABOLIC-RATES; ACARTIA-TONSA; INVERTEBRATE EMBRYOS; RESPIRATION RATES; EUPHAUSIA-SUPERBA; ANTARCTIC KRILL; BODY-MASS</t>
  </si>
  <si>
    <t>Carbon dioxide production rates of mixed epipelagic copepods were measured during the so-called late winter bloom in the vicinity of the Canary Islands. Respiration rates were measured using a simple and sensitive infra-red gas analyser coupled to a manifold containing an equilibrator module to transfer seawater CO2 to the gas phase. The system allowed the determination of the carbon dioxide content of one sample in 20 to 40 min. Respiration rates obtained were similar to previous oxygen consumption rates in subtropical waters. A relative wide range of carbon dioxide production rates was observed due to the metabolic condition of the organisms. Direct measurement of respiration rates after the capture showed high values (11-fold) compared to standard rates at starving conditions after only 4-6 h of incubation in filtered seawater. The results showed that short-term (0.5 h) CO2 production rates by copepods can be measured in relatively large incubation volumes (600 ml) minimizing crowding and bottle effects. A standardized method is proposed in order to obtain comparable results of metabolic rates in marine mesozooplankton. (C) 2010 Published by Elsevier B.V.</t>
  </si>
  <si>
    <t>[Lehette, Pascal; Hernandez-Leon, Santiago] Univ Las Palmas Gran Canaria, Biol Oceanog Lab, Fac Ciencias Mar, Las Palmas Gran Canaria 35017, Canary Islands, Spain</t>
  </si>
  <si>
    <t>Universidad de Las Palmas de Gran Canaria</t>
  </si>
  <si>
    <t>Lehette, P (corresponding author), Univ Las Palmas Gran Canaria, Biol Oceanog Lab, Fac Ciencias Mar, Las Palmas Gran Canaria 35017, Canary Islands, Spain.</t>
  </si>
  <si>
    <t>pascal.lehette101@doctorandos.ulpgc.es</t>
  </si>
  <si>
    <t>Hernández-León, Santiago/M-2563-2014; Lehette, Pascal/L-3853-2017</t>
  </si>
  <si>
    <t>Lehette, Pascal/0000-0002-6923-6359; Hernandez-Leon, Santiago/0000-0002-3085-4969</t>
  </si>
  <si>
    <t>CICYT (Spanish Commission for Science and Technology) [Ren2002-04165, CTM2004-02319, CTM2008-03538]</t>
  </si>
  <si>
    <t>CICYT (Spanish Commission for Science and Technology)(Consejo Interinstitucional de Ciencia y Tecnologia (CICYT))</t>
  </si>
  <si>
    <t>This research was financially supported by projects ICEPOS (Ren2002-04165), ConAfrica (CTM2004-02319) and Lucifer (CTM2008-03538) from the CICYT (Spanish Commission for Science and Technology). We acknowledge the assistance at sea of the members of the UTM (Unidad de Tecnologia Marina) and the crew of the RN Hesperides. The authors are indebted to S. Putzeys and J. C. Gomez Fernandez for their help and advice. [SS]</t>
  </si>
  <si>
    <t>0022-0981</t>
  </si>
  <si>
    <t>1879-1697</t>
  </si>
  <si>
    <t>J EXP MAR BIOL ECOL</t>
  </si>
  <si>
    <t>J. Exp. Mar. Biol. Ecol.</t>
  </si>
  <si>
    <t>1-2</t>
  </si>
  <si>
    <t>10.1016/j.jembe.2010.01.006</t>
  </si>
  <si>
    <t>Ecology; Marine &amp; Freshwater Biology</t>
  </si>
  <si>
    <t>Environmental Sciences &amp; Ecology; Marine &amp; Freshwater Biology</t>
  </si>
  <si>
    <t>582EU</t>
  </si>
  <si>
    <t>WOS:000276579900006</t>
  </si>
  <si>
    <t>Hayward, BW; Sabaa, AT; Thomas, E; Kawagata, S; Nomura, R; Schröder-Adams, C; Gupta, AK; Johnson, K</t>
  </si>
  <si>
    <t>Hayward, Bruce W.; Sabaa, Ashwaq T.; Thomas, Ellen; Kawagata, Shungo; Nomura, Ritsuo; Schroder-Adams, Claudia; Gupta, Anil K.; Johnson, Katie</t>
  </si>
  <si>
    <t>CENOZOIC RECORD OF ELONGATE, CYLINDRICAL, DEEP-SEA BENTHIC FORAMINIFERA IN THE INDIAN OCEAN (ODP SITES 722, 738, 744, 758, AND 763)</t>
  </si>
  <si>
    <t>JOURNAL OF FORAMINIFERAL RESEARCH</t>
  </si>
  <si>
    <t>PALEOCEANOGRAPHIC EVOLUTION; PLEISTOCENE EXTINCTIONS; OLIGOCENE TRANSITION; CIRCULATION CHANGES; EQUATORIAL PACIFIC; ANTARCTIC OCEAN; EXMOUTH PLATEAU; LATE PLIOCENE; EOCENE; DISTRIBUTIONS</t>
  </si>
  <si>
    <t>A group of similar to 100 species of elongate, cylindrical deep-sea benthic foraminifera (families Stilostomellidae, Pleurostomellidae, Nodosariidae) with complex, often constricted apertural structures, became extinct during increasingly cold glacial periods in the late Pliocene to mid-Pleistocene Climate Transition (MPT, similar to 2.6-0.6 Ma). We document the evolutionary history and architecture of this Extinction Group (Ext. Gp) through the Cenozoic at four lower bathyal-upper abyssal Indian Ocean sites (ODP 722, 744/738, 758, 763), seeking clues to the cause of this morphologically-targeted extinction episode late in the Cenozoic. Eighty percent of the 116 Ext Gp. species present in the Cenozoic of the Indian Ocean originated globally in the Eocene or earlier, compared with 23-37% of other Quaternary deep-sea foraminifera. The Ext. Gp had its peak species richness and relative and absolute abundances in the late Eocene. The rapid warming of the Paleocene-Eocene Thermal Maximum, that resulted in a loss of 30-50% of deep-sea foraminiferal species, had no impact on the Ext. Gp in the one Indian Ocean section (ODP 744/738) studied. Major Cenozoic changes in the Ext. Gp, including increased species turnover, changes in dominant species, a decline in abundance, loss in diversity, and finally extinction, mostly occurred during the middle Eocene to early Oligocene, middle to late Miocene, and late Pliocene to middle Pleistocene. These were times of stepped increase in the volume of polar ice, global oceanic cooling, surface-water eutrophication, seasonality of phytoplankton production, deep-water ventilation, and southern deep-water carbonate corrosiveness. The final decline and disappearance of the Ext. Gp began in the late Miocene at high latitudes (744/738), but not until the late Pliocene (758, 763) or MPT (722) at lower latitudes. We hypothesize that the loss of the Ext. Gp of deep-sea foraminifera may have been caused by the decline or demise of their specific food source (detrital phytoplankton or bottom-dwelling microbes) that was abundant in the Greenhouse World and was decimated by the stepwise cooling, ventilation, or eutrophication of the oceans that began in the middle and late Eocene.</t>
  </si>
  <si>
    <t>[Hayward, Bruce W.; Sabaa, Ashwaq T.; Kawagata, Shungo; Johnson, Katie] Geomarine Res, Auckland, New Zealand; [Thomas, Ellen] Yale Univ, Dept Geol &amp; Geophys, New Haven, CT USA; [Thomas, Ellen] Wesleyan Univ, Dept Earth &amp; Environm Sci, Middletown, CT USA; [Nomura, Ritsuo] Shimane Univ, Fac Educ, Matsue, Shimane 6908504, Japan; [Schroder-Adams, Claudia] Carleton Univ, Dept Earth Sci, Ottawa, ON K1S 5B6, Canada; [Gupta, Anil K.] Indian Inst Technol, Dept Geol &amp; Geophys, Kharagpur 721302, W Bengal, India</t>
  </si>
  <si>
    <t>Yale University; Wesleyan University; Shimane University; Carleton University; Indian Institute of Technology System (IIT System); Indian Institute of Technology (IIT) - Kharagpur</t>
  </si>
  <si>
    <t>Hayward, BW (corresponding author), Geomarine Res, 49 Swainston Rd, Auckland, New Zealand.</t>
  </si>
  <si>
    <t>b.hayward@geomarine.org.nz</t>
  </si>
  <si>
    <t>Thomas, Ellen/JVO-1734-2024; HAYWARD, BRUCE W/AAG-2597-2019</t>
  </si>
  <si>
    <t>Thomas, Ellen/0000-0002-7141-9904; Kawagata, Shungo/0000-0001-6147-9690; Schroder-Adams, Claudia/0000-0002-0245-2559; Hayward, Bruce W./0000-0003-1302-7686; Gupta, Anil/0000-0003-0536-3911</t>
  </si>
  <si>
    <t>U.S. National Science Foundation; Joint Oceanographic Institutions; Royal Society of New Zealand; NSF [OCE -720049]</t>
  </si>
  <si>
    <t>U.S. National Science Foundation(National Science Foundation (NSF)); Joint Oceanographic Institutions; Royal Society of New Zealand(Royal Society of New Zealand); NSF(National Science Foundation (NSF))</t>
  </si>
  <si>
    <t>Samples were provided by the Integrated Ocean Drilling Program (IODP), which is sponsored by the U.S. National Science Foundation and participating countries under management of Joint Oceanographic Institutions. Scanning electron micrographs were taken at the Research Centre for Surface and Material Science, University of Auckland. We thank Lilian Weiland for laboratory assistance and Drs. M. Katz, K. Kaiho, and K. Finger for their thorough reviews. Funding was provided by the Marsden Fund of the Royal Society of New Zealand. ET acknowledges funding by NSF OCE -720049</t>
  </si>
  <si>
    <t>CUSHMAN FOUNDATION FORAMINIFERAL RESEARCH</t>
  </si>
  <si>
    <t>LAWRENCE</t>
  </si>
  <si>
    <t>PO BOX 7065, LAWRENCE, KS 66044-7065 USA</t>
  </si>
  <si>
    <t>0096-1191</t>
  </si>
  <si>
    <t>J FORAMIN RES</t>
  </si>
  <si>
    <t>J. Foraminifer. Res.</t>
  </si>
  <si>
    <t>10.2113/gsjfr.40.2.113</t>
  </si>
  <si>
    <t>Paleontology</t>
  </si>
  <si>
    <t>580IT</t>
  </si>
  <si>
    <t>WOS:000276442300001</t>
  </si>
  <si>
    <t>Quilty, PG</t>
  </si>
  <si>
    <t>Quilty, Patrick G.</t>
  </si>
  <si>
    <t>FORAMINIFERA FROM LATE PLIOCENE SEDIMENTS OF HEIDEMANN VALLEY, VESTFOLD HILLS, EAST ANTARCTICA</t>
  </si>
  <si>
    <t>SORSDAL FORMATION; SEA; STRATIGRAPHY; PENINSULA; ISLAND; BAY; AGE</t>
  </si>
  <si>
    <t>The foraminiferal fauna in Pliocene (3.5-2.6 Ma) sediments excavated in a trench 4 m deep, in Heidemann Valley, Vestfold Hills, East Antarctica is examined and described. Sediments accumulated in shallow, fully marine conditions in a glacial valley during the last major glacial event in the Vestfold Hills. The section correlates well with the Cockburn Island Formation (Pecten Conglomerate), sediments of Wright Valley, Dry Valleys, and marine event M10 recognized as far south as Amery Oasis, 500 km to the southwest of Heidemann Valley. The foraminiferal fauna generally is dominated by infaunal cassidulinid and elphidiid species. Assemblages vary dramatically, even between samples collected very close to each other, and no simple relationship with the position in sections or the valley can be determined. It is a shallow-water, fully marine fauna virtually free of agglutinated forms and with a low planktonic component Planoglabratella webbi is described as new.</t>
  </si>
  <si>
    <t>Univ Tasmania, Sch Earth Sci, Hobart, Tas 7001, Australia</t>
  </si>
  <si>
    <t>Quilty, PG (corresponding author), Univ Tasmania, Sch Earth Sci, Private Bag 79, Hobart, Tas 7001, Australia.</t>
  </si>
  <si>
    <t>P.Quilty@utas.edu.au</t>
  </si>
  <si>
    <t>Australian Antarctic Division</t>
  </si>
  <si>
    <t>I thank many who have been involved in a related project over many years. The support staff of the Australian Antarctic Division; Prof. Eric Colhoun, University of Newcastle was a major influence, as was Dr. Heikki Hirvas of the Geological Survey of Finland. Gerry Nash, Australian Antarctic Division helped (again) with the electron microscopy. Dr. Ken Finger, University of California Museum of Paleontology, Berkeley helped with advice on format. I thank Drs. S. Ishman, M. Katz, and an anonymous reviewer for making comments that have improved this paper.</t>
  </si>
  <si>
    <t>CUSHMAN FOUNDATION FORAMINIFERAL RES</t>
  </si>
  <si>
    <t>CAMBRIDGE</t>
  </si>
  <si>
    <t>MUSEUM COMPARATIVE ZOOLOGY, DEPT INVERTEBRATE PALEONTOLOGY 26 OXFORD ST, HARVARD UNIV, CAMBRIDGE, MA 02138 USA</t>
  </si>
  <si>
    <t>10.2113/gsjfr.40.2.193</t>
  </si>
  <si>
    <t>WOS:000276442300005</t>
  </si>
  <si>
    <t>Herraiz-Borreguero, L; Rintoul, SR</t>
  </si>
  <si>
    <t>Herraiz-Borreguero, Laura; Rintoul, Stephen R.</t>
  </si>
  <si>
    <t>Subantarctic Mode Water variability influenced by mesoscale eddies south of Tasmania</t>
  </si>
  <si>
    <t>CIRCUMPOLAR CURRENT SOUTH; DECADAL CHANGES; OCEAN FRONTS; FRESH-WATER; PACIFIC; SECTION; TEMPERATURE; CIRCULATION; ENERGETICS; SIGNATURE</t>
  </si>
  <si>
    <t>Subantarctic Mode Water (SAMW) is formed by deep mixing on the equatorward side of the Antarctic Circumpolar Current. The subduction and export of SAMW from the Southern Ocean play an important role in global heat, freshwater, carbon, and nutrient budgets. However, the formation process and variability of SAMW remain poorly understood, largely because of a lack of observations. To determine the temporal variability of SAMW in the Australian sector of the Southern Ocean, we used a 15 year time series of repeat expendable bathythermograph sections from 1993 to 2007, seven repeat conductivity-temperature-depth sections from 1991 to 2001, and sea surface height maps. The mean temperature of the SAMW lies between 8.5 degrees C and 9.5 degrees C (mean of 8.8 degrees C, standard deviation of 0.3 degrees C), and there is no evidence of a trend over the 18 year record. However, the temperature, salinity, and pycnostad strength of the SAMW can change abruptly from section to section. In addition, the SAMW pool on a single section often consists of two or more modes with distinct temperature, salinity, and vertical homogeneity characteristics but similar density. We show that the multiple types of mode water can be explained by the advection of anomalous water from eddies and meanders of the fronts bounding the Subantarctic Zone and by recirculation of SAMW of different ages. Our results suggest that infrequently repeated sections can potentially produce misleading results because of aliasing of high interannual variability.</t>
  </si>
  <si>
    <t>[Herraiz-Borreguero, Laura; Rintoul, Stephen R.] Univ Tasmania, Ctr Australian Weather &amp; Climate Res, Hobart, Tas 7000, Australia; [Herraiz-Borreguero, Laura] Univ Tasmania, Inst Antarctic &amp; So Ocean Studies, Hobart, Tas 7000, Australia; [Herraiz-Borreguero, Laura] Univ Tasmania, Ctr Marine Sci, Hobart, Tas 7000, Australia; [Rintoul, Stephen R.] Univ Tasmania, Antarctic Climate &amp; Ecosyst Cooperat Res Ctr, Hobart, Tas 7000, Australia; [Rintoul, Stephen R.] Wealth Oceans Natl Res Flagship, Hobart, Tas, Australia</t>
  </si>
  <si>
    <t>Commonwealth Scientific &amp; Industrial Research Organisation (CSIRO); University of Tasmania; University of Tasmania; University of Tasmania; University of Tasmania; Antarctic Climate &amp; Ecosystems Cooperative Research Centre (ACE CRC); Commonwealth Scientific &amp; Industrial Research Organisation (CSIRO)</t>
  </si>
  <si>
    <t>Herraiz-Borreguero, L (corresponding author), Univ Tasmania, Ctr Australian Weather &amp; Climate Res, Hobart, Tas 7000, Australia.</t>
  </si>
  <si>
    <t>lherraiz@utas.edu.au</t>
  </si>
  <si>
    <t>Rintoul, Stephen R/A-1471-2012; Herraiz-Borreguero, Laura/D-5795-2015</t>
  </si>
  <si>
    <t>Rintoul, Stephen R/0000-0002-7055-9876; Herraiz-Borreguero, Laura/0000-0002-4455-801X</t>
  </si>
  <si>
    <t>Australian Government Department of Climate Change; Australian government through the Antarctic Climate and Ecosystems Cooperative Research Centre; Commonwealth Scientific and Industrial Research Organisation (CSIRO)-University of Tasmania</t>
  </si>
  <si>
    <t>Australian Government Department of Climate Change(Australian Government); Australian government through the Antarctic Climate and Ecosystems Cooperative Research Centre(Australian GovernmentDepartment of Industry, Innovation and ScienceCooperative Research Centres (CRC) Programme); Commonwealth Scientific and Industrial Research Organisation (CSIRO)-University of Tasmania(Commonwealth Scientific &amp; Industrial Research Organisation (CSIRO))</t>
  </si>
  <si>
    <t>This work is supported by the Australian Government Department of Climate Change through the Australian Climate Change Science Program and by the Cooperative Research Centre program of the Australian government through the Antarctic Climate and Ecosystems Cooperative Research Centre. The research is a contribution to the CSIRO Wealth from Oceans National Research Flagship. L. H. B. is supported by a joint Commonwealth Scientific and Industrial Research Organisation (CSIRO)-University of Tasmania Ph.D. scholarship in Quantitative Marine Science.</t>
  </si>
  <si>
    <t>C04004</t>
  </si>
  <si>
    <t>10.1029/2008JC005146</t>
  </si>
  <si>
    <t>578SV</t>
  </si>
  <si>
    <t>Green Accepted, Green Published</t>
  </si>
  <si>
    <t>WOS:000276316600001</t>
  </si>
  <si>
    <t>Woodman, JD</t>
  </si>
  <si>
    <t>Woodman, James D.</t>
  </si>
  <si>
    <t>Cold tolerance of first-instar nymphs of the Australian plague locust, Chortoicetes terminifera</t>
  </si>
  <si>
    <t>JOURNAL OF INSECT PHYSIOLOGY</t>
  </si>
  <si>
    <t>Cold hardiness; Rapid cold hardening; Supercooling point; Low temperature; Total body water content</t>
  </si>
  <si>
    <t>ANTARCTIC MIDGE; HARDINESS</t>
  </si>
  <si>
    <t>The cold tolerance of first-instar nymphs of the Australian plague locust, Chortoicetes terminifera, was examined using measures of total body water content, supercooling point and mortality for a range of sub-zero temperature exposure regimes. The supercooling points for starved and fed nymphs were -13.1 +/- 0.9 and -12.6 +/- 1.6 degrees C, and freezing caused complete mortality. Above these temperatures, nymphs were cold tolerant to different degrees based on whether they were starved or given access to food and water for 24 h prior to exposure. The rate of cooling also had a significant effect on mortality. Very rapid cooling to -7 degrees C caused 84 and 87% mortality for starved and fed nymphs respectively, but this significantly decreased for starved nymphs if temperature declined by more ecologically realistic rates of 0.5 and 0.1 degrees C min(-1). These results are indicative of a rapid cold hardening response and are discussed in terms of the likely effects of cold nights and frost on first-instar nymphal survival in the field. Crown Copyright (C) 2009 Published by Elsevier Ltd. All rights reserved.</t>
  </si>
  <si>
    <t>[Woodman, James D.] Australian Govt Dept Agr Fisheries &amp; Forestry, Australian Plague Locust Commiss, Canberra, ACT 2601, Australia; [Woodman, James D.] CSIRO Entomol, Canberra, ACT 2601, Australia; [Woodman, James D.] Australian Natl Univ, Coll Med Biol &amp; Environm, Res Sch Biol, Canberra, ACT 0200, Australia</t>
  </si>
  <si>
    <t>Queensland Department of Agriculture &amp; Fisheries; Commonwealth Scientific &amp; Industrial Research Organisation (CSIRO); Australian National University</t>
  </si>
  <si>
    <t>Woodman, JD (corresponding author), Australian Govt Dept Agr Fisheries &amp; Forestry, Australian Plague Locust Commiss, GPO Box 858, Canberra, ACT 2601, Australia.</t>
  </si>
  <si>
    <t>james.woodman@daff.gov.au</t>
  </si>
  <si>
    <t>APLC</t>
  </si>
  <si>
    <t>Thanks to Australian Plague Locust Commission (APLC) field officers, Clare Mulcahy and Luke Scales, for assistance with egg sampling at Coonamble, and to APLC forecasting officer, Ted Deveson, for making daily checks of the incubating eggs and setting aside the nymphs to be used in the study. Thanks also to Paul Cooper at the Australian National University and Victoria Haritos at CSIRO Entomology for providing equipment and laboratory space. This research was financially supported by internal APLC funding.</t>
  </si>
  <si>
    <t>0022-1910</t>
  </si>
  <si>
    <t>1879-1611</t>
  </si>
  <si>
    <t>J INSECT PHYSIOL</t>
  </si>
  <si>
    <t>J. Insect Physiol.</t>
  </si>
  <si>
    <t>10.1016/j.jinsphys.2009.11.012</t>
  </si>
  <si>
    <t>Entomology; Physiology; Zoology</t>
  </si>
  <si>
    <t>575GO</t>
  </si>
  <si>
    <t>WOS:000276055200007</t>
  </si>
  <si>
    <t>Meng, JY; Zhang, CY; Lei, CL</t>
  </si>
  <si>
    <t>Meng, Jian-Yu; Zhang, Chang-Yu; Lei, Chao-Liang</t>
  </si>
  <si>
    <t>A proteomic analysis of Helicoverpa armigera adults after exposure to UV light irradiation</t>
  </si>
  <si>
    <t>Helicoverpa armigera; Ultraviolet light; Proteomics; Two-dimensional gel electrophoresis</t>
  </si>
  <si>
    <t>2-DIMENSIONAL GEL-ELECTROPHORESIS; ZINC-FINGER PROTEINS; HEAT-SHOCK PROTEINS; SIGNAL-TRANSDUCTION; MASS-SPECTROMETRY; OXIDATIVE DAMAGE; SALINITY STRESS; ANTARCTIC MIDGE; EXPRESSION; KINASE</t>
  </si>
  <si>
    <t>Ultraviolet (UV) light (blacklight), which emits UV in the range of 320-400 nm, has been used worldwide in light trapping of insect pests. To gain a better understanding of the response of Helicoverpa armigera adults to UV light irradiation, we carried out a comparative proteomic analysis. Three-day-old adults were exposed to UV light for 1 h. Total proteins were extracted and separated by two-dimensional gel electrophoresis. More than 1200 protein spots were reproducibly detected, including 12 that were more abundant and 21 less abundant. Mass spectrometry analysis and database searching helped us to identify 29 differentially abundant proteins. The identified proteins were categorized into several functional groups including signal transduction, RNA processing, protein processing, stress response, metabolisms, and cytoskeleton structure, etc. This study is the first analysis of differentially expressed proteins in phototactic insects under UV light irradiation conditions and gives new insights into the adaptation mechanisms responsive to UV light irradiation stress. (C) 2009 Elsevier Ltd. All rights reserved.</t>
  </si>
  <si>
    <t>[Meng, Jian-Yu; Zhang, Chang-Yu; Lei, Chao-Liang] Huazhong Agr Univ, Inst Insect Resources, Hubei Insect Resources Utilizat &amp; Sustainable Pes, Wuhan 430070, Peoples R China</t>
  </si>
  <si>
    <t>Huazhong Agricultural University</t>
  </si>
  <si>
    <t>Lei, CL (corresponding author), Huazhong Agr Univ, Inst Insect Resources, Hubei Insect Resources Utilizat &amp; Sustainable Pes, Wuhan 430070, Peoples R China.</t>
  </si>
  <si>
    <t>ioir@mail.hzau.edu.cn</t>
  </si>
  <si>
    <t>National Natural Science Foundation of China [30871639]</t>
  </si>
  <si>
    <t>National Natural Science Foundation of China(National Natural Science Foundation of China (NSFC))</t>
  </si>
  <si>
    <t>The study was supported by National Natural Science Foundation of China (No. 30871639). We are grateful to Shanghai Applied Protein Technology Co. Ltd. for excellent technical assistance with the MALDI-TOF MS analysis.</t>
  </si>
  <si>
    <t>10.1016/j.jinsphys.2009.11.015</t>
  </si>
  <si>
    <t>WOS:000276055200012</t>
  </si>
  <si>
    <t>Allen, JI; Aiken, J; Anderson, TR; Buitenhuis, E; Cornell, S; Geider, RJ; Haines, K; Hirata, T; Holt, J; Le Quéré, C; Hardman-Mountford, N; Ross, ON; Sinha, B; While, J</t>
  </si>
  <si>
    <t>Allen, J. Icarus; Aiken, James; Anderson, Thomas R.; Buitenhuis, Erik; Cornell, Sarah; Geider, Richard J.; Haines, Keith; Hirata, Takafumi; Holt, Jason; Le Quere, Corinne; Hardman-Mountford, Nicholas; Ross, Oliver N.; Sinha, Bablu; While, James</t>
  </si>
  <si>
    <t>Marine ecosystem models for earth systems applications: The MarQUEST experience</t>
  </si>
  <si>
    <t>JOURNAL OF MARINE SYSTEMS</t>
  </si>
  <si>
    <t>Symposium on Advances in Marine Ecosystem Modelling Research</t>
  </si>
  <si>
    <t>JUN 23-26, 2008</t>
  </si>
  <si>
    <t>Plymouth, ENGLAND</t>
  </si>
  <si>
    <t>Ecosystem models; Plankton functional types; Data assimilation; Hydrodynamic models; Coastal zone processes; Model validation</t>
  </si>
  <si>
    <t>PHYTOPLANKTON FUNCTIONAL TYPES; INHERENT OPTICAL-PROPERTIES; OCEAN COLOR; UNICELLULAR ALGAE; CONTINENTAL-SHELF; NUTRIENT DYNAMICS; DATA ASSIMILATION; GROWTH-RATES; FOOD-WEB; TEMPERATURE</t>
  </si>
  <si>
    <t>The MarQUEST (Marine Biogeochemistry and Ecosystem Modelling Initiative in QUEST) project was established to develop improved descriptions of marine biogeochemistry, suited for the next generation of Earth system models. We review progress in these areas providing insight on the advances that have been made as well as identifying remaining key outstanding gaps for the development of the marine component of next generation Earth system models. The following issues are discussed and where appropriate results are presented; the choice of model structure, scaling processes from physiology to functional types, the ecosystem model sensitivity to changes in the physical environment, the role of the coastal ocean and new methods for the evaluation and comparison of ecosystem and biogeochemistry models. We make recommendations as to where future investment in marine ecosystem modelling should be focused, highlighting a generic software framework for model development, improved hydrodynamic models, and better parameterisation of new and existing models, reanalysis tools and ensemble simulations. The final challenge is to ensure that experimental/observational scientists are stakeholders in the models and vice versa. (C) 2010 Elsevier B.V. All rights reserved.</t>
  </si>
  <si>
    <t>[Allen, J. Icarus; Aiken, James; Hirata, Takafumi; Hardman-Mountford, Nicholas] Plymouth Marine Lab, Plymouth PL1 3DH, Devon, England; [Anderson, Thomas R.; Sinha, Bablu] Natl Oceanog Ctr, Southampton SO14 3ZH, Hants, England; [Buitenhuis, Erik] Univ E Anglia, Sch Environm Sci, Norwich NR4 7TJ, Norfolk, England; [Cornell, Sarah] Univ Bristol, Dept Earth Sci, QUEST, Bristol BS8 1RJ, Avon, England; [Geider, Richard J.; Ross, Oliver N.] Univ Essex, Dept Biol Sci, Colchester CO4 3SQ, Essex, England; [Haines, Keith; While, James] ESSC, Reading RG6 2AL, Berks, England; [Holt, Jason] Proudman Oceanog Lab, Liverpool L3 5DA, Merseyside, England; [Le Quere, Corinne] British Antarctic Survey, Cambridge CB3 0ET, England</t>
  </si>
  <si>
    <t>Plymouth Marine Laboratory; NERC National Oceanography Centre; University of East Anglia; University of Bristol; University of Essex; University of Reading; NERC National Oceanography Centre; UK Research &amp; Innovation (UKRI); Natural Environment Research Council (NERC); NERC British Antarctic Survey</t>
  </si>
  <si>
    <t>Allen, JI (corresponding author), Plymouth Marine Lab, Prospect Pl, Plymouth PL1 3DH, Devon, England.</t>
  </si>
  <si>
    <t>jia@pml.ac.uk</t>
  </si>
  <si>
    <t>Le Quéré, Corinne/C-2631-2017; Anderson, Thomas R/K-5487-2012; Cornell, Sarah/A-6502-2011; Hardman-Mountford, Nick J/B-2649-2009; Cornell, Sarah/F-7003-2014; Hirata, Takafumi/F-7854-2012; Buitenhuis, Erik/A-7692-2012; Holt, Jason/B-6323-2012</t>
  </si>
  <si>
    <t>Le Quéré, Corinne/0000-0003-2319-0452; Cornell, Sarah/0000-0003-4367-1296; Cornell, Sarah/0000-0003-4367-1296; Hirata, Takafumi/0000-0003-1258-1837; Buitenhuis, Erik/0000-0001-6274-5583; Geider, Richard/0000-0003-3276-047X; Holt, Jason/0000-0002-3298-8477; Haines, Keith/0000-0003-2768-2374; While, James/0000-0001-9870-8725</t>
  </si>
  <si>
    <t>NERC [pml010006, noc010010, quest010001, bas0100025, earth010003] Funding Source: UKRI; Natural Environment Research Council [NE/C516079/1, earth010003, bas0100025, quest010001, noc010010, pml010006] Funding Source: researchfish</t>
  </si>
  <si>
    <t>NERC(UK Research &amp; Innovation (UKRI)Natural Environment Research Council (NERC)); Natural Environment Research Council(UK Research &amp; Innovation (UKRI)Natural Environment Research Council (NERC))</t>
  </si>
  <si>
    <t>0924-7963</t>
  </si>
  <si>
    <t>1879-1573</t>
  </si>
  <si>
    <t>J MARINE SYST</t>
  </si>
  <si>
    <t>J. Mar. Syst.</t>
  </si>
  <si>
    <t>10.1016/j.jmarsys.2009.12.017</t>
  </si>
  <si>
    <t>Geosciences, Multidisciplinary; Marine &amp; Freshwater Biology; Oceanography</t>
  </si>
  <si>
    <t>Geology; Marine &amp; Freshwater Biology; Oceanography</t>
  </si>
  <si>
    <t>576TV</t>
  </si>
  <si>
    <t>WOS:000276172700004</t>
  </si>
  <si>
    <t>Schröder-Turk, GE; Kapfer, S; Breidenbach, B; Beisbart, C; Mecke, K</t>
  </si>
  <si>
    <t>Schroeder-Turk, G. E.; Kapfer, S.; Breidenbach, B.; Beisbart, C.; Mecke, K.</t>
  </si>
  <si>
    <t>Tensorial Minkowski functionals and anisotropy measures for planar patterns</t>
  </si>
  <si>
    <t>JOURNAL OF MICROSCOPY</t>
  </si>
  <si>
    <t>Anisotropy; integral geometry; microstructured and cellular; materials; Minkowski functionals; morphology; strain and deformation; Turing patterns</t>
  </si>
  <si>
    <t>REARRANGING DISORDERED PATTERNS; STRUCTURAL ANISOTROPY; GRAIN-BOUNDARIES; DEFORMATION; ICE</t>
  </si>
  <si>
    <t>Quantitative measures for anisotropic characteristics of spatial structure are needed when relating the morphology of microstructured heterogeneous materials to tensorial physical properties such as elasticity, permeability and conductance. Tensor-valued Minkowski functionals, defined in the framework of integral geometry, provide a concise set of descriptors of anisotropic morphology. In this article, we describe the robust computation of these measures for microscopy images and polygonal shapes. We demonstrate their relevance for shape description, their versatility and their robustness by applying them to experimental data sets, specifically microscopy data sets of non-equilibrium stationary Turing patterns and the shapes of ice grains from Antarctic cores.</t>
  </si>
  <si>
    <t>[Schroeder-Turk, G. E.; Kapfer, S.; Breidenbach, B.; Mecke, K.] Univ Erlangen Nurnberg, Inst Theoret Phys 1, D-91058 Erlangen, Germany; [Beisbart, C.] Tech Univ Dortmund, Inst Philosophie &amp; Polit Wissensch, D-44221 Dortmund, Germany</t>
  </si>
  <si>
    <t>University of Erlangen Nuremberg; Dortmund University of Technology</t>
  </si>
  <si>
    <t>Schröder-Turk, GE (corresponding author), Univ Erlangen Nurnberg, Inst Theoret Phys 1, Staudtstr 7, D-91058 Erlangen, Germany.</t>
  </si>
  <si>
    <t>Gerd.Schroeder-Turk@physik.uni-erlangen.de</t>
  </si>
  <si>
    <t>Beisbart, Claus/AAE-4814-2020; Mecke, Klaus R/C-5562-2013; Schroeder-Turk, Gerd/A-9723-2011</t>
  </si>
  <si>
    <t>Schroeder-Turk, Gerd/0000-0001-5093-415X</t>
  </si>
  <si>
    <t>German Academic Exchange Service (DAAD)</t>
  </si>
  <si>
    <t>German Academic Exchange Service (DAAD)(Deutscher Akademischer Austausch Dienst (DAAD))</t>
  </si>
  <si>
    <t>We are grateful to H. Swinney (Center for Nonlinear Dynamics, University of Texas at Austin) for the experimental data sets of the Turing patterns, and to G. Durand (Laboratoire de Glaciologie, Universite J. Fourier Grenoble) for the EPICA ice core data. We thank W. Mickel and V. Craig for useful comments on the manuscript. We thank C. Marlow (Sigatoka, Fiji Islands) for permission to use his painting 'White Spirits'. We acknowledge travel support by the German Academic Exchange Service (DAAD).</t>
  </si>
  <si>
    <t>0022-2720</t>
  </si>
  <si>
    <t>1365-2818</t>
  </si>
  <si>
    <t>J MICROSC-OXFORD</t>
  </si>
  <si>
    <t>J. Microsc.</t>
  </si>
  <si>
    <t>10.1111/j.1365-2818.2009.03331.x</t>
  </si>
  <si>
    <t>Microscopy</t>
  </si>
  <si>
    <t>569ZB</t>
  </si>
  <si>
    <t>WOS:000275640300006</t>
  </si>
  <si>
    <t>Ma, N; Tang, HF; Qiu, F; Lin, HW; Tian, XR; Yao, MN</t>
  </si>
  <si>
    <t>Ma, Ning; Tang, Hai-Feng; Qiu, Feng; Lin, Hou-Wen; Tian, Xiang-Rong; Yao, Min-Na</t>
  </si>
  <si>
    <t>Polyhydroxysteroidal Glycosides from the Starfish Anthenea chinensis</t>
  </si>
  <si>
    <t>JOURNAL OF NATURAL PRODUCTS</t>
  </si>
  <si>
    <t>STEROIDAL OLIGOGLYCOSIDES; ANTARCTIC STARFISH; POLAR STEROIDS; ASTEROSAPONINS; SAPONINS; ASSAY</t>
  </si>
  <si>
    <t>Ten new polyhydroxysteroidal glycosides, anthenosides B-K (2-11), were isolated from the ethanol extract of the starfish Antlzenea chinensis. Their structures were elucidated by extensive spectroscopic studies and chemical evidence. The unprecedented carbohydrate chain 6-O-methyl-beta-D-galactofuranosyl-(1 -&gt; 3)-(6-O-methyl-beta-D-galactofuranose) was present in all the compounds except compounds 10 and 11. Compounds 5, 7, a mixture of 8 and 9, and a mixture of 10 and 11 showed inhibitory activity against human tumor K-562 and BEL-7402 cells. Furthermore, the mixture of 10 and 11 also exhibited cytotoxicity against human tumor U87MG cells and promoted tubulin polymerization.</t>
  </si>
  <si>
    <t>[Ma, Ning; Tang, Hai-Feng; Tian, Xiang-Rong; Yao, Min-Na] Fourth Mil Med Univ, Xijing Hosp, Dept Pharm, Xian 710032, Peoples R China; [Qiu, Feng; Tian, Xiang-Rong] Shenyang Pharmaceut Univ, Dept Tradit Chinese Med, Shenyang 110016, Peoples R China; [Lin, Hou-Wen] Second Mil Med Univ, Changzheng Hosp, Dept Pharm, Shanghai 200433, Peoples R China</t>
  </si>
  <si>
    <t>Air Force Military Medical University; Shenyang Pharmaceutical University; Naval Medical University</t>
  </si>
  <si>
    <t>Tang, HF (corresponding author), Fourth Mil Med Univ, Xijing Hosp, Dept Pharm, Xian 710032, Peoples R China.</t>
  </si>
  <si>
    <t>tanghaifeng71@163.com; fengqiu2000@tom.com</t>
  </si>
  <si>
    <t>马, 宁/IQV-9948-2023; Tian, Xiangrong/HGE-2877-2022</t>
  </si>
  <si>
    <t>Lin, Hou-Wen/0000-0002-7097-0876</t>
  </si>
  <si>
    <t>National HighTech Research and Development [2006AA09Z423]; National Natural Science Foundation of China [20502035]</t>
  </si>
  <si>
    <t>National HighTech Research and Development(National High Technology Research and Development Program of China); National Natural Science Foundation of China(National Natural Science Foundation of China (NSFC))</t>
  </si>
  <si>
    <t>This work was supported by the National HighTech Research and Development Project (863 Project, No. 2006AA09Z423) and the grant of the National Natural Science Foundation of China (No. 20502035).</t>
  </si>
  <si>
    <t>0163-3864</t>
  </si>
  <si>
    <t>1520-6025</t>
  </si>
  <si>
    <t>J NAT PROD</t>
  </si>
  <si>
    <t>J. Nat. Prod.</t>
  </si>
  <si>
    <t>10.1021/np9007188</t>
  </si>
  <si>
    <t>Plant Sciences; Chemistry, Medicinal; Pharmacology &amp; Pharmacy</t>
  </si>
  <si>
    <t>Science Citation Index Expanded (SCI-EXPANDED); Index Chemicus (IC)</t>
  </si>
  <si>
    <t>Plant Sciences; Pharmacology &amp; Pharmacy</t>
  </si>
  <si>
    <t>586XZ</t>
  </si>
  <si>
    <t>WOS:000276950000015</t>
  </si>
  <si>
    <t>Cabeçadas, G; Brogueira, MJ; Cavaco, MH; Gonçalves, C</t>
  </si>
  <si>
    <t>Cabecadas, Graca; Brogueira, M. Jose; Cavaco, M. Helena; Goncalves, Celia</t>
  </si>
  <si>
    <t>Chemical Signature of Intermediate Water Masses along Western Portuguese Margin</t>
  </si>
  <si>
    <t>JOURNAL OF OCEANOGRAPHY</t>
  </si>
  <si>
    <t>Intermediate water masses; biogeochemical properties; eastern North Atlantic; Portuguese margin</t>
  </si>
  <si>
    <t>MEDITERRANEAN OUTFLOW; NORTH-ATLANTIC; CIRCULATION; OCEAN; BAY; TEMPERATURE; GIBRALTAR; SALINITY; ANCHOVY; STRAIT</t>
  </si>
  <si>
    <t>Although the circulation of intermediate water masses in the eastern North Atlantic remains poorly defined, the presence of fresher intermediate waters, the Sub-Artic (SAIW) and the Antarctic Intermediate Water (AAIW), as well the saline intermediate Mediterranean Water (MW), has been tracked using biogeochemical properties. Here we assess the hydrographic and chemical structures of intermediate waters along the western Portuguese margin by examining the vertical distributions and property-property plots of chemical tracers (oxygen and nutrients). AAIW was traced by low oxygen and high nutrients, while SAIW was recognized by low nutrients. The Mediterranean Water (MW) undercurrent is shown to spread towards the eastern flank of Gorringe bank. Concurrently, the fresher waters gained salt by direct incorporation of MW, while this water was enriched in nutrients on its way northward and west-ward owing, to a great extent, to the entrainment of an AAIW branch. The distributions of nutrients and apparent oxygen utilization are discussed in terms of regional ocean circulation. Our analysis suggests a circulation pattern of the various intermediate waters along the western Portuguese margin: MW extends all over the area, but its presence is more pronounced around cape St. Vincent; SAIW apparently moves southward, reaching the Gorringe bank region, and AAIW flows northward along the coast and around the bank.</t>
  </si>
  <si>
    <t>[Cabecadas, Graca; Brogueira, M. Jose; Cavaco, M. Helena; Goncalves, Celia] IPIMAR, INRB, P-1449006 Lisbon, Portugal</t>
  </si>
  <si>
    <t>Portuguese Institute of Sea &amp; Fisheries Research (IPIMAR)</t>
  </si>
  <si>
    <t>Cabeçadas, G (corresponding author), IPIMAR, INRB, Av Brasilia, P-1449006 Lisbon, Portugal.</t>
  </si>
  <si>
    <t>gc@ipimar.pt</t>
  </si>
  <si>
    <t>Goncalves, Celia/0000-0001-5524-1256</t>
  </si>
  <si>
    <t>IPIMAR; DGA/IPIMAR [22-05-01-FDR-00015]; PoMARE [22-05-01-FDR-00015]</t>
  </si>
  <si>
    <t>IPIMAR; DGA/IPIMAR; PoMARE</t>
  </si>
  <si>
    <t>The authors are indebted to the crews of the research vessels. We acknowledge the staff of the Department of Aquatic Environment for their assistance in field and laboratory work. We thank M. Nogueira for treatment of CTD data. Thanks are due to the reviewers for their constructive comments. Cruises in the 1980s, targeted on fishing research, were funded by IPIMAR, and cruises in the 2000s were carried out under projects DGA/IPIMAR and PoMARE Contract N. 22-05-01-FDR-00015.</t>
  </si>
  <si>
    <t>0916-8370</t>
  </si>
  <si>
    <t>J OCEANOGR</t>
  </si>
  <si>
    <t>J. Oceanogr.</t>
  </si>
  <si>
    <t>10.1007/s10872-010-0018-8</t>
  </si>
  <si>
    <t>560KV</t>
  </si>
  <si>
    <t>WOS:000274902400005</t>
  </si>
  <si>
    <t>Hallegraeff, GM</t>
  </si>
  <si>
    <t>Hallegraeff, Gustaaf M.</t>
  </si>
  <si>
    <t>OCEAN CLIMATE CHANGE, PHYTOPLANKTON COMMUNITY RESPONSES, AND HARMFUL ALGAL BLOOMS: A FORMIDABLE PREDICTIVE CHALLENGE</t>
  </si>
  <si>
    <t>JOURNAL OF PHYCOLOGY</t>
  </si>
  <si>
    <t>adaptation; algal blooms; climate change; continuous plankton recorder; ENSO; NAO; ocean acidification; range expansion</t>
  </si>
  <si>
    <t>NORTH-ATLANTIC OSCILLATION; DINOFLAGELLATE CYSTS; RED TIDES; GYMNODINIUM-CATENATUM; SEDIMENTARY RECORD; POSITIVE FEEDBACK; ATMOSPHERIC CO2; FUTURE; PLANKTON; PACIFIC</t>
  </si>
  <si>
    <t>Prediction of the impact of global climate change on marine HABs is fraught with difficulties. However, we can learn important lessons from the fossil record of dinoflagellate cysts; long-term monitoring programs, such as the Continuous Plankton Recorder surveys; and short-term phytoplankton community responses to El Nino Southern Oscillation (ENSO) and North Atlantic Oscillation (NAO) episodes. Increasing temperature, enhanced surface stratification, alteration of ocean currents, intensification or weakening of local nutrient upwelling, stimulation of photosynthesis by elevated CO2, reduced calcification through ocean acidification (the other CO2 problem), and heavy precipitation and storm events causing changes in land runoff and micronutrient availability may all produce contradictory species- or even strain-specific responses. Complex factor interactions exist, and simulated ecophysiological laboratory experiments rarely allow for sufficient acclimation and rarely take into account physiological plasticity and genetic strain diversity. We can expect: (i) range expansion of warm-water species at the expense of cold-water species, which are driven poleward; (ii) species-specific changes in the abundance and seasonal window of growth of HAB taxa; (iii) earlier timing of peak production of some phytoplankton; and (iv) secondary effects for marine food webs, notably when individual zooplankton and fish grazers are differentially impacted (match-mismatch) by climate change. Some species of harmful algae (e.g., toxic dinoflagellates benefitting from land runoff and/or water column stratification, tropical benthic dinoflagellates responding to increased water temperatures and coral reef disturbance) may become more successful, while others may diminish in areas currently impacted. Our limited understanding of marine ecosystem responses to multifactorial physicochemical climate drivers as well as our poor knowledge of the potential of marine microalgae to adapt genetically and phenotypically to the unprecedented pace of current climate change are emphasized. The greatest problems for human society will be caused by being unprepared for significant range expansions or the increase of algal biotoxin problems in currently poorly monitored areas, thus calling for increased vigilance in seafood-biotoxin and HAB monitoring programs. Changes in phytoplankton communities provide a sensitive early warning for climate-driven perturbations to marine ecosystems.</t>
  </si>
  <si>
    <t>[Hallegraeff, Gustaaf M.] Univ Tasmania, Inst Marine &amp; Antarctic Studies, Hobart, Tas 7001, Australia; [Hallegraeff, Gustaaf M.] Univ Tasmania, Sch Plant Sci, Hobart, Tas 7001, Australia</t>
  </si>
  <si>
    <t>University of Tasmania; University of Tasmania</t>
  </si>
  <si>
    <t>Hallegraeff, GM (corresponding author), Univ Tasmania, Inst Marine &amp; Antarctic Studies, Private Bag 55, Hobart, Tas 7001, Australia.</t>
  </si>
  <si>
    <t>hallegraeff@utas.edu.au</t>
  </si>
  <si>
    <t>Hallegraeff, Gustaaf/C-8351-2013</t>
  </si>
  <si>
    <t>Hallegraeff, Gustaaf/0000-0001-8464-7343</t>
  </si>
  <si>
    <t>0022-3646</t>
  </si>
  <si>
    <t>1529-8817</t>
  </si>
  <si>
    <t>J PHYCOL</t>
  </si>
  <si>
    <t>J. Phycol.</t>
  </si>
  <si>
    <t>10.1111/j.1529-8817.2010.00815.x</t>
  </si>
  <si>
    <t>Plant Sciences; Marine &amp; Freshwater Biology</t>
  </si>
  <si>
    <t>577LZ</t>
  </si>
  <si>
    <t>WOS:000276226100001</t>
  </si>
  <si>
    <t>Jehlicka, J; Vítek, P; Edwards, HGM</t>
  </si>
  <si>
    <t>Jehlicka, J.; Vitek, P.; Edwards, H. G. M.</t>
  </si>
  <si>
    <t>Raman spectra of organic acids obtained using a portable instrument at-5°C in a mountain area at 2000 m above sea level</t>
  </si>
  <si>
    <t>JOURNAL OF RAMAN SPECTROSCOPY</t>
  </si>
  <si>
    <t>portable Raman spectrometer; organic acids; biomarkers; low temperature measurements; outdoor measurements</t>
  </si>
  <si>
    <t>LIQUID FORMIC ACID; SPECTROSCOPIC ANALYSIS; ANTARCTIC HABITATS; BETA-CAROTENE; ACETIC-ACID; MARS; ENVIRONMENT; MINERALS; IDENTIFICATION; EXPLOSIVES</t>
  </si>
  <si>
    <t>Well-resolved Raman spectra of organic acids were obtained with 785 nm excitation using a portable Raman instrument (Ahura First Defender XL) under low temperature -5 degrees C atmospheric conditions at an altitude of 2000 m (Axamer Lizum, Innental, Austria). The portable Raman spectrometer tested in this setting permits fast and unambiguous detection of solid forms of these organic acids (formic, acetic, valeric, hexanoic, heptanoic, isophthalic, ascorbic and mellitic) under field conditions. This demonstrates the possibility to use a miniaturized Raman spectrometer as a key instrument for investigating the presence of organic compounds and biomolecules under low temperature conditions. These results are important for future missions focusing not only on Mars, where Raman spectroscopy will be a key non-destructive analytical tool for the in situ identification of organic compounds relevant to life detection on planetary surfaces or near sub-surfaces. Copyright (C) 2009 John Wiley &amp; Sons, Ltd.</t>
  </si>
  <si>
    <t>[Jehlicka, J.; Vitek, P.] Charles Univ Prague, Inst Geochem Mineral &amp; Mineral Resources, Prague, Czech Republic; [Edwards, H. G. M.] Univ Bradford, Sch Life Sci, Div Chem &amp; Forens Sci, Bradford BD7 1DP, W Yorkshire, England</t>
  </si>
  <si>
    <t>Charles University Prague; University of Bradford</t>
  </si>
  <si>
    <t>Jehlicka, J (corresponding author), Charles Univ Prague, Inst Geochem Mineral &amp; Mineral Resources, Prague, Czech Republic.</t>
  </si>
  <si>
    <t>jehlicka@natur.cuni.cz</t>
  </si>
  <si>
    <t>Vitek, Petr/R-8022-2016; Jehlicka, Jan/H-9357-2016</t>
  </si>
  <si>
    <t>Jehlicka, Jan/0000-0002-4294-876X</t>
  </si>
  <si>
    <t>Ministry of Education of the Czech Republic [MSM0021620855]</t>
  </si>
  <si>
    <t>Ministry of Education of the Czech Republic(Ministry of Education, Youth &amp; Sports - Czech Republic)</t>
  </si>
  <si>
    <t>This work was supported by a grant MSM0021620855 from the Ministry of Education of the Czech Republic.</t>
  </si>
  <si>
    <t>JOHN WILEY &amp; SONS LTD</t>
  </si>
  <si>
    <t>CHICHESTER</t>
  </si>
  <si>
    <t>THE ATRIUM, SOUTHERN GATE, CHICHESTER PO19 8SQ, W SUSSEX, ENGLAND</t>
  </si>
  <si>
    <t>0377-0486</t>
  </si>
  <si>
    <t>J RAMAN SPECTROSC</t>
  </si>
  <si>
    <t>J. Raman Spectrosc.</t>
  </si>
  <si>
    <t>10.1002/jrs.2450</t>
  </si>
  <si>
    <t>Spectroscopy</t>
  </si>
  <si>
    <t>591ZM</t>
  </si>
  <si>
    <t>WOS:000277344100012</t>
  </si>
  <si>
    <t>Curtis, ML; Flowerdew, MJ; Riley, TR; Whitehouse, MJ; Daly, JS</t>
  </si>
  <si>
    <t>Curtis, Michael L.; Flowerdew, Michael J.; Riley, Teal R.; Whitehouse, Martin J.; Daly, J. Stephen</t>
  </si>
  <si>
    <t>Andean sinistral transpression and kinematic partitioning in South Georgia</t>
  </si>
  <si>
    <t>JOURNAL OF STRUCTURAL GEOLOGY</t>
  </si>
  <si>
    <t>Geochronology; Fold appression; Back-arc basin; Polyphase deformation</t>
  </si>
  <si>
    <t>ZIRCON U-PB; ANTARCTIC PENINSULA; CORDILLERA-DARWIN; SOUTHERNMOST ANDES; TECTONIC EVOLUTION; SIMPLE SHEAR; ISLAND; DEFORMATION; BASIN; GEOCHRONOLOGY</t>
  </si>
  <si>
    <t>The island of South Georgia exposes remnants of a Late Jurassic to Early Cretaceous Andean magmatic arc and marginal basin system that was compressively deformed during the mid-Cretaceous main Andean Orogeny forming widespread NW-SE trending folds and a coaxial penetrative cleavage displaying a predominantly NE-SW stretching lineation Detailed structural studies of the Cooper Bay to Cape Valisel area of South Georgia reveal that intense, mid-Cretaceous, polyphase deformation was strongly influenced by sinistral strike-slip shear parallel to the NW-SE regional structural grain, and along a major pre-existing fault, which we interpret as the partitioned wrench component of bulk transpressional deformation The relationship between fold axial plane orientation and interlimb angle of widely distributed mesoscale folds is consistent with counter-clockwise rotation and fold appression as a result of sinistral simple shear deformation, suggesting kinematic strain partitioning of the wrench component was on the whole highly efficient. Locally, the modification of steep tectonic anisotropies to shallow inclinations during D-2 deformation induced imperfect or inefficient partitioning with fold arrays exhibiting fold appression characteristic of a transpressional deformation path. Our partitioned transpression model for main Andean deformation of South Georgia fits well with tectonic interpretations of the Cordillera Darwin, Patagonia. Crown Copyright (C) 2010 Published by Elsevier Ltd All rights reserved.</t>
  </si>
  <si>
    <t>[Curtis, Michael L.; Flowerdew, Michael J.; Riley, Teal R.] British Antarctic Survey, Cambridge CB3 0ET, England; [Whitehouse, Martin J.] Swedish Museum Nat Hist, S-10405 Stockholm, Sweden; [Daly, J. Stephen] Univ Coll Dublin, UCD Sch Geol Sci, Dublin 4, Ireland</t>
  </si>
  <si>
    <t>UK Research &amp; Innovation (UKRI); Natural Environment Research Council (NERC); NERC British Antarctic Survey; Swedish Museum of Natural History; University College Dublin</t>
  </si>
  <si>
    <t>Curtis, ML (corresponding author), British Antarctic Survey, Madingley Rd, Cambridge CB3 0ET, England.</t>
  </si>
  <si>
    <t>Curtis, Mike/HKV-6176-2023; Daly, J. Stephen/B-4836-2012; Whitehouse, Martin/E-1425-2013</t>
  </si>
  <si>
    <t>Daly, J. Stephen/0000-0001-6390-905X; Whitehouse, Martin/0000-0003-2227-577X; Flowerdew, Michael/0000-0002-9710-2593; Riley, Teal/0000-0002-3333-5021</t>
  </si>
  <si>
    <t>Natural Environment Research Council; Natural Environment Research Council [bas0100026] Funding Source: researchfish; NERC [bas0100026]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</si>
  <si>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</si>
  <si>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Captain and crew of HMS Endurance are thanked for logistical support during the field campaign, while Kirk Watson provided excellent field assistance. Rudolf Trouw and Bryan Storey are thanked for constructive reviews. This study was funded by the Natural Environment Research Council and is part of the British Antarctic Survey's Polar Science for Planet Earth Programme. This is Nordsim publication number 250, the Nordsim facility is operated under an agreement between the Swedish Museum of Natural History, the Geological Survey of Finland and the research funding agencies of Denmark, Sweden and Norway.</t>
  </si>
  <si>
    <t>0191-8141</t>
  </si>
  <si>
    <t>J STRUCT GEOL</t>
  </si>
  <si>
    <t>J. Struct. Geol.</t>
  </si>
  <si>
    <t>10.1016/j.jsg.2010.02.002</t>
  </si>
  <si>
    <t>621HR</t>
  </si>
  <si>
    <t>WOS:000279567100006</t>
  </si>
  <si>
    <t>Bak, YS; Lee, JD; Yoon, HI; Yoo, KC; Lee, SJ</t>
  </si>
  <si>
    <t>Bak, Young-Suk; Lee, Jong-Deock; Yoon, Ho Il; Yoo, Kyu-Cheul; Lee, Seong-Joo</t>
  </si>
  <si>
    <t>Holocene paleoclimate change in the area around Elephant Island, Antarctica: evidence from the diatom record</t>
  </si>
  <si>
    <t>JOURNAL OF THE GEOLOGICAL SOCIETY OF KOREA</t>
  </si>
  <si>
    <t>Korean</t>
  </si>
  <si>
    <t>Antarctic Peninsula; Elephant Island; diatom assemblage analysis; reworked diatom; paleoenvironmental</t>
  </si>
  <si>
    <t>SOUTHERN-OCEAN SEDIMENTS; SEA-ICE; SURFACE SEDIMENTS; WEDDELL SEA; ASSEMBLAGES; PENINSULA; WATER; BIOSTRATIGRAPHY; BIOGEOGRAPHY; CIRCULATION</t>
  </si>
  <si>
    <t>A total of 84 species and varieties belonging to 37 genera are identified from the Core GC03-C1 in the Elephant Island, Antarctic Peninsula. High number of diatom valves per gram of dry sediment was observed in core, ranging from 0.2 similar to 17x10(7)/g. The Holocene diatom assemblages from the core are dominated by Fragilariopsis kerguelensis and Eucampia antarctica which are about 47.7% of the total. The reworked diatoms inculde taxa such as Actinocyclus ingens, Rhizosolenia curvirostris, Denticulopsis praedimorpha, and D. dimorpha. Holocene paleoenvironmental history in the Elephant Islands was reconstructed through the diatom assemblage analysis from sediment core GC03-C1. Four diatom zones are identified on the basis of frequency of the critical taxa throughout the section: diatom assemblage zone I from 880 to 312 cm (late Pleistocene including Last Glacial Maximum), diatom assemblage zone II from 312 to 232 cm (transition zone), diatom assemblage zone III from 232 to 92 cm (mid-Holocene climatic optimum), and diatom assemblage zone IV from 92 to 0 cm (Neoglacial).</t>
  </si>
  <si>
    <t>[Bak, Young-Suk; Lee, Seong-Joo] Kyungpook Natl Univ, Dept Geol, Taegu 702701, South Korea; [Lee, Jong-Deock] Chonbuk Natl Univ, Dept Earth &amp; Environm Sci, Jeonju 561756, South Korea; [Yoon, Ho Il; Yoo, Kyu-Cheul] Korea Polar Res Inst, Incheon 406840, South Korea</t>
  </si>
  <si>
    <t>Kyungpook National University; Jeonbuk National University; Korea Polar Research Institute (KOPRI)</t>
  </si>
  <si>
    <t>Bak, YS (corresponding author), Kyungpook Natl Univ, Dept Geol, Taegu 702701, South Korea.</t>
  </si>
  <si>
    <t>sydin@jbnu.ac.kr</t>
  </si>
  <si>
    <t>GEOLOGICAL SOC KOREA</t>
  </si>
  <si>
    <t>SEOUL</t>
  </si>
  <si>
    <t>KOREA SCIENCE &amp; TECHNOLOGY CTR, RM 813, 7 GIL 22, TEHERAN- RO, GANGNAM-GUNA, SEOUL, 06130, SOUTH KOREA</t>
  </si>
  <si>
    <t>0435-4036</t>
  </si>
  <si>
    <t>2288-7377</t>
  </si>
  <si>
    <t>J GEOL SOC KOREA</t>
  </si>
  <si>
    <t>J. Geol. Soc. Korea</t>
  </si>
  <si>
    <t>VH7GB</t>
  </si>
  <si>
    <t>WOS:000453995900002</t>
  </si>
  <si>
    <t>Mellish, J; Tuomi, P; Hindle, A; Jang, S; Horning, M</t>
  </si>
  <si>
    <t>Mellish, J.; Tuomi, P.; Hindle, A.; Jang, S.; Horning, M.</t>
  </si>
  <si>
    <t>Skin Microbial Flora and Effectiveness of Aseptic Technique for Deep Muscle Biopsies in Weddell Seals (Leptonychotes weddellii) in McMurdo Sound, Antarctica</t>
  </si>
  <si>
    <t>JOURNAL OF WILDLIFE DISEASES</t>
  </si>
  <si>
    <t>Leptonychotes weddellii; muscle biopsy; Weddell seal</t>
  </si>
  <si>
    <t>BACTERIA</t>
  </si>
  <si>
    <t>Deep muscle biopsies were collected from the pectoralis and longissimus dorsi of wild Weddell seals (Leptonychotes weddellii) in McMurdo Sound, Antarctica, during October December 2007. Sterile swabs were collected from the surface of each skin site before biopsy and from the deep-needle path after biopsy. No growth occurred in two of six pectoralis and three of six longissimus skin sites, or in four of 10 pectoralis deep biopsy and eight of 12 longissimus deep-biopsy sites. Positive skin culture was not predictive of deep-biopsy contamination, nor did contamination at one body location correlate with contamination at the second site. Psychrobacter species were most common in one or more samples from each of the four sample types. Only one of the eight documented bacteria exhibited resistance to commonly used antibiotics.</t>
  </si>
  <si>
    <t>[Mellish, J.; Tuomi, P.] Alaska SeaLife Ctr, Seward, AK 99664 USA; [Hindle, A.] Texas A&amp;M Univ, College Stn, TX 77843 USA; [Mellish, J.] Univ Alaska, Sch Fisheries &amp; Ocean Sci, Fairbanks, AK 99775 USA; [Hindle, A.] Univ British Columbia, Vancouver, BC V6T 1Z4, Canada; [Jang, S.] Univ Calif Davis, Vet Med Teaching Hosp, Microbiol Lab, Davis, CA 95616 USA; [Horning, M.] Oregon State Univ, Hatfield Marine Sci Ctr, Newport, OR 97365 USA</t>
  </si>
  <si>
    <t>Texas A&amp;M University System; Texas A&amp;M University College Station; University of Alaska System; University of Alaska Fairbanks; University of British Columbia; University of California System; University of California Davis; Oregon State University</t>
  </si>
  <si>
    <t>Mellish, J (corresponding author), Alaska SeaLife Ctr, POB 1329,301 Railway Ave, Seward, AK 99664 USA.</t>
  </si>
  <si>
    <t>joannM@alaskasealife.org</t>
  </si>
  <si>
    <t>Horning, Markus/I-3019-2015</t>
  </si>
  <si>
    <t>Horning, Markus/0000-0001-6178-4935</t>
  </si>
  <si>
    <t>National Science Foundation Office of Polar Programs [0649609, 0440715]; Directorate For Geosciences; Office of Polar Programs (OPP) [0649609] Funding Source: National Science Foundation; Office of Polar Programs (OPP); Directorate For Geosciences [0440715]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</si>
  <si>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</si>
  <si>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thank J. Nienaber, S. Hill, and R. Hill for field assistance, and the Crary Science Laboratory and Polar Programs RPSC staff for on-site logistical support in McMurdo. All work was conducted under the Marine Mammal Protection Act #1034-1854, the Antarctic Conservation Act 2007-007, and the Institutional Animal Use and Care Protocols 04-004 (Alaska Sea Life Center) and 3454 (Oregon State University). Support was provided by the National Science Foundation Office of Polar Programs, awards 0649609 and 0440715.</t>
  </si>
  <si>
    <t>WILDLIFE DISEASE ASSOC, INC</t>
  </si>
  <si>
    <t>810 EAST 10TH ST, LAWRENCE, KS 66044-8897 USA</t>
  </si>
  <si>
    <t>0090-3558</t>
  </si>
  <si>
    <t>J WILDLIFE DIS</t>
  </si>
  <si>
    <t>J. Wildl. Dis.</t>
  </si>
  <si>
    <t>10.7589/0090-3558-46.2.655</t>
  </si>
  <si>
    <t>Veterinary Sciences</t>
  </si>
  <si>
    <t>593DA</t>
  </si>
  <si>
    <t>WOS:000277431200042</t>
  </si>
  <si>
    <t>Hoffman, JI; Peck, LS; Hillyard, G; Zieritz, A; Clark, MS</t>
  </si>
  <si>
    <t>Hoffman, J. I.; Peck, L. S.; Hillyard, G.; Zieritz, A.; Clark, M. S.</t>
  </si>
  <si>
    <t>No evidence for genetic differentiation between Antarctic limpet Nacella concinna morphotypes</t>
  </si>
  <si>
    <t>MARINE BIOLOGY</t>
  </si>
  <si>
    <t>LITTORINA-STRIATA MOLLUSCA; LENGTH POLYMORPHISM AFLP; MULTILOCUS GENOTYPE DATA; POPULATION-STRUCTURE; SIGNY ISLAND; SNAIL; EVOLUTION; GROWTH; SHAPE; DIVERSITY</t>
  </si>
  <si>
    <t>The extent to which genetic divergence can occur in the absence of physical barriers to gene flow is currently one of the most controversial topics in evolutionary biology, with implications for our understanding of speciation, phenotypic plasticity and adaptive potential. This is illustrated by a recent study reporting a surprising pattern of genetic differentiation between intertidal and subtidal morphotypes of the broadcast-spawning Antarctic limpet Nacella concinna. To explore this further, we collected almost 400 Antarctic limpets from four depths (intertidal, 6, 15 and 25 m) at Adelaide island, Antarctica, and conducted a combined morphometric and genetic analysis using 168 polymorphic amplified fragment length polymorphism (AFLP) loci. Morphological analysis revealed not only pronounced differences between the two morphotypes, but also a continuous cline in shell shape from the intertidal zone down to 25 m depth, suggesting that the distinction between the morphotypes may be artificial. Moreover, genetic analysis using both F (st) and a Bayesian analogue found no evidence for differentiation either between the two morphotypes or by depth, and a Bayesian cluster analysis did not detect any cryptic genetic structure. Our findings lend support to the notion that limpets can be phenotypically highly plastic, although further studies are required to determine unequivocally whether there is any genetic basis to the observed variation in shell morphology.</t>
  </si>
  <si>
    <t>[Hoffman, J. I.; Zieritz, A.] Univ Cambridge, Dept Zool, Cambridge CB2 3EJ, England; [Peck, L. S.; Hillyard, G.; Clark, M. S.] British Antarctic Survey, NERC, Cambridge CB3 0ET, England</t>
  </si>
  <si>
    <t>University of Cambridge; UK Research &amp; Innovation (UKRI); Natural Environment Research Council (NERC); NERC British Antarctic Survey</t>
  </si>
  <si>
    <t>Hoffman, JI (corresponding author), Univ Cambridge, Dept Zool, Downing St, Cambridge CB2 3EJ, England.</t>
  </si>
  <si>
    <t>jih24@cam.ac.uk</t>
  </si>
  <si>
    <t>Zieritz, Alexandra/B-1539-2013; Hoffman, Joseph/K-7725-2012; Clark, Melody/D-7371-2014</t>
  </si>
  <si>
    <t>Hoffman, Joseph/0000-0001-5895-8949; Zieritz, Alexandra/0000-0002-0305-8270; Clark, Melody/0000-0002-3442-3824</t>
  </si>
  <si>
    <t>Natural Environment Research Council (NERC); British Antarctic Survey (BAS) Strategic Alliance Fellowship; Natural Environment Research Council [bas0100025, dml011000] Funding Source: researchfish; NERC [bas0100025, dml011000] Funding Source: UKRI</t>
  </si>
  <si>
    <t>Natural Environment Research Council (NERC)(UK Research &amp; Innovation (UKRI)Natural Environment Research Council (NERC)); British Antarctic Survey (BAS) Strategic Alliance Fellowship; Natural Environment Research Council(UK Research &amp; Innovation (UKRI)Natural Environment Research Council (NERC)); NERC(UK Research &amp; Innovation (UKRI)Natural Environment Research Council (NERC))</t>
  </si>
  <si>
    <t>This paper was produced within the BAS Q4 BIOREACH/BIOFLAME core program. The authors would like to thank the Rothera Dive Team for providing samples, Peter Fretwell for making Figure 1 and Pete Rothery for statistical advice and Kanchon Dasmahapatra, Geerat Vermeij and three anonymous referees for helpful comments that improved the manuscript. Overall diving support was provided by the NERC National Facility for Scientific Diving at Oban. JH was supported by a Natural Environment Research Council (NERC) British Antarctic Survey (BAS) Strategic Alliance Fellowship.</t>
  </si>
  <si>
    <t>0025-3162</t>
  </si>
  <si>
    <t>1432-1793</t>
  </si>
  <si>
    <t>MAR BIOL</t>
  </si>
  <si>
    <t>Mar. Biol.</t>
  </si>
  <si>
    <t>10.1007/s00227-009-1360-5</t>
  </si>
  <si>
    <t>Marine &amp; Freshwater Biology</t>
  </si>
  <si>
    <t>570FP</t>
  </si>
  <si>
    <t>WOS:000275658000008</t>
  </si>
  <si>
    <t>Kokubun, N; Takahashi, A; Mori, Y; Watanabe, S; Shin, HC</t>
  </si>
  <si>
    <t>Kokubun, Nobuo; Takahashi, Akinori; Mori, Yoshihisa; Watanabe, Shinichi; Shin, Hyoung-Chul</t>
  </si>
  <si>
    <t>Comparison of diving behavior and foraging habitat use between chinstrap and gentoo penguins breeding in the South Shetland Islands, Antarctica</t>
  </si>
  <si>
    <t>KING-GEORGE-ISLAND; EUPHAUSIA-SUPERBA DANA; PYGOSCELID PENGUINS; EUDYPTES-SCHLEGELI; FEEDING-BEHAVIOR; ROYAL PENGUINS; CLIMATE-CHANGE; KRILL; PREY; SEGREGATION</t>
  </si>
  <si>
    <t>Chinstrap, Pygoscelis antarctica, and gentoo, P. papua, penguins are sympatric species that inhabit the Antarctic Peninsula. To evaluate differences in the foraging habitat of these two species, we recorded their foraging locations and diving behavior using recently developed GPS-depth data loggers. The study was conducted on King George Island, Antarctica during the chick-guarding period of both species, from December 2006 to January 2007. The area used for foraging, estimated as the 95% kernel density of dive (&gt; 5 m) locations, overlapped partially between the two species (26.4 and 68.5% of the area overlapped for chinstrap and gentoo penguins, respectively). However, the core foraging area, estimated as the 50% kernel density, was mostly separate (12.8 and 25.0% of the area overlapped for chinstrap and gentoo penguins, respectively). Chinstrap penguins tended to use off-shelf (water depth &gt; 200 m) regions (77% of the locations for dives &gt; 5 m), whereas gentoo penguins mainly used on-shelf (water depth &lt; 200 m) areas (71% of dive locations). The data on foraging locations, diving behavior, and bathymetry indicated that gentoo penguins often performed benthic dives (28% of dives &gt; 5 m), whereas chinstrap penguins almost always used the epipelagic/mid-water layer (96% of dives &gt; 5 m). Diving parameters such as diving bottom duration or diving efficiency differed between the species, reflecting differences in the use of foraging habitat. The diving parameters also suggested that the on-shelf benthic layer was profitable foraging habitat for gentoo penguins. Conversely, the relationship between trip duration, date, and stomach content mass suggested that the chinstrap penguins went further from the colony to forage as the season progressed, possibly reflecting a reduction in prey availability near the colony. Our results suggest that chinstrap and gentoo penguins segregated their foraging habitat in the Antarctic coastal marine environment, possibly due to inter- and intra-specific competition for common prey resources.</t>
  </si>
  <si>
    <t>[Kokubun, Nobuo; Takahashi, Akinori] Grad Univ Adv Studies, Dept Polar Sci, Tokyo 1908518, Japan; [Takahashi, Akinori] Natl Inst Polar Res, Tokyo 1908518, Japan; [Mori, Yoshihisa] Teikyo Univ Technol &amp; Sci, Dept Anim Sci, Yamanashi 4090193, Japan; [Watanabe, Shinichi] Univ Tokyo, Ocean Res Inst, Nakano Ku, Tokyo 1648639, Japan; [Shin, Hyoung-Chul] Korea Polar Res Inst, Inchon 406840, South Korea</t>
  </si>
  <si>
    <t>Graduate University for Advanced Studies - Japan; Research Organization of Information &amp; Systems (ROIS); National Institute of Polar Research (NIPR) - Japan; University of Tokyo; Korea Polar Research Institute (KOPRI); Korea Institute of Ocean Science &amp; Technology (KIOST)</t>
  </si>
  <si>
    <t>Kokubun, N (corresponding author), Grad Univ Adv Studies, Dept Polar Sci, 3-10 Midori Cho, Tokyo 1908518, Japan.</t>
  </si>
  <si>
    <t>kokubun@nipr.ac.jp</t>
  </si>
  <si>
    <t>10.1007/s00227-009-1364-1</t>
  </si>
  <si>
    <t>WOS:000275658000012</t>
  </si>
  <si>
    <t>Harris, MP; Daunt, F; Newell, M; Phillips, RA; Wanless, S</t>
  </si>
  <si>
    <t>Harris, Michael P.; Daunt, Francis; Newell, Mark; Phillips, Richard A.; Wanless, Sarah</t>
  </si>
  <si>
    <t>Wintering areas of adult Atlantic puffins Fratercula arctica from a North Sea colony as revealed by geolocation technology</t>
  </si>
  <si>
    <t>SATELLITE TRANSMITTERS; FORAGING BEHAVIOR; PELAGIC SEABIRD; ALBATROSS; MIGRATION; RECRUITMENT; SHEARWATER; STRATEGIES; MOVEMENTS; FISHERIES</t>
  </si>
  <si>
    <t>Most seabirds die outside the breeding season, but understanding the key factors involved is hampered by limited knowledge of nonbreeding distributions. We used miniature geolocating loggers to examine the movements between breeding seasons of Atlantic puffins Fratercula arctica from a major North Sea colony where numbers have declined in recent years, apparently due to increased overwinter mortality. The most intensively used region was the northwestern North Sea but most puffins also made excursions into the east Atlantic in the early winter. Ringing recoveries previously indicated that adults from British east coast colonies remained within the North Sea and hence were spatially segregated from those breeding on the west throughout the year. Updated analyses of ringing recoveries support results from geolocators suggesting that usage of Atlantic waters is a recent phenomenon. We propose that the increased adult mortality is related to changes in distribution during the nonbreeding period and reflects worsening conditions in the North Sea.</t>
  </si>
  <si>
    <t>[Harris, Michael P.; Daunt, Francis; Newell, Mark; Wanless, Sarah] Ctr Ecol &amp; Hydrol, Penicuik EH26 0QB, Midlothian, Scotland; [Phillips, Richard A.] British Antarctic Survey, NERC, Cambridge CB3 0ET, England</t>
  </si>
  <si>
    <t>UK Centre for Ecology &amp; Hydrology (UKCEH); UK Research &amp; Innovation (UKRI); Natural Environment Research Council (NERC); NERC British Antarctic Survey</t>
  </si>
  <si>
    <t>Harris, MP (corresponding author), Ctr Ecol &amp; Hydrol, Penicuik EH26 0QB, Midlothian, Scotland.</t>
  </si>
  <si>
    <t>mph@ceh.ac.uk</t>
  </si>
  <si>
    <t>Wanless, Sarah/K-2338-2012; Daunt, Francis/K-6688-2012</t>
  </si>
  <si>
    <t>Wanless, Sarah/0000-0002-2788-4606; Daunt, Francis/0000-0003-4638-3388</t>
  </si>
  <si>
    <t>NERC [bas0100025] Funding Source: UKRI; Natural Environment Research Council [bas0100025, ceh010024, CEH010021] Funding Source: researchfish</t>
  </si>
  <si>
    <t>10.1007/s00227-009-1365-0</t>
  </si>
  <si>
    <t>WOS:000275658000013</t>
  </si>
  <si>
    <t>Lurman, GJ; Blaser, T; Lamare, M; Peck, LS; Morley, S</t>
  </si>
  <si>
    <t>Lurman, Glenn J.; Blaser, Till; Lamare, Miles; Peck, Lloyd S.; Morley, Simon</t>
  </si>
  <si>
    <t>Mitochondrial plasticity in brachiopod (Liothyrella spp.) smooth adductor muscle as a result of season and latitude</t>
  </si>
  <si>
    <t>FISH MUSCLE; ENERGY-METABOLISM; SKELETAL-MUSCLE; UVA BRODERIP; TEMPERATURE; ACCLIMATION; RESPONSES; SIZE; CAPACITIES; DIFFUSION</t>
  </si>
  <si>
    <t>Habitat temperature and mitochondrial volume density (Vv((mt,mf))) are negatively correlated in fishes, while seasonal acclimatization may increase Vv((mt,mf)) or the surface density of the mitochondrial cristae (Sv((im,mt))). The effect of temperature on invertebrate mitochondria is essentially unknown. A comparison of two articulate brachiopod species, Liothyrella uva collected from Rothera Station, Antarctica in summer 2007, and Liothyrella neozelanica collected from Fiordland, New Zealand in winter 2007 and summer 2008, revealed a higher Vv((mt,mf)) in the Antarctic brachiopod. The Sv((im,mt)) was, however, significantly lower, indicating the Antarctic brachiopods have more, less reactive mitochondria. L. uva, from the colder environment, had larger adductor muscles in both absolute and relative terms than the temperate L. neozelanica. Furthermore, a seasonal comparison (winter vs. summer) in L. neozelanica showed that the absolute and relative size of the adductor increased in winter, Vv((mt,mf)) was unchanged, and Sv((im,mt)) was significantly increased. Thus, seasonal acclimatization to the cold resulted in the same number of more reactive mitochondria. L. neozelanica was clearly able to adapt to seasonal changes using a different mechanism, i.e. primarily through regulation of cristae surface area as opposed to mitochondrial volume density. Furthermore, given the evolutionary age of these living fossils (i.e. approximately 550 million years), this suggests that mitochondrial plasticity has roots extending far back into evolutionary history.</t>
  </si>
  <si>
    <t>[Lurman, Glenn J.; Peck, Lloyd S.; Morley, Simon] British Antarctic Survey, Cambridge CB3 0ET, England; [Lamare, Miles] Univ Otago, Portobello Marine Lab, Dunedin, New Zealand</t>
  </si>
  <si>
    <t>UK Research &amp; Innovation (UKRI); Natural Environment Research Council (NERC); NERC British Antarctic Survey; University of Otago</t>
  </si>
  <si>
    <t>Lurman, GJ (corresponding author), Univ Bern, Inst Anat, Baltzerstr 2, CH-3000 Bern 9, Switzerland.</t>
  </si>
  <si>
    <t>glenn.lurman@ana.unibe.ch</t>
  </si>
  <si>
    <t>Lamare, Miles M/A-7020-2010</t>
  </si>
  <si>
    <t>Lamare, Miles/0000-0001-8656-7240</t>
  </si>
  <si>
    <t>ESF [2,148]; Natural Environment Research Council; NERC [bas0100025, dml011000] Funding Source: UKRI; Natural Environment Research Council [bas0100025, dml011000] Funding Source: researchfish</t>
  </si>
  <si>
    <t>ESF;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</si>
  <si>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Thanks to Mike Barker and Paul Meredith, Stephanie Martin and Melody Clark for help collecting brachiopods in New Zealand. The Rothera dive team, especially the marine assistant who helped in collecting and transporting Antarctic brachiopods. Mike Barker is thanked for the L. neozelanica photo. This project was financed in part by the ESF ThermAdapt short visit grant ( 2,148) awarded to GL, a Society for Experimental Biology travel grant awarded to GL, the University of Bern. It was also supported by funding from the Natural Environment Research Council via the British Antarctic Survey BIOREACH project in the BIOFLAME programme.</t>
  </si>
  <si>
    <t>233 SPRING ST, NEW YORK, NY 10013 USA</t>
  </si>
  <si>
    <t>10.1007/s00227-009-1374-z</t>
  </si>
  <si>
    <t>Green Accepted, Green Submitted, Green Published</t>
  </si>
  <si>
    <t>WOS:000275658000021</t>
  </si>
  <si>
    <t>Adams, J; Flora, S</t>
  </si>
  <si>
    <t>Adams, Josh; Flora, Stephanie</t>
  </si>
  <si>
    <t>Correlating seabird movements with ocean winds: linking satellite telemetry with ocean scatterometry</t>
  </si>
  <si>
    <t>USE WEATHER SYSTEMS; FLY LONG DISTANCES; AT-SEA DISTRIBUTION; WANDERING ALBATROSSES; VECTOR CORRELATION; NORTH PACIFIC; FORAGING BEHAVIOR; ANTARCTIC LOWS; HABITAT USE; FLIGHT</t>
  </si>
  <si>
    <t>Satellite telemetry studies of the movements of seabirds are now common and have revealed impressive flight capabilities and extensive distributions among individuals and species at sea. Linking seabird movements with environmental conditions over vast expanses of the world's open ocean, however, remains difficult. Seabirds of the order Procellariiformes (e.g., petrels, albatrosses, and shearwaters) depend largely on wind and wave energy for efficient flight. We present a new method for quantifying the movements of far-ranging seabirds in relation to ocean winds measured by the SeaWinds scatterometer onboard the QuikSCAT satellite. We apply vector correlation (as defined by Crosby et al. in J Atm Ocean Tech 10:355-367, 1993) to evaluate how the trajectories (ground speed and direction) for five procellariiform seabirds outfitted with satellite transmitters are related to ocean winds. Individual seabirds (Sooty Shearwater, Pink-footed Shearwater, Hawaiian Petrel, Grey-faced Petrel, and Black-footed Albatross) all traveled predominantly with oblique, isotropic crossing to quartering tail-winds (i.e., 105-165A degrees in relation to birds' trajectory). For all five seabirds, entire track line trajectories were significantly correlated with co-located winds. Greatest correlations along 8-day path segments were related to wind patterns during birds' directed, long-range migration (Sooty Shearwater) as well as movements associated with mega-scale meteorological phenomena, including Pacific Basin anticyclones (Hawaiian Petrel, Grey-faced Petrel) and eastward-propagating north Pacific cyclones (Black-footed Albatross). Wind strength and direction are important factors related to the overall movements that delineate the distribution of petrels at sea. We suggest that vector correlation can be used to quantify movements for any marine vertebrate when tracking and environmental data (winds or currents) are of sufficient quality and sample size. Vector correlation coefficients can then be used to assess population-or species-specific variability and used to test specific hypotheses related to how animal movements are associated with fluid environments.</t>
  </si>
  <si>
    <t>[Adams, Josh] US Geol Survey, Western Ecol Res Ctr, Moss Landing Marine Labs, Moss Landing, CA 95039 USA; [Flora, Stephanie] Moss Landing Marine Labs, Phys Oceanog Lab, Moss Landing, CA 95039 USA</t>
  </si>
  <si>
    <t>Moss Landing Marine Laboratories; United States Department of the Interior; United States Geological Survey; Moss Landing Marine Laboratories</t>
  </si>
  <si>
    <t>Adams, J (corresponding author), Univ Otago, Dept Zool, POB 56, Dunedin, New Zealand.</t>
  </si>
  <si>
    <t>josh_adams@usgs.gov</t>
  </si>
  <si>
    <t>Moss Landing Marine Labs; USGS; UC Santa Cruz Tagging of Pacific Pelagics; NASA</t>
  </si>
  <si>
    <t>Moss Landing Marine Labs; USGS(United States Geological Survey); UC Santa Cruz Tagging of Pacific Pelagics; NASA(National Aeronautics &amp; Space Administration (NASA))</t>
  </si>
  <si>
    <t>We thank L. Breaker and E. McPhee-Shaw for enthusiastic discussions and useful contributions. P. Hodem and K. D. Hyrenbach provided PFSH data, P. Lyver provided GFPE data; BFAL data were supplied as part of a collaborative effort on behalf of Oikonos Ecosystem Knowledge, HAPE data were supplied as part of collaborative effort on behalf of US Geological Survey (USGS) Western Ecological Research Center, D. G. Ainley ( HT Harvey and Associates), H. Friefeld ( US Fish and Wildlife Service), C. Bailey and J. Tamayose (Haleakala National Park), and J. Penniman ( Hawaii Department of Land and Natural Resources); and SOSH data were supported in part by Moss Landing Marine Labs, USGS, and UC Santa Cruz Tagging of Pacific Pelagics. C. MacLeod kindly provided assistance with programming in R. QuikSCAT. Data are produced by remote sensing systems and sponsored by the NASA Ocean Vector Winds Science Team. QSCAT data are available at www.remss.com. Previous drafts of this paper benefited from comments and suggestions provided by H. Moller, D. G. Ainley, J. Yee, K. Phillips, and four anonymous reviewers. The use of trade, product, or firm names in this publication is for descriptive purposes only and does not imply endorsement by the US Government.</t>
  </si>
  <si>
    <t>10.1007/s00227-009-1367-y</t>
  </si>
  <si>
    <t>WOS:000275658000022</t>
  </si>
  <si>
    <t>Seear, PJ; Carmichael, SN; Talbot, R; Taggart, JB; Bron, JE; Sweeney, GE</t>
  </si>
  <si>
    <t>Seear, Paul J.; Carmichael, Stephen N.; Talbot, Richard; Taggart, John B.; Bron, James E.; Sweeney, Glen E.</t>
  </si>
  <si>
    <t>Differential Gene Expression During Smoltification of Atlantic Salmon (Salmo salar L.): a First Large-Scale Microarray Study</t>
  </si>
  <si>
    <t>MARINE BIOTECHNOLOGY</t>
  </si>
  <si>
    <t>Transcriptomics; Parr; Smoltification; Salmonids</t>
  </si>
  <si>
    <t>PARR-SMOLT TRANSFORMATION; ADENOSINE-TRIPHOSPHATASE ACTIVITY; GROWTH-HORMONE; COHO SALMON; ONCORHYNCHUS-KISUTCH; STEELHEAD TROUT; SEAWATER ADAPTATION; MESSENGER-RNA; SUCCINIC-DEHYDROGENASE; MULTIPLE HEMOGLOBINS</t>
  </si>
  <si>
    <t>The life cycle of the Atlantic salmon (Salmo salar) involves a period of 1 to 3 years in freshwater followed by migration to the sea where the salmon undergoes rapid growth. In preparation for the marine environment, while still in freshwater, the salmon undergo a transformation from a freshwater dwelling parr to a saltwater adapted smolt, a process known as smoltification. The Atlantic salmon Transcriptome Analysis of Important Traits of Salmon/Salmon Genome Project (TRAITS/SGP) cDNA microarray was used to investigate how gene expression alters during smoltification. Genes differentially expressed during smoltification were identified by comparing gene expression profiles in smolt brain, gill, and kidney tissue samples with those of parr. Of the three tissues investigated, the number of differentially expressed genes was the greatest in gill. Many of the differentially expressed genes could be assigned to one of four main categories: growth, metabolism, oxygen transport, and osmoregulation. Quantitative polymerase chain reaction successfully confirmed the differential expression of seven of the upregulated genes. The TRAITS/SGP cDNA microarray was used to successfully demonstrate for the first time how gene expression mediates smoltification in the Atlantic salmon. Changes in gene expression observed in this study reflected the physiological and biochemical changes recorded by previous studies describing the parr-smolt transformation. This study significantly increases our knowledge of smoltification and will benefit future studies in this area of research.</t>
  </si>
  <si>
    <t>[Seear, Paul J.; Sweeney, Glen E.] Cardiff Univ, Cardiff Sch Biosci, Cardiff CF10 3US, S Glam, Wales; [Carmichael, Stephen N.; Talbot, Richard] Roslin Inst, ARK Genom, Roslin EH25 9PS, Midlothian, Scotland; [Taggart, John B.; Bron, James E.] Univ Stirling, Inst Aquaculture, Stirling FK9 4LA, Scotland</t>
  </si>
  <si>
    <t>Cardiff University; UK Research &amp; Innovation (UKRI); Biotechnology and Biological Sciences Research Council (BBSRC); Roslin Institute; University of Stirling</t>
  </si>
  <si>
    <t>Seear, PJ (corresponding author), British Antarctic Survey, Madingley Rd, Cambridge CB3 0ET, England.</t>
  </si>
  <si>
    <t>paea@bas.ac.uk</t>
  </si>
  <si>
    <t>Bron, James E/B-6231-2018</t>
  </si>
  <si>
    <t>Bron, James E/0000-0003-3544-0519; Taggart, John/0000-0002-3843-9663</t>
  </si>
  <si>
    <t>Biotechnology and Biological Sciences Research Council [72/EGA 17676]</t>
  </si>
  <si>
    <t>Biotechnology and Biological Sciences Research Council(UK Research &amp; Innovation (UKRI)Biotechnology and Biological Sciences Research Council (BBSRC))</t>
  </si>
  <si>
    <t>This work was funded by an Exploiting Genomics grant (72/EGA 17676) from the Biotechnology and Biological Sciences Research Council. The authors would like to thank the TRAITS/ SGP consortium and ARK- Genomics for providing the cDNA microarrays and the Environment Agency Cynrig fish culture unit for supplying the Atlantic salmon. Thanks are also due to the two anonymous reviewers for their critical comments on our manuscript.</t>
  </si>
  <si>
    <t>1436-2228</t>
  </si>
  <si>
    <t>1436-2236</t>
  </si>
  <si>
    <t>MAR BIOTECHNOL</t>
  </si>
  <si>
    <t>Mar. Biotechnol.</t>
  </si>
  <si>
    <t>10.1007/s10126-009-9218-x</t>
  </si>
  <si>
    <t>Biotechnology &amp; Applied Microbiology; Marine &amp; Freshwater Biology</t>
  </si>
  <si>
    <t>571MA</t>
  </si>
  <si>
    <t>WOS:000275754700002</t>
  </si>
  <si>
    <t>Weihe, E; Kriews, M; Abele, D</t>
  </si>
  <si>
    <t>Weihe, Ellen; Kriews, Michael; Abele, Doris</t>
  </si>
  <si>
    <t>Differences in heavy metal concentrations and in the response of the antioxidant system to hypoxia and air exposure in the Antarctic limpet Nacella concinna</t>
  </si>
  <si>
    <t>MARINE ENVIRONMENTAL RESEARCH</t>
  </si>
  <si>
    <t>Nocella concinna; Oxidative stress; Glutathione; Heavy metals; Hypoxia; Air exposure</t>
  </si>
  <si>
    <t>KING-GEORGE ISLAND; SIGNY ISLAND; BASE-LINE; PATELLIDAE; REDOX; STATE; IRON</t>
  </si>
  <si>
    <t>During the austral spring and summer months, the Antarctic limpet Nocella concinna colonizes intertidal environments in the Western Antarctica Peninsula region. The species is divided into a permanently sublittoral and a seasonally intertidal, migratory subpopulation. We investigate the physiological differentiation between the two limpet groups to identify cellular and molecular changes that accompany adaptation of stenothermal Antarctic invertebrates to life under more stressful intertidal habitat conditions. A major difference between the two groups is the significantly higher concentrations of heavy metals (Fe, Al, Zn) from ingested sediments in sub-littoral limpet digestive glands (DG), associated with higher rates of reactive oxygen species (ROS) formation in this organ. ROS formation is accompanied by significantly higher SOD activity in sub-littoral limpet DG. These high SOD activities are, however, not conserved during either air exposure or hypoxic stress exposure of the sub-littoral limpets, when ROS production is slowed due to the absence of oxygen. The intertidal animals maintain higher levels of SOD and also conserve catalase activity at higher levels during hypoxia or air exposure compared to sub-littoral individuals under the same exposure conditions. More oxidized redox potential in gills and foot muscle and higher antioxidant enzyme activities in gills indicate that intertidal limpets maintain more oxygenated tissues during air exposure, in keeping with shell-lifting for oxygen up-take by the gills of intertidal limpets which migrate up the shore in the spring and down in the autumn. An increase of the redox ratio (GSSG/GSH) and accumulation of the lipid oxidation derived malonedialdehyde in intertidal limpet foot muscle during 12 h of exposure to air shows that indeed this tissue becomes more oxidized before the limpets eventually contract their shells tightly to minimize water loss and eventually become anaerobic. Intertidal limpets obviously avoid early onset of anaerobic energy production seen in their sub-littoral congeners when exposed to air and are still able to maintain tissue redox ratio balance when exposed to air. (C) 2009 Elsevier Ltd. All rights reserved.</t>
  </si>
  <si>
    <t>[Weihe, Ellen; Kriews, Michael; Abele, Doris] Alfred Wegener Inst Polar &amp; Marine Res, Dept Funct Ecol, D-27570 Bremerhaven, Germany</t>
  </si>
  <si>
    <t>Helmholtz Association; Alfred Wegener Institute, Helmholtz Centre for Polar &amp; Marine Research</t>
  </si>
  <si>
    <t>Abele, D (corresponding author), Alfred Wegener Inst Polar &amp; Marine Res, Dept Funct Ecol, Handelshafen 12, D-27570 Bremerhaven, Germany.</t>
  </si>
  <si>
    <t>Doris.abele@awi.de</t>
  </si>
  <si>
    <t>Abele, Doris/0000-0002-5766-5017</t>
  </si>
  <si>
    <t>Alfred-Wegener-Institute (Germany); Argentine Antarctic Institute (Buenos Aires, Argentina); Deutsche Forschungsgemeinschaft [DFG Ab124/7]</t>
  </si>
  <si>
    <t>Alfred-Wegener-Institute (Germany); Argentine Antarctic Institute (Buenos Aires, Argentina); Deutsche Forschungsgemeinschaft(German Research Foundation (DFG))</t>
  </si>
  <si>
    <t>We thank the Alfred-Wegener-Institute (Germany) and the Argentine Antarctic Institute (Buenos Aires, Argentina) for supporting our work at Jubany Station and in Dallmann Laboratory, and the Deutsche Forschungsgemeinschaft, Grant no DFG Ab124/7 for financing the Ph.D. position of E.W. We are indebted to Stefanie Meyer and Ilse Stolting for excellent technical assistance and to two referees for their constructive review of the ms.</t>
  </si>
  <si>
    <t>ELSEVIER SCI LTD</t>
  </si>
  <si>
    <t>THE BOULEVARD, LANGFORD LANE, KIDLINGTON, OXFORD OX5 1GB, OXON, ENGLAND</t>
  </si>
  <si>
    <t>0141-1136</t>
  </si>
  <si>
    <t>1879-0291</t>
  </si>
  <si>
    <t>MAR ENVIRON RES</t>
  </si>
  <si>
    <t>Mar. Environ. Res.</t>
  </si>
  <si>
    <t>10.1016/j.marenvres.2009.09.003</t>
  </si>
  <si>
    <t>Environmental Sciences; Marine &amp; Freshwater Biology; Toxicology</t>
  </si>
  <si>
    <t>Environmental Sciences &amp; Ecology; Marine &amp; Freshwater Biology; Toxicology</t>
  </si>
  <si>
    <t>563OG</t>
  </si>
  <si>
    <t>WOS:000275141600003</t>
  </si>
  <si>
    <t>Oosthuizen, WC; de Bruyn, PJN; Bester, MN; Girondot, M</t>
  </si>
  <si>
    <t>Oosthuizen, W. Chris; de Bruyn, P. J. Nico; Bester, Marthan N.; Girondot, Marc</t>
  </si>
  <si>
    <t>Cohort and tag-site-specific tag-loss rates in mark-recapture studies: A southern elephant seal cautionary case</t>
  </si>
  <si>
    <t>MARINE MAMMAL SCIENCE</t>
  </si>
  <si>
    <t>cohort heterogeneity; double tagging; mark-resight; marker-loss; Mirounga leonina; Marion Island; phocids; tag shedding; tag placement</t>
  </si>
  <si>
    <t>MIROUNGA-LEONINA; MARION-ISLAND; SHEDDING RATES; GENERAL-MODEL; CODED-WIRE; FUR SEALS; POPULATION; SURVIVAL; LIKELIHOOD; PROBABILITIES</t>
  </si>
  <si>
    <t>P&gt;Marker-loss is a common feature of mark-recapture studies and important as it may bias parameter estimation. A slight alteration in tag-site of double tagged southern elephant seals (Mirounga leonina), marked at Marion Island from 1983 to 2005 in an ongoing mark-recapture program, had important consequences for tag-loss. We calculated age-specific tag-retention rates and cumulative tag-retention probabilities using a maximum likelihood model selection approach in the software application TAG_LOSS 3.2.0. Under the tag-loss independence assumption, double tag-loss of inner interdigital webbing tags (IIT; 17 cohorts) remained below 1% in the first 5 yr and increased monotonically as seals aged, with higher tag-loss in males. Lifetime cumulative IIT tag-loss was 11.9% for females and 18.4% for males, and equivalent for all cohorts. Changing the tag-site to the outer interdigital webbing (OIT; 6 cohorts) resulted in increased and cohort-dependent tag-loss, although the variation (mean +/- 95% CI) in cumulative tag-loss probabilities never exceeded 5.3% between cohorts at similar age. Although different studies may homogenize techniques, we advocate the importance of data set-specific assessment of tag-loss rates to ensure greatest confidence in population parameters obtained from mark-recapture experiments. Permanent marking should be implemented where feasible.</t>
  </si>
  <si>
    <t>[Oosthuizen, W. Chris; de Bruyn, P. J. Nico; Bester, Marthan N.] Univ Pretoria, Mammal Res Inst, Dept Zool &amp; Entomol, ZA-0002 Pretoria, South Africa; [Girondot, Marc] Univ Paris 11, ENGREF, Lab Ecol Systemat &amp; Evolut, F-91405 Orsay, France; [Girondot, Marc] CNRS, UMR 8079, F-91405 Orsay, France</t>
  </si>
  <si>
    <t>University of Pretoria; AgroParisTech; Universite Paris Saclay; AgroParisTech; Centre National de la Recherche Scientifique (CNRS); CNRS - Institute of Ecology &amp; Environment (INEE); Universite Paris Saclay</t>
  </si>
  <si>
    <t>Oosthuizen, WC (corresponding author), Univ Pretoria, Mammal Res Inst, Dept Zool &amp; Entomol, ZA-0002 Pretoria, South Africa.</t>
  </si>
  <si>
    <t>wcoosthuizen@zoology.up.ac.za</t>
  </si>
  <si>
    <t>Bester, Marthán N/E-5387-2010; de Bruyn, P. J. Nico/E-4176-2010; Oosthuizen, W. Chris/I-2947-2016</t>
  </si>
  <si>
    <t>de Bruyn, P. J. Nico/0000-0002-9114-9569; Oosthuizen, W. Chris/0000-0003-2905-6297</t>
  </si>
  <si>
    <t>Department of Science and Technology, through the National Research Foundation (NRF); Animal Demography Unit, Department of Zoology, University of Cape Town</t>
  </si>
  <si>
    <t>Department of Science and Technology, through the National Research Foundation (NRF)(Department of Science &amp; Technology (India)); Animal Demography Unit, Department of Zoology, University of Cape Town</t>
  </si>
  <si>
    <t>We thank the many field personnel who diligently assisted in collecting long-term data on elephant seals at Marion Island. Logistical support and research permits were provided by the South African Department of Environmental Affairs and Tourism within the South African National Antarctic Program. The Department of Science and Technology, through the National Research Foundation (NRF), provided financial support. WCO received financial support from a NRF Grantholder-linked bursary within the project Conservation of Seabirds, Shorebirds and Seals led by L. Underhill of the Animal Demography Unit, Department of Zoology, University of Cape Town. The project has ethics clearance from the Animal Use and Care Committee (AUCC 040827-024) of the Faculty of Veterinary Science, University of Pretoria. Peter Boveng and three anonymous reviewers made valuable suggestions that improved this manuscript.</t>
  </si>
  <si>
    <t>WILEY-BLACKWELL</t>
  </si>
  <si>
    <t>0824-0469</t>
  </si>
  <si>
    <t>1748-7692</t>
  </si>
  <si>
    <t>MAR MAMMAL SCI</t>
  </si>
  <si>
    <t>Mar. Mamm. Sci.</t>
  </si>
  <si>
    <t>10.1111/j.1748-7692.2009.00328.x</t>
  </si>
  <si>
    <t>Marine &amp; Freshwater Biology; Zoology</t>
  </si>
  <si>
    <t>584ZT</t>
  </si>
  <si>
    <t>WOS:000276794500007</t>
  </si>
  <si>
    <t>Ainley, D; Ballard, G; Blight, LK; Ackley, S; Emslie, SD; Lescroël, A; Olmastroni, S; Townsend, SE; Tynan, CT; Wilson, P; Woehler, E</t>
  </si>
  <si>
    <t>Ainley, David; Ballard, Grant; Blight, Louise K.; Ackley, Steve; Emslie, Steven D.; Lescroel, Amelie; Olmastroni, Silvia; Townsend, Susan E.; Tynan, Cynthia T.; Wilson, Peter; Woehler, Eric</t>
  </si>
  <si>
    <t>Impacts of cetaceans on the structure of Southern Ocean food webs</t>
  </si>
  <si>
    <t>Letter</t>
  </si>
  <si>
    <t>WHALES ORCINUS-ORCA; ANTARCTIC SEA-ICE; KILLER WHALES; METHANESULFONIC-ACID; ECOSYSTEM STRUCTURE; TROPHIC STRUCTURE; EMPEROR PENGUINS; WHALING RECORDS; PACIFIC SECTOR; CLIMATE-CHANGE</t>
  </si>
  <si>
    <t>[Ainley, David; Lescroel, Amelie] HT Harvey &amp; Associates, Los Gatos, CA 95032 USA; [Ballard, Grant] PRBO Conservat Sci, Petaluma, CA 94954 USA; [Ballard, Grant] Univ Auckland, Sch Biol Sci, Auckland 1, New Zealand; [Blight, Louise K.] Univ British Columbia, Ctr Appl Conservat Res, Vancouver, BC V6T 1Z4, Canada; [Ackley, Steve] Univ Texas San Antonio, Dept Geol Sci, San Antonio, TX 78249 USA; [Emslie, Steven D.] Univ N Carolina, Wilmington, NC 28403 USA; [Olmastroni, Silvia] Univ Siena, Dipartimento Sci Ambientali, I-53100 Siena, Italy; [Townsend, Susan E.] Wildlife Ecol &amp; Consulting, Oakland, CA 94609 USA; [Woehler, Eric] Univ Tasmania, Sch Zool, Sandy Bay, Tas 7005, Australia</t>
  </si>
  <si>
    <t>University of Auckland; University of British Columbia; University of Texas System; University of Texas at San Antonio (UTSA); University of North Carolina; University of North Carolina Wilmington; University of Siena; University of Tasmania</t>
  </si>
  <si>
    <t>Ainley, D (corresponding author), HT Harvey &amp; Associates, 983 Univ Ave,Bldg D, Los Gatos, CA 95032 USA.</t>
  </si>
  <si>
    <t>dainley@penguinscience.com</t>
  </si>
  <si>
    <t>; OLMASTRONI, Silvia/G-6267-2018</t>
  </si>
  <si>
    <t>Woehler, Eric/0000-0002-1125-0748; OLMASTRONI, Silvia/0000-0002-9319-9914</t>
  </si>
  <si>
    <t>10.1111/j.1748-7692.2009.00337.x</t>
  </si>
  <si>
    <t>WOS:000276794500019</t>
  </si>
  <si>
    <t>Choe, WH; Huber, H; Rubin, AE; Kallemeyn, GW; Wasson, JT</t>
  </si>
  <si>
    <t>Choe, Won Hie; Huber, Heinz; Rubin, Alan E.; Kallemeyn, Gregory W.; Wasson, John T.</t>
  </si>
  <si>
    <t>Compositions and taxonomy of 15 unusual carbonaceous chondrites</t>
  </si>
  <si>
    <t>METEORITICS &amp; PLANETARY SCIENCE</t>
  </si>
  <si>
    <t>METEORITICAL BULLETIN; AQUEOUS ALTERATION; CV3 CHONDRITES; OXYGEN-ISOTOPE; CHONDRULE RIMS; CM CHONDRITES; ACFER 094; CLASSIFICATION; MATRIX; CR</t>
  </si>
  <si>
    <t>We used instrumental neutron activation analysis and petrography to determine bulk and phase compositions and textural characteristics of 15 carbonaceous chondrites of uncertain classification: Acfer 094 (type 3.0, ungrouped CM-related); Belgica-7904 (mildly metamorphosed, anomalous, CM-like chondrite, possibly a member of a new grouplet that includes Wisconsin Range (WIS) 91600, Dhofar 225, and Yamato-86720); Dar al Gani (DaG) 055 and its paired specimen DaG 056 (anomalous, reduced CV3-like); DaG 978 (type 3 ungrouped); Dominion Range 03238 (anomalous, magnetite-rich CO3.1); Elephant Moraine 90043 (anomalous, magnetite-bearing CO3); Graves Nunataks 98025 (type 2 or type 3 ungrouped); Grosvenor Mountains (GRO) 95566 (anomalous CM2 with a low degree of aqueous alteration); Hammadah al Hamra (HaH) 073 (type 4 ungrouped, possibly related to the Coolidge-Loongana [C-L] 001 grouplet); Lewis Cliff (LEW) 85311 (anomalous CM2 with a low degree of aqueous alteration); Northwest Africa 1152 (anomalous CV3); Pecora Escarpment (PCA) 91008 (anomalous, metamorphosed CM); Queen Alexandra Range 99038 (type 2 ungrouped); Sahara 00182 (type 3 ungrouped, possibly related to HaH 073 and/or to C-L 001); and WIS 91600 (mildly metamorphosed, anomalous, CM-like chondrite, possibly a member of a new grouplet that includes Belgica-7904, Dhofar 225, and Y-86720). Many of these meteorites show fractionated abundance patterns, especially among the volatile elements. Impact volatilization and dehydration as well as elemental transport caused by terrestrial weathering are probably responsible for most of these compositional anomalies. The metamorphosed CM chondrites comprise two distinct clusters on the basis of their Delta 17O values: approximately -4 parts per thousand for PCA 91008, GRO 95566, DaG 978, and LEW 85311, and approximately 0 parts per thousand for Belgica-7904 and WIS 91600. These six meteorites must have been derived from different asteroidal regions.</t>
  </si>
  <si>
    <t>[Choe, Won Hie; Huber, Heinz; Rubin, Alan E.; Kallemeyn, Gregory W.; Wasson, John T.] Univ Calif Los Angeles, Inst Geophys &amp; Planetary Phys, Los Angeles, CA 90095 USA; [Wasson, John T.] Univ Calif Los Angeles, Dept Earth &amp; Space Sci, Los Angeles, CA 90095 USA; [Wasson, John T.] Univ Calif Los Angeles, Dept Chem &amp; Biochem, Los Angeles, CA 90095 USA</t>
  </si>
  <si>
    <t>University of California System; University of California Los Angeles; University of California System; University of California Los Angeles; University of California System; University of California Los Angeles</t>
  </si>
  <si>
    <t>Rubin, AE (corresponding author), Univ Calif Los Angeles, Inst Geophys &amp; Planetary Phys, Los Angeles, CA 90095 USA.</t>
  </si>
  <si>
    <t>aerubin@ucla.edu</t>
  </si>
  <si>
    <t>Wasson, John/0000-0002-7253-2300; Huber, Heinz/0000-0001-8504-4915</t>
  </si>
  <si>
    <t>NASA [NNX09AG92G, NNG06GG35G]; NASA [NNX09AG92G, 117603] Funding Source: Federal RePORTER</t>
  </si>
  <si>
    <t>We thank the Antarctic Meteorite Working Group, the curators at the NASA Johnson Space Center, F. Brandstatter of the Naturhistorisches Museum in Vienna, J. N. Grossman, M. E. Zolensky, A. Bischoff, and the National Institute for Polar Research in Tokyo for the provision of samples and the loan of thin sections. Bulk samples were also obtained from J. Utas and P. Utas. We are grateful to D. Rumble and I. Ahn for the use of unpublished O-isotopic data and to B.-G. Choi for the collection of some petrographic data. This work was supported in part by NASA Cosmochemistry Grants NNX09AG92G (A. E. Rubin) and NNG06GG35G (J. T. Wasson).</t>
  </si>
  <si>
    <t>1086-9379</t>
  </si>
  <si>
    <t>1945-5100</t>
  </si>
  <si>
    <t>METEORIT PLANET SCI</t>
  </si>
  <si>
    <t>Meteorit. Planet. Sci.</t>
  </si>
  <si>
    <t>10.1111/j.1945-5100.2010.01039.x</t>
  </si>
  <si>
    <t>642JM</t>
  </si>
  <si>
    <t>WOS:000281208600003</t>
  </si>
  <si>
    <t>Frias, A; Manresa, A; de Oliveira, E; López-Iglesias, C; Mercade, E</t>
  </si>
  <si>
    <t>Frias, Alina; Manresa, Angeles; de Oliveira, Eliandre; Lopez-Iglesias, Carmen; Mercade, Elena</t>
  </si>
  <si>
    <t>Membrane Vesicles: A Common Feature in the Extracellular Matter of Cold-Adapted Antarctic Bacteria</t>
  </si>
  <si>
    <t>MICROBIAL ECOLOGY</t>
  </si>
  <si>
    <t>GRAM-NEGATIVE BACTERIA; OUTER-MEMBRANE; ESCHERICHIA-COLI; SP-NOV; FUNCTIONAL-CHARACTERIZATION; NEISSERIA-MENINGITIDIS; CELL-DIVISION; SHEWANELLA; EXOPOLYSACCHARIDES; PROTEINS</t>
  </si>
  <si>
    <t>Many Gram-negative, cold-adapted bacteria from the Antarctic environment produce large amounts of extracellular matter, which has potential biotechnology applications. We examined the ultrastructure of extracellular matter from five Antarctic bacteria (Shewanella livingstonensis NF22(T), Shewanella vesiculosa M7(T), Pseudoalteromonas sp. M4.2, Psychrobacter fozii NF23(T), and Marinobacter guineae M3B(T)) by transmission electron microscopy after high-pressure freezing and freeze substitution. All analyzed extracellular matter appeared as a netlike mesh composed of a capsular polymer around cells and large numbers of membrane vesicles (MVs), which have not yet been described for members of the genera Psychrobacter and Marinobacter. MVs showed the typical characteristics described for these structures, and seemed to be surrounded by the same capsular polymer as that found around the cells. The analysis of MV proteins from Antarctic strains by SDS-PAGE showed different banding profiles in MVs compared to the outer membrane, suggesting some kind of protein sorting during membrane vesicle formation. For the psychrotolerant bacterium, S. livingstonensis NF22(T), the growth temperature seemed to influence the amount and morphology of MVs. In an initial attempt to elucidate the functions of MVs for this psychrotolerant bacterium, we conducted a proteomic analysis on membrane vesicles from S. livingstonensis NF22(T) obtained at 4 and 18A degrees C. At both temperatures, MVs were highly enriched in outer membrane proteins and periplasmic proteins related to nutrient processing and transport in Gram-negative bacteria suggesting that MVs could be related with nutrient sensing and bacterial survival. Differences were observed in the expression of some proteins depending on incubation temperature but further studies will be necessary to define their roles and implications in the survival of bacteria in the extreme Antarctic environment.</t>
  </si>
  <si>
    <t>[Mercade, Elena] Univ Barcelona, Fac Farm, Dept Microbiol &amp; Parasitol Sanitarias, E-08028 Barcelona, Spain; [Frias, Alina; Manresa, Angeles] Univ Barcelona, Fac Farm, Microbiol Lab, E-08028 Barcelona, Spain; [Lopez-Iglesias, Carmen] Univ Barcelona, Microscopia Elect Serv Cient Tecn, E-08028 Barcelona, Spain</t>
  </si>
  <si>
    <t>University of Barcelona; University of Barcelona; University of Barcelona</t>
  </si>
  <si>
    <t>Mercade, E (corresponding author), Univ Barcelona, Fac Farm, Dept Microbiol &amp; Parasitol Sanitarias, Av Juan XXIII S-N, E-08028 Barcelona, Spain.</t>
  </si>
  <si>
    <t>mmercade@ub.edu</t>
  </si>
  <si>
    <t>; Mercade, Elena/L-5218-2014; de Oliveira, Eliandre/K-5052-2014</t>
  </si>
  <si>
    <t>Manresa, Angeles/0000-0003-2337-9060; Mercade, Elena/0000-0001-7828-2210; de Oliveira, Eliandre/0000-0003-4771-5719</t>
  </si>
  <si>
    <t>Government of Spain (CICYT) [CTQ 2007-60749/PPQ]; Autonomous Government of Catalonia [2009SGR1212, 2005SGR00143]; Ministerio de Asuntos Exteriores y de Cooperacion from Spain</t>
  </si>
  <si>
    <t>Government of Spain (CICYT)(Consejo Interinstitucional de Ciencia y Tecnologia (CICYT)); Autonomous Government of Catalonia(Generalitat de Catalunya); Ministerio de Asuntos Exteriores y de Cooperacion from Spain</t>
  </si>
  <si>
    <t>We gratefully acknowledge the assistance of Gemma Martinez, Sonia Riuz and Elisenda Coll for TEM support (Serveis Cientifico Tecnics de la Universitat de Barcelona). This research was supported by the Government of Spain (CICYT project CTQ 2007-60749/PPQ) and by the Autonomous Government of Catalonia (grants 2009SGR1212 and 2005SGR00143). Alina Frias was the recipient of a fellowship MAEC-AECI from the Ministerio de Asuntos Exteriores y de Cooperacion from Spain. We also thank the ProteoRed network.</t>
  </si>
  <si>
    <t>0095-3628</t>
  </si>
  <si>
    <t>1432-184X</t>
  </si>
  <si>
    <t>MICROB ECOL</t>
  </si>
  <si>
    <t>Microb. Ecol.</t>
  </si>
  <si>
    <t>10.1007/s00248-009-9622-9</t>
  </si>
  <si>
    <t>Ecology; Marine &amp; Freshwater Biology; Microbiology</t>
  </si>
  <si>
    <t>Environmental Sciences &amp; Ecology; Marine &amp; Freshwater Biology; Microbiology</t>
  </si>
  <si>
    <t>584IN</t>
  </si>
  <si>
    <t>WOS:000276745200007</t>
  </si>
  <si>
    <t>Piette, F; D'Amico, S; Struvay, C; Mazzucchelli, G; Renaut, J; Tutino, ML; Danchin, A; Leprince, P; Feller, G</t>
  </si>
  <si>
    <t>Piette, Florence; D'Amico, Salvino; Struvay, Caroline; Mazzucchelli, Gabriel; Renaut, Jenny; Tutino, Maria Luisa; Danchin, Antoine; Leprince, Pierre; Feller, Georges</t>
  </si>
  <si>
    <t>Proteomics of life at low temperatures: trigger factor is the primary chaperone in the Antarctic bacterium Pseudoalteromonas haloplanktis TAC125</t>
  </si>
  <si>
    <t>MOLECULAR MICROBIOLOGY</t>
  </si>
  <si>
    <t>ESCHERICHIA-COLI; METHANOCOCCOIDES-BURTONII; PSYCHROPHILIC ENZYMES; GENOME SEQUENCE; ADAPTATION; PROTEINS; PERMAFROST; STABILITY; MICROORGANISMS; BIODIVERSITY</t>
  </si>
  <si>
    <t>P&gt;The proteomes expressed at 4 degrees C and 18 degrees C by the psychrophilic Antarctic bacterium Pseudoalteromonas haloplanktis have been compared using two-dimensional differential in-gel electrophoresis, showing that translation, protein folding, membrane integrity and anti-oxidant activities are upregulated at 4 degrees C. This proteomic analysis revealed that the trigger factor is the main upregulated protein at low temperature. The trigger factor is the first molecular chaperone interacting with virtually all newly synthesized polypeptides on the ribosome and also possesses a peptidyl-prolyl cis-trans isomerase activity. This suggests that protein folding at low temperatures is a rate-limiting step for bacterial growth in cold environments. It is proposed that the psychrophilic trigger factor rescues the chaperone function as both DnaK and GroEL (the major bacterial chaperones but also heat-shock proteins) are downregulated at 4 degrees C. The recombinant psychrophilic trigger factor is a monomer that displays unusually low conformational stability with a Tm value of 33 degrees C, suggesting that the essential chaperone function requires considerable flexibility and dynamics to compensate for the reduction of molecular motions at freezing temperatures. Its chaperone activity is strongly temperature-dependent and requires near-zero temperature to stably bind a model-unfolded polypeptide.</t>
  </si>
  <si>
    <t>[Piette, Florence; D'Amico, Salvino; Struvay, Caroline; Feller, Georges] Univ Liege, Biochem Lab, Ctr Prot Engn, Liege, Belgium; [Mazzucchelli, Gabriel] Univ Liege, Mass Spectrometry Lab, Liege, Belgium; [Renaut, Jenny] Ctr Rech Publ Gabriel Lippmann, Belvaux, Luxembourg; [Tutino, Maria Luisa] Univ Naples Federico 2, Dipartimento Chim Organ &amp; Biochim, Naples, Italy; [Danchin, Antoine] SEM Genopole, AMAbiot SAS, Evry, France; [Leprince, Pierre] Univ Liege, GIGA Neurosci, Liege, Belgium</t>
  </si>
  <si>
    <t>University of Liege; University of Liege; Luxembourg Institute of Science &amp; Technology; University of Naples Federico II; University of Liege</t>
  </si>
  <si>
    <t>Feller, G (corresponding author), Univ Liege, Biochem Lab, Ctr Prot Engn, Liege, Belgium.</t>
  </si>
  <si>
    <t>gfeller@ulg.ac.be</t>
  </si>
  <si>
    <t>TUTINO, MARIA LUISA/L-1834-2013; Renaut, Jenny/K-3216-2012; Danchin, Antoine/F-3745-2018</t>
  </si>
  <si>
    <t>Mazzucchelli, Gabriel/0000-0002-8757-8133; Renaut, Jenny/0000-0002-0450-3866; Leprince, pierre/0000-0002-7233-6553; Tutino, Maria Luisa/0000-0002-4978-6839; Danchin, Antoine/0000-0002-6350-5001</t>
  </si>
  <si>
    <t>F.R.S.-FNRS; FRIA</t>
  </si>
  <si>
    <t>F.R.S.-FNRS(Fonds de la Recherche Scientifique - FNRS); FRIA(Fonds de la Recherche Scientifique - FNRS)</t>
  </si>
  <si>
    <t>We thank Professor E. De Pauw for access to the GIGA mass spectrometry facilities, M.A. Meuwis for performing SELDI-TOF-MS experiments, F. Bouillenne for assistance in analytical gel filtration and N. Gerardin-Otthiers for expert technical assistance. We also thank Drs D. Roessner and C. Ackerscott for access to the Wyatt Technology facilities (Dernbach, Germany). The Institut Polaire Francais Paul Emile Victor is also acknowledged for support at early stages of the work. This work was supported by F.R.S.-FNRS (National Fund for Scientific Research), Belgium (FRFC grants to GF, FRSM grant to P.L. and Credits aux Chercheurs to G.F. and S.D'A.). F.P. is a FRIA research fellow, C.S. is a F.R.S.-FNRS research fellow, G.M. is a F.R.S.-FNRS logistics collaborator, P.L. is a F.R.S.-FNRS research associate and S.D'A. was a F.R.S.-FNRS post-doctoral researcher during this work.</t>
  </si>
  <si>
    <t>0950-382X</t>
  </si>
  <si>
    <t>1365-2958</t>
  </si>
  <si>
    <t>MOL MICROBIOL</t>
  </si>
  <si>
    <t>Mol. Microbiol.</t>
  </si>
  <si>
    <t>10.1111/j.1365-2958.2010.07084.x</t>
  </si>
  <si>
    <t>Biochemistry &amp; Molecular Biology; Microbiology</t>
  </si>
  <si>
    <t>575AS</t>
  </si>
  <si>
    <t>WOS:000276036000009</t>
  </si>
  <si>
    <t>Havermans, C; Nagy, ZT; Sonet, G; De Broyer, C; Martin, P</t>
  </si>
  <si>
    <t>Havermans, Charlotte; Nagy, Zoltan T.; Sonet, Gontran; De Broyer, Claude; Martin, Patrick</t>
  </si>
  <si>
    <t>Incongruence between molecular phylogeny and morphological classification in amphipod crustaceans: A case study of Antarctic lysianassoids</t>
  </si>
  <si>
    <t>MOLECULAR PHYLOGENETICS AND EVOLUTION</t>
  </si>
  <si>
    <t>Molecular phylogeny; Amphipoda; Lysianassoidea; Southern Ocean; COI; 28S rRNA</t>
  </si>
  <si>
    <t>SOUTHERN-OCEAN; EVOLUTION; BIODIVERSITY; MITOCHONDRIAL; BIOGEOGRAPHY; EPIMERIIDAE; RADIATION; ALIGNMENT; MAFFT</t>
  </si>
  <si>
    <t>In Antarctic waters, the superfamily Lysianassoidea is one of the most important amphipod groups both in terms of species number and abundance. Dominant members of this superfamily are species of the orchomenid complex, found throughout the Southern Ocean. This study presents the first molecular phylogenetic analysis based on a representative subset of the Antarctic species belonging to different orchomenid genera and hence provides a framework for a systematic revision of these taxa. The current classification of the orchomenid genera is mainly based on mouthpart morphology. The validity of these morphological characters was assessed by resolving phylogenetic relationships using nuclear 28S rRNA and mitochondrial cytochrome oxidase subunit I sequences. The molecular data rejected most of the previously proposed taxonomic subdivisions within this complex. The genera Abyssorchomene and Orchomenella as well as the subgenus Orchomenopsis appeared to be non-monophyletic. This implies that the supposed diagnostic characters are likely a result of convergent evolution. Further, our results indicated the necessity of a revision of the family-level systematics. (C) 2009 Elsevier Inc. All rights reserved.</t>
  </si>
  <si>
    <t>[Havermans, Charlotte] Royal Belgian Inst Nat Sci, Dept Freshwater Biol, B-1000 Brussels, Belgium; [Havermans, Charlotte] Catholic Univ Louvain, Marine Biol Lab, B-1348 Louvain, Belgium</t>
  </si>
  <si>
    <t>Royal Belgian Institute of Natural Sciences; Universite Catholique Louvain</t>
  </si>
  <si>
    <t>Havermans, C (corresponding author), Royal Belgian Inst Nat Sci, Dept Freshwater Biol, Rua Vautier 29, B-1000 Brussels, Belgium.</t>
  </si>
  <si>
    <t>chavermans@naturalsciences.be; zoltan-tamas.nagy@naturalsciences.be; gontran.sonet@naturalsciences.be; claude.debroyer@naturalsciences.be; patrick.martin@naturalsciences.be</t>
  </si>
  <si>
    <t>Martin, Patrick/V-9708-2019; Nagy, Zoltan T./C-6737-2011; Sonet, Gontran/G-7740-2018</t>
  </si>
  <si>
    <t>Martin, Patrick/0000-0002-6033-8412; Sonet, Gontran/0000-0001-7310-9574; Havermans, Charlotte/0000-0002-1126-4074</t>
  </si>
  <si>
    <t>Belgian Science Policy Office (Belspo) [WI/36/H04]; Scientific Research Programme on the Antarctic of Belspo [A4/DD/B02, EV/36/24A]; joint Experimental Molecular Unit; Polish Antarctic IPY Expedition [51/N-IPY/2007/0]</t>
  </si>
  <si>
    <t>Belgian Science Policy Office (Belspo)(Belgian Federal Science Policy Office); Scientific Research Programme on the Antarctic of Belspo; joint Experimental Molecular Unit; Polish Antarctic IPY Expedition</t>
  </si>
  <si>
    <t>The first author is financially supported by an Action II grant (contract number WI/36/H04) from the Belgian Science Policy Office (Belspo). Sampling in Antarctic regions was supported by the Scientific Research Programme on the Antarctic of Belspo (contract numbers A4/DD/B02 and EV/36/24A). For genetic analyses, funding was provided by the joint Experimental Molecular Unit (project BARCOLYS) that is supported by Belspo. We thank the crew of the R/V Polarstern for their professional assistance during the expeditions ANT XV-3, ANT XIX-5, ANDEEP I-III and ANT XXIII-8. We are indebted to A. Jazdzewska (Laboratory of Polar Biology and Hydrobiology, University of Lodz) for providing samples from the Polish Antarctic IPY Expedition in 2007 (51/N-IPY/2007/0) and K. Schnabel (collection manager, National Institute of Water and Atmospheric, New Zealand) for providing specimens from the Ross Sea. C. d'Udekem d'Acoz is acknowledged for his assistance in specimen identifications and for fruitful discussions on taxonomical issues related to amphipods. We thank Thierry Backeljau and the two referees for their valuable comments on the manuscript. This paper is registered as CAML publication No. 20.</t>
  </si>
  <si>
    <t>ACADEMIC PRESS INC ELSEVIER SCIENCE</t>
  </si>
  <si>
    <t>SAN DIEGO</t>
  </si>
  <si>
    <t>525 B ST, STE 1900, SAN DIEGO, CA 92101-4495 USA</t>
  </si>
  <si>
    <t>1055-7903</t>
  </si>
  <si>
    <t>1095-9513</t>
  </si>
  <si>
    <t>MOL PHYLOGENET EVOL</t>
  </si>
  <si>
    <t>Mol. Phylogenet. Evol.</t>
  </si>
  <si>
    <t>10.1016/j.ympev.2009.10.025</t>
  </si>
  <si>
    <t>Biochemistry &amp; Molecular Biology; Evolutionary Biology; Genetics &amp; Heredity</t>
  </si>
  <si>
    <t>565PI</t>
  </si>
  <si>
    <t>WOS:000275306000017</t>
  </si>
  <si>
    <t>Coscia, MR; Varriale, S; De Santi, C; Giacomelli, S; Oreste, U</t>
  </si>
  <si>
    <t>Coscia, Maria Rosaria; Varriale, Sonia; De Santi, Concetta; Giacomelli, Stefano; Oreste, Umberto</t>
  </si>
  <si>
    <t>Evolution of the Antarctic teleost immunoglobulin heavy chain gene</t>
  </si>
  <si>
    <t>Notothenioidei; Alternative mRNA splicing; Immunoglobulin gene structure; Cold adaptation; Antarctic teleost evolution</t>
  </si>
  <si>
    <t>PRE-MESSENGER-RNA; IDENTIFICATION; ANTIBODIES; DISCOVERY; MEMBRANE; SEQUENCE; TRANSMEMBRANE; ISOTYPE; PLASMA; IGD</t>
  </si>
  <si>
    <t>Notothenioid teleosts underwent major modifications of their genome to adapt to the cooling of the Antarctic environment. In order to identify specific features of the Antarctic teleost immunoglobulin, transcripts encoding the constant region of the IgM heavy chain from 13 Antarctic and non-Antarctic notothenioid species were sequenced. The primary mRNA splicing for the membrane form was found to be atypical in the majority of Antarctic species, because it led to exclusion of two entire constant exons, and to inclusion of 39-nucleotide exons encoding an unusually long Extracellular Membrane-Proximal Domain (EMPD). Genomic DNA analysis revealed that each 39-nucleotide exon fell within a long sequence that was the reverse complement of an upstream region. Deduced amino acid sequence analysis lead to the identification of cysteine encoding codons in the 39-nucleotide exons, but not in the respective sequence counterpart, suggesting that these residues might play an important role in the folding of the EMPD. (C) 2009 Elsevier Inc. All rights reserved.</t>
  </si>
  <si>
    <t>[Coscia, Maria Rosaria; Varriale, Sonia; De Santi, Concetta; Giacomelli, Stefano; Oreste, Umberto] CNR, Inst Prot Biochem, I-80131 Naples, Italy</t>
  </si>
  <si>
    <t>Consiglio Nazionale delle Ricerche (CNR); Istituto di Biochimica delle Proteine (IBP-CNR)</t>
  </si>
  <si>
    <t>Coscia, MR (corresponding author), CNR, Inst Prot Biochem, Via P Castellino 111, I-80131 Naples, Italy.</t>
  </si>
  <si>
    <t>mr.coscia@ibp.cnr.it</t>
  </si>
  <si>
    <t>Coscia, Maria Rosaria/AAU-1808-2021</t>
  </si>
  <si>
    <t>EBA (Evolution and Biodiversity in the Antarctic); PNRA (Antarctic Research National Program) [2005.2.1oreste]</t>
  </si>
  <si>
    <t>EBA (Evolution and Biodiversity in the Antarctic); PNRA (Antarctic Research National Program)</t>
  </si>
  <si>
    <t>We are grateful to our colleagues Dr. D. de Pascale and E. Cocca for having provided us with tissue samples from some species. We thank Dr. Martin Flajnik for helpful discussions and critical reading of the manuscript. This study was carried out in the context of the international multidisciplinary program EBA (Evolution and Biodiversity in the Antarctic: http://www.eba.aq/). PNRA (Antarctic Research National Program: http://www.pnra.it/) supported this work with the project 2005.2.1oreste.</t>
  </si>
  <si>
    <t>10.1016/j.ympev.2009.09.033</t>
  </si>
  <si>
    <t>WOS:000275306000019</t>
  </si>
  <si>
    <t>Tagliabue, A; Bopp, L; Dutay, JC; Bowie, AR; Chever, F; Jean-Baptiste, P; Bucciarelli, E; Lannuzel, D; Remenyi, T; Sarthou, G; Aumont, O; Gehlen, M; Jeandel, C</t>
  </si>
  <si>
    <t>Tagliabue, Alessandro; Bopp, Laurent; Dutay, Jean-Claude; Bowie, Andrew R.; Chever, Fanny; Jean-Baptiste, Philippe; Bucciarelli, Eva; Lannuzel, Delphine; Remenyi, Tomas; Sarthou, Geraldine; Aumont, Olivier; Gehlen, Marion; Jeandel, Catherine</t>
  </si>
  <si>
    <t>Hydrothermal contribution to the oceanic dissolved iron inventory</t>
  </si>
  <si>
    <t>NATURE GEOSCIENCE</t>
  </si>
  <si>
    <t>CIRCULATION; BIOGEOCHEMISTRY; ENRICHMENT; PACIFIC; FLUXES; FE</t>
  </si>
  <si>
    <t>Iron limits phytoplankton growth and hence the biological carbon pump in the Southern Ocean(1). Models assessing the impacts of iron on the global carbon cycle generally rely on dust input and sediment resuspension as the predominant sources(2,3). Although it was previously thought that most iron from deep-ocean hydrothermal activity was inaccessible to phytoplankton because of the formation of particulates(4), it has been suggested that iron from hydrothermal activity(5-7) may be an important source of oceanic dissolved iron(8-13). Here we use a global ocean model to assess the impacts of an annual dissolved iron flux of approximately 9 x 10(8) mol, as estimated from regional observations of hydrothermal activity(11,12), on the dissolved iron inventory of the world's oceans. We find the response to the input of hydrothermal dissolved iron is greatest in the Southern Hemisphere oceans. In particular, observations of the distribution of dissolved iron in the Southern Ocean(3) (Chever et al., manuscript in preparation; Bowie et al., manuscript in preparation) can be replicated in our simulations only when our estimated iron flux from hydrothermal sources is included. As the hydrothermal flux of iron is relatively constant over millennial timescales(14), we propose that hydrothermal activity can buffer the oceanic dissolved iron inventory against shorter-term fluctuations in dust deposition.</t>
  </si>
  <si>
    <t>[Tagliabue, Alessandro; Bopp, Laurent; Dutay, Jean-Claude; Jean-Baptiste, Philippe; Gehlen, Marion] IPSL, Lab Sci Climat &amp; Environm, CEA, CNRS,UVSQ Orme Merisiers, F-91191 Gif Sur Yvette, France; [Tagliabue, Alessandro] UPMC, Lab Oceanog &amp; Climat Experimentat &amp; Approches Num, IPSL, MHNH,IRD,CNRS, F-75005 Paris, France; [Bowie, Andrew R.; Lannuzel, Delphine; Remenyi, Tomas] Univ Tasmania, Antarctic Climate &amp; Ecosyst CRC, Hobart, Tas 7001, Australia; [Chever, Fanny; Bucciarelli, Eva; Sarthou, Geraldine] Univ Brest, Univ Europeenne Bretagne, CNRS, IRD,LEMAR,IUEM,UMR 6539, F-29280 Plouzane, France; [Lannuzel, Delphine] Univ Tasmania, Ctr Marine Sci, Hobart, Tas 7001, Australia; [Aumont, Olivier] Ctr IRD Bretagne, Lab Phys Oceans, F-29280 Plouzane, France; [Jeandel, Catherine] Observ Midi Pyrenees, LEGOS, CNES, CNRS,UPS,IRD, F-31400 Toulouse, France</t>
  </si>
  <si>
    <t>Universite Paris Saclay; CEA; Centre National de la Recherche Scientifique (CNRS); Universite Paris Cite; Institut de Recherche pour le Developpement (IRD); Museum National d'Histoire Naturelle (MNHN); Sorbonne Universite; Universite Paris Cite; Centre National de la Recherche Scientifique (CNRS); University of Tasmania; Centre National de la Recherche Scientifique (CNRS); Ifremer; Institut de Recherche pour le Developpement (IRD); CNRS - Institute of Ecology &amp; Environment (INEE); Universite de Bretagne Occidentale; Institut Universitaire Europeen de la Mer (IUEM); University of Tasmania; Universite de Bretagne Occidentale; Centre National de la Recherche Scientifique (CNRS); Ifremer; Institut de Recherche pour le Developpement (IRD); Universite de Toulouse; Universite Toulouse III - Paul Sabatier; Centre National de la Recherche Scientifique (CNRS); Institut de Recherche pour le Developpement (IRD); Laboratoire d'Etudes en Geophysique et oceanographie spatiales</t>
  </si>
  <si>
    <t>Tagliabue, A (corresponding author), IPSL, Lab Sci Climat &amp; Environm, CEA, CNRS,UVSQ Orme Merisiers, F-91191 Gif Sur Yvette, France.</t>
  </si>
  <si>
    <t>alessandro.tagliabue@lsce.ipsl.fr</t>
  </si>
  <si>
    <t>Jeandel, Catherine/P-3789-2014; bopp, laurent/ABF-5302-2020; Aumont, Olivier/G-5207-2016; Bowie, Andrew/C-8677-2013; lannuzel, delphine/J-7937-2014</t>
  </si>
  <si>
    <t>Jeandel, Catherine/0000-0002-4915-4719; bopp, laurent/0000-0003-4732-4953; Aumont, Olivier/0000-0003-3954-506X; Sarthou, Geraldine/0000-0001-6560-6669; Gehlen, Marion/0000-0002-9688-0692; Tagliabue, Alessandro/0000-0002-3572-3634; Bowie, Andrew/0000-0002-5144-7799; Remenyi, Tomas/0000-0002-4145-9323; lannuzel, delphine/0000-0001-6154-1837</t>
  </si>
  <si>
    <t>European Commission [GOCE-511176]; CNRS (France); International Polar Year GEOTRACES; Australian Government's Cooperative Research Centres Programme through the Antarctic Climate and Ecosystems CRC (ACECRC); Australian Antarctic Division [AAS 2900]; GENCI-IDRIS [2009-10040]</t>
  </si>
  <si>
    <t>European Commission(European Union (EU)European Commission Joint Research Centre); CNRS (France)(Centre National de la Recherche Scientifique (CNRS)); International Polar Year GEOTRACES; Australian Government's Cooperative Research Centres Programme through the Antarctic Climate and Ecosystems CRC (ACECRC)(Australian GovernmentDepartment of Industry, Innovation and ScienceCooperative Research Centres (CRC) Programme); Australian Antarctic Division; GENCI-IDRIS</t>
  </si>
  <si>
    <t>We acknowledge financial support from grant GOCE-511176 (EU FP6 RTP project CARBOOCEAN) funded by the European Commission, CNRS (France), International Polar Year GEOTRACES, the Australian Government's Cooperative Research Centres Programme through the Antarctic Climate and Ecosystems CRC (ACECRC) and the Australian Antarctic Division (project AAS 2900). This work was carried out using HPC resources from GENCI-IDRIS (Grant 2009-10040). We thank the captains and crew of the Aurora Australia and Marion Dufrense for their assistance at sea, A. Lenton, J. Orr, N. Flipo, W. Howard and P. van der Merwe for comments, J .K. Moore for providing the Southern Ocean sediment iron in put from the BEC model and E. Butler and R. Watson for help in collecting the samples along the SR3-GEOTRACES transect.</t>
  </si>
  <si>
    <t>NATURE PUBLISHING GROUP</t>
  </si>
  <si>
    <t>75 VARICK ST, 9TH FLR, NEW YORK, NY 10013-1917 USA</t>
  </si>
  <si>
    <t>1752-0894</t>
  </si>
  <si>
    <t>1752-0908</t>
  </si>
  <si>
    <t>NAT GEOSCI</t>
  </si>
  <si>
    <t>Nat. Geosci.</t>
  </si>
  <si>
    <t>10.1038/NGEO818</t>
  </si>
  <si>
    <t>576QB</t>
  </si>
  <si>
    <t>WOS:000276159600015</t>
  </si>
  <si>
    <t>Rey, PF; Müller, RD</t>
  </si>
  <si>
    <t>Rey, P. F.; Mueller, R. D.</t>
  </si>
  <si>
    <t>Fragmentation of active continental plate margins owing to the buoyancy of the mantle wedge</t>
  </si>
  <si>
    <t>METAMORPHIC CORE COMPLEX; NEW-ZEALAND; ISLAND; PACIFIC; ZONE; AUSTRALIA; BATHOLITH; HISTORY; BASIN; WEST</t>
  </si>
  <si>
    <t>Cordilleran-type orogens are characterized by the formation of mountain chains and ridges near subduction zones. The growth of orogenic systems is sustained by frictional and viscous stresses, which promote surface uplift. However, horizontal extensional stresses(1) also develop, which can contribute to the formation of marginal basins(1) and gravitational orogenic collapse(2). Here we use a numerical model to assess the effects of the buoyancy of the mantle wedge overlying the subduction zone on the evolution of Cordilleran orogenic systems. Our simulations show that as the subduction velocity decreases, stresses from the buoyancy of the mantle wedge can drive trench retreat and the formation of marginal basins. We find that ultimately, these stresses promote the gravitational collapse of the orogen, detachment of microplates and the break-up of active plate margins. We suggest that the effects of mantle-wedge buoyancy could explain the collapse of the East Gondwana Cordillera(3), constructed along the edge of the Australia/East Antarctic craton as the Gondwana and Pacific-Phoenix plates converged(4-7). We propose that 10590 million years (Myr) ago, a change in the absolute plate motion reduced the subduction velocity, ultimately triggering the gravitational collapse of the orogen and the fragmentation of the active margin.</t>
  </si>
  <si>
    <t>[Rey, P. F.; Mueller, R. D.] Univ Sydney, EarthByte Res Grp, Sch Geosci, Sydney, NSW 2006, Australia</t>
  </si>
  <si>
    <t>University of Sydney</t>
  </si>
  <si>
    <t>Rey, PF (corresponding author), Univ Sydney, EarthByte Res Grp, Sch Geosci, Sydney, NSW 2006, Australia.</t>
  </si>
  <si>
    <t>patrice.rey@sydney.edu.au</t>
  </si>
  <si>
    <t>Rey, Patrice F/B-2085-2013; Müller, Dietmar/L-1200-2019</t>
  </si>
  <si>
    <t>Müller, Dietmar/0000-0002-3334-5764; Rey, Patrice/0000-0002-1767-8593</t>
  </si>
  <si>
    <t>AUSCOPE-NCRIS; Computational Infrastructure for Geodynamics; Australian Research Council [ARC-A00103441, ARC-DP 0987608]</t>
  </si>
  <si>
    <t>AUSCOPE-NCRIS(Australian GovernmentDepartment of Industry, Innovation and Science); Computational Infrastructure for Geodynamics; Australian Research Council(Australian Research Council)</t>
  </si>
  <si>
    <t>This work was supported by AUSCOPE-NCRIS and Computational Infrastructure for Geodynamics software infrastructure. P. F. R. thanks the Australian Research Council for supporting this research through grant ARC-A00103441 and ARC-DP 0987608.</t>
  </si>
  <si>
    <t>10.1038/NGEO825</t>
  </si>
  <si>
    <t>WOS:000276159600016</t>
  </si>
  <si>
    <t>van Ommen, TD; Morgan, V</t>
  </si>
  <si>
    <t>van Ommen, Tas D.; Morgan, Vin</t>
  </si>
  <si>
    <t>Snowfall increase in coastal East Antarctica linked with southwest Western Australian drought</t>
  </si>
  <si>
    <t>INTERNATIONAL GEOPHYSICAL YEAR; LAW-DOME; ICE CORE; CLIMATE VARIABILITY; SURFACE TEMPERATURES; WINTER RAINFALL; CIRCULATION; ACCUMULATION; MODELS; TRENDS</t>
  </si>
  <si>
    <t>The southwest corner of Western Australia has been subject to a serious drought in recent decades. A range of factors, such as natural variability and changes in land use, ocean temperatures and atmospheric circulation, have been implicated in this drought, but the ultimate cause and the relative importance of the various factors remain unclear. Here we report a significant inverse correlation between the records of precipitation at Law Dome, East Antarctica and southwest Western Australia over the instrumental period, including the most recent decades. This relationship accounts for up to 40% of the variability on interannual to decadal timescales, and seems to be driven by the meridional circulation south of Australia that simultaneously produces a northward flow of relatively cool, dry air to southwest Western Australia and a southward flow of warm, moist air to East Antarctica. This pattern of meridional flow is consistent with some projections of circulation changes arising from anthropogenic climate change. The precipitation anomaly of the past few decades in Law Dome is the largest in 750 years, and lies outside the range of variability for the record as a whole, suggesting that the drought in Western Australia may be similarly unusual.</t>
  </si>
  <si>
    <t>[van Ommen, Tas D.] Univ Tasmania, Australian Antarctic Div, Hobart, Tas 7001, Australia; Univ Tasmania, Antarctic Climate &amp; Ecosyst Cooperat Res Ctr, Hobart, Tas 7001, Australia</t>
  </si>
  <si>
    <t>Australian Antarctic Division; University of Tasmania; Antarctic Climate &amp; Ecosystems Cooperative Research Centre (ACE CRC); University of Tasmania</t>
  </si>
  <si>
    <t>van Ommen, TD (corresponding author), Univ Tasmania, Australian Antarctic Div, Private Bag 80, Hobart, Tas 7001, Australia.</t>
  </si>
  <si>
    <t>tas.van.ommen@aad.gov.au</t>
  </si>
  <si>
    <t>van Ommen, Tas/B-5020-2012</t>
  </si>
  <si>
    <t>van Ommen, Tas/0000-0002-2463-1718</t>
  </si>
  <si>
    <t>10.1038/NGEO761</t>
  </si>
  <si>
    <t>WOS:000276159600018</t>
  </si>
  <si>
    <t>Sallée, JB; Speer, KG; Rintoul, SR</t>
  </si>
  <si>
    <t>Sallee, J. B.; Speer, K. G.; Rintoul, S. R.</t>
  </si>
  <si>
    <t>Zonally asymmetric response of the Southern Ocean mixed-layer depth to the Southern Annular Mode</t>
  </si>
  <si>
    <t>ANTARCTIC CIRCUMPOLAR CURRENT; CLIMATE-CHANGE; INTERMEDIATE WATER; VARIABILITY; HEMISPHERE; CIRCULATION; ATMOSPHERE; VENTILATION; SUBDUCTION; SINK</t>
  </si>
  <si>
    <t>Interactions between the atmosphere and ocean are mediated by the mixed layer at the ocean surface. The depth of this layer is determined by wind forcing and heating from the atmosphere. Variations in mixed-layer depth affect the rate of exchange between the atmosphere and deeper ocean, the capacity of the ocean to store heat and carbon and the availability of light and nutrients to support the growth of phytoplankton. However, the response of the Southern Ocean mixed layer to changes in the atmosphere is not well known. Here we analyse temperature and salinity data from Argo profiling floats to show that the Southern Annular Mode (SAM), the dominant mode of atmospheric variability in the Southern Hemisphere, leads to large-scale anomalies in mixed-layer depth that are zonally asymmetric. From a simple heat budget of the mixed layer we conclude that meridional winds associated with departures of the SAM from zonal symmetry cause anomalies in heat flux that can, in turn, explain the observed changes of mixed-layer depth and sea surface temperature. Our results suggest that changes in the SAM, including recent and projected trends attributed to human activity, drive variations in Southern Ocean mixed-layer depth, with consequences for air-sea exchange, ocean sequestration of heat and carbon, and biological productivity.</t>
  </si>
  <si>
    <t>[Sallee, J. B.; Rintoul, S. R.] Castray Esplanade, CAWCR, CMAR, CSIRO, Hobart, Tas 7000, Australia; [Speer, K. G.] Florida State Univ, Tallahassee, FL 32306 USA</t>
  </si>
  <si>
    <t>Commonwealth Scientific &amp; Industrial Research Organisation (CSIRO); State University System of Florida; Florida State University</t>
  </si>
  <si>
    <t>Sallée, JB (corresponding author), Castray Esplanade, CAWCR, CMAR, CSIRO, Hobart, Tas 7000, Australia.</t>
  </si>
  <si>
    <t>jbsallee@gmail.com</t>
  </si>
  <si>
    <t>sallée, jean-baptiste/A-5837-2010; Rintoul, Stephen R/A-1471-2012; SALLEE, Jean baptiste/HDO-5355-2022</t>
  </si>
  <si>
    <t>Rintoul, Stephen R/0000-0002-7055-9876;</t>
  </si>
  <si>
    <t>NSF [OCE-0822075, OCE-0612167, OCE-0622670]; CSIRO; Australian Government's Cooperative Research Centres Programme through the Antarctic Climate and Ecosystems Cooperative Research Centre (ACE-CRC); Oceans National Research Flagship</t>
  </si>
  <si>
    <t>NSF(National Science Foundation (NSF)); CSIRO(Commonwealth Scientific &amp; Industrial Research Organisation (CSIRO)); Australian Government's Cooperative Research Centres Programme through the Antarctic Climate and Ecosystems Cooperative Research Centre (ACE-CRC)(Australian GovernmentDepartment of Industry, Innovation and ScienceCooperative Research Centres (CRC) Programme); Oceans National Research Flagship</t>
  </si>
  <si>
    <t>We acknowledge the role of Jeff Dunn in developing and making available the loess fitting method. K. G. S. received support from NSF OCE-0822075, OCE-0612167 and OCE-0622670. J. B. S. was supported by a CSIRO Office of the Chief Executive (OCE) postdoctoral fellowship. S. R. R. was supported by the Australian Government's Cooperative Research Centres Programme through the Antarctic Climate and Ecosystems Cooperative Research Centre (ACE-CRC). J. B. S. and S. R. R. were also supported by the CSIRO Wealth from Oceans National Research Flagship. This study has benefited from discussions with R. Matear, A. Lenton, N. Cassar and P. Boyd.</t>
  </si>
  <si>
    <t>10.1038/NGEO812</t>
  </si>
  <si>
    <t>WOS:000276159600019</t>
  </si>
  <si>
    <t>Morgenstern, U; Fifield, LK; Tims, SG; Ditchburn, RG</t>
  </si>
  <si>
    <t>Morgenstern, Uwe; Fifield, L. Keith; Tims, Stephen G.; Ditchburn, Robert G.</t>
  </si>
  <si>
    <t>Progress in AMS measurement of natural 32Si for glacier ice dating</t>
  </si>
  <si>
    <t>NUCLEAR INSTRUMENTS &amp; METHODS IN PHYSICS RESEARCH SECTION B-BEAM INTERACTIONS WITH MATERIALS AND ATOMS</t>
  </si>
  <si>
    <t>11th International Conference on Accelerator Mass Spectrometry</t>
  </si>
  <si>
    <t>SEP 14-19, 2008</t>
  </si>
  <si>
    <t>Rome, ITALY</t>
  </si>
  <si>
    <t>Silicon-32; Ice core dating; Cosmogenic isotope; Geochronology; AMS</t>
  </si>
  <si>
    <t>AMS measurement of Si-32 can allow for ice core dating over the last thousand years. Technique developments are reported. Necessary negative-ion yields of 20-30% can now be consistently achieved, and permit an overall efficiency from ice sample to detector of similar to 1%. A Si-30-spike technique has overcome the problem of extremely low intrinsic silicon concentration, with the added benefit of allowing determination of ppb-level silicon via isotope dilution. Improvements have also been made to the ionization detector in the gas-filled magnet that separates the accelerated Si-32 ions from the intense flux of S-32 ions. Preliminary Si-32 AMS results of snow and ice samples from Mt. Cook National Park, New Zealand, are reproducible, and with Si-32 concentrations 1.2-7.2 mBq/m(3) comparable to results from mid-latitude snow samples measured previously via the radiometric technique, demonstrating the feasibility of the method. With these developments, the potential of Si-32 as ice core dating tool is close to being realized, and attempts to determine chronologies for both alpine and Antarctic glaciers are underway. (C) 2009 Elsevier B.V. All rights reserved.</t>
  </si>
  <si>
    <t>[Morgenstern, Uwe; Ditchburn, Robert G.] Natl Isotope Ctr, GNS Sci, Lower Hutt, New Zealand; [Fifield, L. Keith; Tims, Stephen G.] Australian Natl Univ, Dept Nucl Phys, RSPhysSE, Canberra, ACT 0200, Australia</t>
  </si>
  <si>
    <t>GNS Science - New Zealand; Australian National University</t>
  </si>
  <si>
    <t>Morgenstern, U (corresponding author), Natl Isotope Ctr, GNS Sci, POB 30368, Lower Hutt, New Zealand.</t>
  </si>
  <si>
    <t>u.morgenstern@gns.cri.nz</t>
  </si>
  <si>
    <t>Tims, Stephen/P-6505-2015</t>
  </si>
  <si>
    <t>Tims, Stephen/0000-0001-6014-0126</t>
  </si>
  <si>
    <t>0168-583X</t>
  </si>
  <si>
    <t>NUCL INSTRUM METH B</t>
  </si>
  <si>
    <t>Nucl. Instrum. Methods Phys. Res. Sect. B-Beam Interact. Mater. Atoms</t>
  </si>
  <si>
    <t>10.1016/j.nimb.2009.10.019</t>
  </si>
  <si>
    <t>Instruments &amp; Instrumentation; Nuclear Science &amp; Technology; Physics, Atomic, Molecular &amp; Chemical; Physics, Nuclear</t>
  </si>
  <si>
    <t>Instruments &amp; Instrumentation; Nuclear Science &amp; Technology; Physics</t>
  </si>
  <si>
    <t>593NI</t>
  </si>
  <si>
    <t>WOS:000277462300015</t>
  </si>
  <si>
    <t>Haussmann, N; Aldahan, A; Boelhouwers, J; Possnert, G</t>
  </si>
  <si>
    <t>Haussmann, N.; Aldahan, A.; Boelhouwers, J.; Possnert, G.</t>
  </si>
  <si>
    <t>10Be application to soil development on Marion Island, southern Indian Ocean</t>
  </si>
  <si>
    <t>Be-10; Sub-Antarctic; Azorella selago</t>
  </si>
  <si>
    <t>Marion Island, located in the southern Indian Ocean, constitutes the summit of an active shield volcano. It is a small terrestrial environment where glacially abraded bedrock became exposed c x 10 kyr ago. These conditions provide an interesting possibility for the assessment of Be-10 accumulation rates and their application to soil erosion studies on the island. Be-10 concentrations were measured in precipitation, soil profiles and an Azorella selago cushion plant. The data reveal a Be-10 precipitation flux several times higher than model prediction. Estimation of the Be-10 accumulation based on the soil inventory suggests a span between 2000 and 7000 yr. This time span is not in accordance with the accepted notion that the island was covered with ice about 10,000 yr ago and suggests either removal of Be-10 from the soil profile, an overestimated Holocene Be-10-flux or a delayed soil development history. Our results provide new data on Be-10 concentrations from the sub-Antarctic islands and contribute towards enlarging the southern-hemisphere Be-10 database. (C) 2009 Elsevier B.V. All rights reserved.</t>
  </si>
  <si>
    <t>[Aldahan, A.; Boelhouwers, J.] Uppsala Univ, Dept Earth Sci, S-75236 Uppsala, Sweden; [Haussmann, N.] Univ Stellenbosch, Dept Conservat Ecol &amp; Entomol, ZA-7602 Matieland, South Africa; [Possnert, G.] Uppsala Univ, Dept Engn Sci, Tandem Lab, S-75236 Uppsala, Sweden; [Aldahan, A.] United Arab Emirates Univ, Dept Geol, Al Ain, U Arab Emirates</t>
  </si>
  <si>
    <t>Uppsala University; Stellenbosch University; Uppsala University; United Arab Emirates University</t>
  </si>
  <si>
    <t>Aldahan, A (corresponding author), Uppsala Univ, Dept Earth Sci, Villavagen 16, S-75236 Uppsala, Sweden.</t>
  </si>
  <si>
    <t>ala.aldahan@geo.uu.se</t>
  </si>
  <si>
    <t>Haussmann, Natalie/A-5665-2011; Haussmann, Natalie/AFK-4732-2022</t>
  </si>
  <si>
    <t>Haussmann, Natalie/0000-0002-0314-0266</t>
  </si>
  <si>
    <t>10.1016/j.nimb.2009.10.097</t>
  </si>
  <si>
    <t>WOS:000277462300092</t>
  </si>
  <si>
    <t>Campo, S; Nastasi, G; Fedeli, D; D'Ascola, A; Campo, GM; Avenoso, A; Ferlazzo, A; Calatroni, A; Falcioni, G</t>
  </si>
  <si>
    <t>Campo, Salvatore; Nastasi, Giancarlo; Fedeli, Donatella; D'Ascola, Angela; Campo, Giuseppe M.; Avenoso, Angela; Ferlazzo, Alida; Calatroni, Alberto; Falcioni, Giancarlo</t>
  </si>
  <si>
    <t>Molecular Cloning and Characterization of Adult Sparus aurata Hemoglobin Genes</t>
  </si>
  <si>
    <t>OMICS-A JOURNAL OF INTEGRATIVE BIOLOGY</t>
  </si>
  <si>
    <t>AMINO-ACID-SEQUENCE; CRYSTAL-STRUCTURE; GLOBIN GENES; ALPHA-GLOBIN; EVOLUTION; FISHES; ORGANIZATION; PHYLOGENIES; MECHANISMS; EXPRESSION</t>
  </si>
  <si>
    <t>Among Teleosts, Sparus aurata occupies a prominent place in the gastronomic and economic fields of the Mediterranean basin and other geographic districts. The knowledge of its molecular structures and functional features, such as hemoglobin, may be helpful to understand the adaptive biochemical mechanisms that allow this fish to live under extreme conditions, including fish farming. In Sparus aurata red blood cells two different alpha and one beta hemoglobin genes have been identified. The alpha 1 gene codifies a putative protein of 144 amino acids, the alpha 2 gene produces a protein of 143 amino acids, and the beta gene encodes a chain of 148 amino acids. Comparative analysis of various hemoglobins indicates that allosteric regulation can be modified by the substitution of one or a few key residues. The comparison of the percentage sequence differences for alpha and beta chains in fishes indicates that evolutionary relationships between different species may be helpful to understand the mechanisms of their differentiation from other vertebrates. Hemoglobin alpha and beta chains of about 50 teleostean temperate and Antarctic fishes were analyzed to build phylogenetic trees using different algorithms: the neighbor-joining method, the maximum likelihood approach, and the Bayesian inference computation. Sparus aurata alpha chains are positioned in a paraphyletic cluster, which includes the same subunit of Chrysophrys auratus and Seriola quinqueradiata, whereas the beta chain is on an homophyletic branch with that of Chrysophrys auratus. Therefore, the phylogenetic approach suggests that both Sparus aurata hemoglobin alpha genes are paralogues and may have derived from a duplication event.</t>
  </si>
  <si>
    <t>[Campo, Salvatore; Nastasi, Giancarlo; D'Ascola, Angela; Campo, Giuseppe M.; Avenoso, Angela; Calatroni, Alberto] Univ Messina, Dept Biochem Physiol &amp; Nutr Sci, Sch Med, Messina, Italy; [Fedeli, Donatella; Falcioni, Giancarlo] Univ Camerino, Dept MCA Biol, I-62032 Camerino, MC, Italy; [Ferlazzo, Alida] Univ Messina, Dept MoBiPhyPA, Sch Vet Med, Messina, Italy</t>
  </si>
  <si>
    <t>University of Messina; University of Camerino; University of Messina</t>
  </si>
  <si>
    <t>Campo, S (corresponding author), Policlin Univ, Via Consolare Valeria 1,Torre Biol 5 Piano, I-98125 Messina, Italy.</t>
  </si>
  <si>
    <t>scampo@unime.it</t>
  </si>
  <si>
    <t>Campo, Giuseppe Maurizio/G-5419-2011</t>
  </si>
  <si>
    <t>Campo, Giuseppe Maurizio/0000-0002-5106-4763; d'ascola, angela/0000-0001-7530-1316; CAMPO, Salvatore/0000-0002-7955-8917</t>
  </si>
  <si>
    <t>MARY ANN LIEBERT, INC</t>
  </si>
  <si>
    <t>NEW ROCHELLE</t>
  </si>
  <si>
    <t>140 HUGUENOT STREET, 3RD FL, NEW ROCHELLE, NY 10801 USA</t>
  </si>
  <si>
    <t>1536-2310</t>
  </si>
  <si>
    <t>1557-8100</t>
  </si>
  <si>
    <t>OMICS</t>
  </si>
  <si>
    <t>10.1089/omi.2009.0098</t>
  </si>
  <si>
    <t>Biotechnology &amp; Applied Microbiology; Genetics &amp; Heredity</t>
  </si>
  <si>
    <t>581FR</t>
  </si>
  <si>
    <t>WOS:000276507500007</t>
  </si>
  <si>
    <t>Krishna, MS; Sarma, NS; Pasha, SG; Venu, KG</t>
  </si>
  <si>
    <t>Krishna, Moturi S.; Sarma, Nittala S.; Pasha, Sk G.; Venu, K. G.</t>
  </si>
  <si>
    <t>Aspartic acid geochronology of sediments from the ocean margin off of India</t>
  </si>
  <si>
    <t>ORGANIC GEOCHEMISTRY</t>
  </si>
  <si>
    <t>LAST 350 YEARS; AMINO-ACIDS; MARINE-SEDIMENTS; PLANKTONIC-FORAMINIFERA; SPONTANEOUS DEGRADATION; PROTEIN DIAGENESIS; RACEMIZATION; RESIDUES; QUATERNARY; KINETICS</t>
  </si>
  <si>
    <t>Aspartic acid racemization was studied in the clay and coarse fractions of sediments from southwestern Bay of Bengal (Core 1) in order to understand the role of terrestrial organic matter in the amino acid geochronology of Indian marginal sediments Conventional radiocarbon ages were determined for the coarse carbonate fraction (&gt;25 mu m) of sediments, the core covering an age back to similar to 40 kyr BP Aspartic acid racemization rate constants (k(asp)) were calculated for clay and coarse fractions of bulk sediments using a first order kinetic model and three horizons with constant k(asp) values were identified, corresponding to the periods from 0 to 5.5 kyr, 5.5 to 19 kyr and &gt;19 kyr Best fit models of high significance were derived nom the relationship between aspartic acid D/L ratio and calibrated radiocarbon ages as an alternative to racemization rate constants To test the applicability of these first order kinetic and logarithmic models derived for Core 1, they were used to calculate ages for another sediment core (Core 2), calculated aspartic acid ages being consistent with radiocarbon ages However, the logarithmic model gave better results than the first order kinetic model for older samples, suggesting that the logarithmic model is a better choice for the amino acid geochronology of Indian margin sediments For both sediment fractions, aspartic acid ages based on the logarithmic model gave similar ages, consistent with radiocarbon ages and suggesting that there is no significant difference in aspartic acid racemization between both fractions of bulk sediment. As a result, the clay fraction can also be used for amino acid dating of Indian margin sediments. (C) 2009 Elsevier Ltd All rights reserved.</t>
  </si>
  <si>
    <t>[Krishna, Moturi S.; Sarma, Nittala S.; Pasha, Sk G.; Venu, K. G.] Andhra Univ, Sch Chem, Marine Chem Lab, Visakhapatnam 530003, Andhra Pradesh, India</t>
  </si>
  <si>
    <t>Andhra University</t>
  </si>
  <si>
    <t>Krishna, MS (corresponding author), Andhra Univ, Sch Chem, Marine Chem Lab, Visakhapatnam 530003, Andhra Pradesh, India.</t>
  </si>
  <si>
    <t>Ministry of Earth Science (MoES), New Delhi; National Centre for Antarctic and Ocean Research, Goa; The Council of Scientific and Industrial Research (CSIR); The Department of Science &amp; Technology (DST)</t>
  </si>
  <si>
    <t>Ministry of Earth Science (MoES), New Delhi; National Centre for Antarctic and Ocean Research, Goa; The Council of Scientific and Industrial Research (CSIR)(Council of Scientific &amp; Industrial Research (CSIR) - India); The Department of Science &amp; Technology (DST)(Department of Science &amp; Technology (India))</t>
  </si>
  <si>
    <t>The authors acknowledge the Ministry of Earth Science (MoES), New Delhi for financial assistance in the form of a project (to N.S S.) and the National Centre for Antarctic and Ocean Research, Goa for providing shipboard facilities. The Council of Scientific and Industrial Research (CSIR) is also acknowledged for providing Senior Research Fellowships to M.S.R.K. and Sk.G.P. The Department of Science &amp; Technology (DST) is also acknowledged for providing financial assistance in the form of a project to M.S.R.K. We also thank the anonymous reviewers for their critical comments and valuable suggestions that helped improve the manuscript significantly.</t>
  </si>
  <si>
    <t>0146-6380</t>
  </si>
  <si>
    <t>ORG GEOCHEM</t>
  </si>
  <si>
    <t>Org. Geochem.</t>
  </si>
  <si>
    <t>10.1016/j.orggeochem.2009.12.006</t>
  </si>
  <si>
    <t>576OY</t>
  </si>
  <si>
    <t>WOS:000276155500004</t>
  </si>
  <si>
    <t>Jaraula, CMB; Brassell, SC; Morgan-Kiss, RM; Doran, PT; Kenig, F</t>
  </si>
  <si>
    <t>Jaraula, Caroline M. B.; Brassell, Simon C.; Morgan-Kiss, Rachael M.; Doran, Peter T.; Kenig, Fabien</t>
  </si>
  <si>
    <t>Origin and tentative identification of tri to pentaunsaturated ketones in sediments from Lake Fryxell, East Antarctica</t>
  </si>
  <si>
    <t>LONG-CHAIN-ALKENONES; RADICAL OXIDATION AUTOXIDATION; DRY VALLEY LAKES; GEPHYROCAPSA-OCEANICA; ISOCHRYSIS-GALBANA; ALKYL ALKENOATES; TEMPERATURE; LIPIDS; MARINE; DISTRIBUTIONS</t>
  </si>
  <si>
    <t>Chromatographic and mass spectrometric analysis of surface sediments from perennially ice-covered Lake Fryxell (McMurdo Dry Valleys, East Antarctica) enabled tentative identification from mass spectral data of previously unreported pentaunsaturated ketones, octatriacontapentaen-2-one (C-38 Me-5), nonatriacontapentaen-3-one (C-39 Et-5) and tetradecapentaen-2-one (C-40 Me-5) In addition, the C-37, C-38 and C-40 alkenones occur as di, tri and tetraunsaturated compounds, whereas the C-39 alkenones only include the tetraunsaturated components Analysis of environmental DNA extracted from the water column of Lake Fryxell produced two 18S rDNA sequences closely related to Isochrysis spp, Chrysotila lamellosa and haptophyte sequences previously recognized in sediment samples collected from a Greenland lake and from Ace Lake, Antarctica. Based on the alkenone distribution, coupled with phylogenetic data, we propose that haptophytes related to Isochrysis and/or C lamellosa are the source organisms of alkenones in Lake Fryxell. The occurrence of pentaunsatured alkenones may represent a response to the year-round cold water temperature (ca. 1 degrees C average), likely combined with oxygen supersaturation and growth under light- and nutrient-limited conditions in the upper water column (C) 2009 Elsevier Ltd. All rights reserved</t>
  </si>
  <si>
    <t>[Jaraula, Caroline M. B.; Doran, Peter T.; Kenig, Fabien] Univ Illinois, Dept Earth &amp; Environm Sci, Chicago, IL 60607 USA; [Brassell, Simon C.] Indiana Univ, Dept Geol Sci, Bloomington, IN 47405 USA; [Morgan-Kiss, Rachael M.] Miami Univ, Dept Microbiol, Oxford, OH 45056 USA</t>
  </si>
  <si>
    <t>University of Illinois System; University of Illinois Chicago; University of Illinois Chicago Hospital; Indiana University System; Indiana University Bloomington; University System of Ohio; Miami University</t>
  </si>
  <si>
    <t>Kenig, F (corresponding author), Univ Illinois, Dept Earth &amp; Environm Sci, M-C 186,845 W Taylor St, Chicago, IL 60607 USA.</t>
  </si>
  <si>
    <t>Brassell, SImon C/H-4970-2011; Kenig, Fabien/A-4961-2008; Jaraula, Caroline Marie/GRZ-0905-2022</t>
  </si>
  <si>
    <t>Kenig, Fabien/0000-0003-4868-5232; Jaraula, Caroline M. B./0000-0003-3062-1900; Morgan-kiss, Rachael/0000-0003-4783-5358</t>
  </si>
  <si>
    <t>National Science Foundation [SGER 0346316, LTER 0423595]; University of Illinois at Chicago Institute of Environmental Science and Policy</t>
  </si>
  <si>
    <t>National Science Foundation(National Science Foundation (NSF)); University of Illinois at Chicago Institute of Environmental Science and Policy</t>
  </si>
  <si>
    <t>The project was supported by the Office of Polar Programs of the National Science Foundation (Antarctic Biology and Medicine SGER 0346316, LTER 0423595) to P.D. and F.K. and (NSF-OPP0631494) to R.M.-K A and a fellowship from the University of Illinois at Chicago Institute of Environmental Science and Policy to C.J. The authors would like to thank B. Kingham at the University of Delaware sequencing facility. Yongsong Huang and W. D'Andrea for providing the Greenland haptophyte DNA sequences, as well as T. Chung and M. Muccianti for help in the laboratory. K Rodolfo and J. Priscu are acknowledged for editing the manuscript. We also thank J.-F. Rontani and J. Volkman whose constructive comments and suggestions helped improve this manuscript</t>
  </si>
  <si>
    <t>1873-5290</t>
  </si>
  <si>
    <t>10.1016/j.orggeochem.2009.12.004</t>
  </si>
  <si>
    <t>WOS:000276155500006</t>
  </si>
  <si>
    <t>Vieira, G; Bockheim, J; Guglielmin, M; Balks, M; Abramov, AA; Boelhouwers, J; Cannone, N; Ganzert, L; Gilichinsky, DA; Gotyachkin, S; López-Martínez, J; Meiklejohn, I; Raffi, R; Ramos, M; Schaefer, C; Serrano, E; Simas, F; Sletten, R; Wagner, D</t>
  </si>
  <si>
    <t>Vieira, Goncalo; Bockheim, James; Guglielmin, Mauro; Balks, Megan; Abramov, Andrey A.; Boelhouwers, Jan; Cannone, Nicoletta; Ganzert, Lars; Gilichinsky, David A.; Gotyachkin, Sergey; Lopez-Martinez, Jeronimo; Meiklejohn, Ian; Raffi, Rossana; Ramos, Miguel; Schaefer, Carlos; Serrano, Enrique; Simas, Felipe; Sletten, Ronald; Wagner, Dirk</t>
  </si>
  <si>
    <t>Thermal State of Permafrost and Active-layer Monitoring in the Antarctic: Advances During the International Polar Year 2007-2009</t>
  </si>
  <si>
    <t>PERMAFROST AND PERIGLACIAL PROCESSES</t>
  </si>
  <si>
    <t>permafrost temperature; active layer; Antarctica; IPY; ANTPAS</t>
  </si>
  <si>
    <t>MCMURDO DRY VALLEYS; LIVINGSTON ISLAND; CLIMATE-CHANGE</t>
  </si>
  <si>
    <t>Results obtained during the International Polar Year (IPY) on the thermal state of permafrost and the active layer in the Antarctic are presented, forming part of ANTPAS ('Antarctic Permafrost and Soils'), which was one of the key projects developed by the International Permafrost Association and the Scientific Committee for Antarctic Research for the IPY. The number of boreholes for permafrost and active-layer monitoring was increased from 21 to 73 during the IPY, while CALM-S sites to monitor the active layer were increased from 18 to 28. Permafrost temperatures during the IPY were slightly below 0 degrees C in the South Shetlands near sea-level, showing that this area is near the climatic boundary of permafrost and has the highest sensitivity to climate change in the region. Permafrost temperatures were much lower in continental Antarctica: from the coast to the interior and with increasing elevation they ranged between -13.3 degrees C and 18.6 degrees C in Northern Victoria Land, from -17.4 degrees C to -22.5 degrees C in the McMurdo Dry Valleys, and down to -23.6 degrees C at high elevation on Mount Fleming (Ross Island). Other monitored regions in continental Antarctica also showed cold permafrost: Queen Maud Land exhibited values down to -17.8 degrees C on nunataks, while in Novolazar-evskaya (Schirmacher Oasis) at 80 m a.s.l. the permafrost temperature was -8.3 degrees C. The coastal stations of Molodeznaya at Enderby Land showed permafrost temperatures of -9.8 degrees C, Larsemann Hills Progress Station in the Vestfold Hills region-recorded -8.5 degrees C, and Russkaya in Marie Byrd Land, 10.4 degrees C. This snapshot obtained during. the IPY shows that the range of ground temperatures in the Antarctic is greater than in the Arctic. Copyright (C) 2010 John Wiley &amp; Sons, Ltd.</t>
  </si>
  <si>
    <t>[Vieira, Goncalo] Univ Lisbon, Inst Geog &amp; Terr Planning, P-1699 Lisbon, Portugal; [Bockheim, James] Univ Wisconsin, Madison, WI 53706 USA; [Balks, Megan] Univ Waikato, Dept Earth &amp; Ocean Sci, Hamilton, New Zealand; [Boelhouwers, Jan] Uppsala Univ, Dept Social &amp; Econ Geog, Uppsala, Sweden; [Cannone, Nicoletta] Univ Ferrara, Dept Biol &amp; Evolut, I-44100 Ferrara, Italy; [Ganzert, Lars; Wagner, Dirk] Alfred Wegener Inst Polar &amp; Marine Res, Res Unit Potsdam, Bremerhaven, Germany; [Gotyachkin, Sergey] Russian Acad Sci, Inst Geog, Moscow 117901, Russia; [Lopez-Martinez, Jeronimo] Univ Autonoma Madrid, Dept Geol &amp; Geochem, E-28049 Madrid, Spain; [Meiklejohn, Ian] Rhodes Univ, Dept Geog, Grahamstown, South Africa; [Ramos, Miguel] Univ Alcala, Dept Phys, Alcala De Henares, Spain; [Schaefer, Carlos; Simas, Felipe] Univ Fed Vicosa, Dept Soils, Vicosa, MG, Brazil; [Serrano, Enrique] Univ Valladolid, Dept Geog, E-47002 Valladolid, Spain; [Sletten, Ronald] Univ Washington, Seattle, WA 98195 USA</t>
  </si>
  <si>
    <t>Universidade de Lisboa; University of Wisconsin System; University of Wisconsin Madison; University of Waikato; Uppsala University; University of Ferrara; Helmholtz Association; Alfred Wegener Institute, Helmholtz Centre for Polar &amp; Marine Research; Russian Academy of Sciences; Institute of Geography, Russian Academy of Sciences; Autonomous University of Madrid; Rhodes University; Universidad de Alcala; Universidade Federal de Vicosa; Universidad de Valladolid; University of Washington; University of Washington Seattle</t>
  </si>
  <si>
    <t>Vieira, G (corresponding author), Univ Lisbon, Inst Geog &amp; Spatial Planning, CEG IGOT, Edif FLUL,Alameda Univ, P-1600214 Lisbon, Portugal.</t>
  </si>
  <si>
    <t>vieira@campus.ul.pt</t>
  </si>
  <si>
    <t>Lopez-Martinez, Jeronimo/C-5744-2011; Wagner, Dirk/C-3932-2012; Meiklejohn, Ian/F-3183-2012; Ganzert, Lars/AAT-1992-2021; Vieira, Goncalo/G-5958-2010; Ramos, Miguel/K-2230-2014; Cannone, Nicoletta/W-8651-2019; Criosfera, Inct/J-8639-2013; Schaefer, Carlos Ernesto/AAY-4977-2020; Andrey, Abramov/AAL-5410-2020; SERRANO, ENRIQUE/AAH-7986-2020; Abramov, Andrey/A-2705-2012; Raffi, Rossana/D-3753-2009; Goryachkin, Sergey/H-3357-2016</t>
  </si>
  <si>
    <t>Lopez-Martinez, Jeronimo/0000-0002-1750-8287; Wagner, Dirk/0000-0001-5064-497X; Meiklejohn, Ian/0000-0001-8890-2938; Ganzert, Lars/0000-0001-9595-1041; Vieira, Goncalo/0000-0001-7611-3464; Ramos, Miguel/0000-0003-3648-6818; Cannone, Nicoletta/0000-0002-3390-3965; SERRANO, ENRIQUE/0000-0001-9760-3876; Ernesto Goncalves Reynaud Schaefer, Carlos/0000-0001-5735-3227; Abramov, Andrey/0000-0002-3602-1159; Raffi, Rossana/0000-0002-2114-6717; Goryachkin, Sergey/0000-0002-3489-6584</t>
  </si>
  <si>
    <t>Antarctica New Zealand; British Antarctic Survey; Brazilian Antarctic Programme; Bulgarian Antarctic Programme; Direccion Nacional del Antartico (Argentina); New Zealand Foundation for Research, Science, and Technology; Programme Gulbenkian-Ambiente; Italian Antarctic National Research Project (PNRA); Portuguese Polar Programme Portuguese Science and Technology Foundation (Permantar); Russian Antarctic Expedition; Russian Academy of Sciences; Russian Fund for Basic Research; South African National Antarctic Program; Spanish Antarctic Programme; Swedish Antarctic Research Programme; U.S. National Science Foundation; Directorate For Geosciences; Office of Polar Programs (OPP) [1002119] Funding Source: National Science Foundation</t>
  </si>
  <si>
    <t>Antarctica New Zealand; British Antarctic Survey; Brazilian Antarctic Programme; Bulgarian Antarctic Programme; Direccion Nacional del Antartico (Argentina); New Zealand Foundation for Research, Science, and Technology(New Zealand Foundation for Research, Science and Technology); Programme Gulbenkian-Ambiente; Italian Antarctic National Research Project (PNRA); Portuguese Polar Programme Portuguese Science and Technology Foundation (Permantar); Russian Antarctic Expedition; Russian Academy of Sciences(Russian Academy of Sciences); Russian Fund for Basic Research(Russian Foundation for Basic Research (RFBR)); South African National Antarctic Program; Spanish Antarctic Programme; Swedish Antarctic Research Programme; U.S. National Science Foundation(National Science Foundation (NSF)); Directorate For Geosciences; Office of Polar Programs (OPP)(National Science Foundation (NSF)NSF - Directorate for Geosciences (GEO))</t>
  </si>
  <si>
    <t>The research was supported by: Antarctica New Zealand, British Antarctic Survey, Brazilian Antarctic Programme, Bulgarian Antarctic Programme, Direccion Nacional del Antartico (Argentina), New Zealand Foundation for Research, Science, and Technology, Programme Gulbenkian-Ambiente, Italian Antarctic National Research Project (PNRA), Portuguese Polar Programme Portuguese Science and Technology Foundation (Permantar), Russian Antarctic Expedition, Russian Academy of Sciences, Russian Fund for Basic Research, South African National Antarctic Program, Spanish Antarctic Programme, Swedish Antarctic Research Programme and U.S. National Science Foundation. The authors are grateful for the helpful comments of the anonymous reviewers and of the editor on an earlier version of the manuscript.</t>
  </si>
  <si>
    <t>1045-6740</t>
  </si>
  <si>
    <t>1099-1530</t>
  </si>
  <si>
    <t>PERMAFROST PERIGLAC</t>
  </si>
  <si>
    <t>Permafrost Periglacial Process.</t>
  </si>
  <si>
    <t>APR-JUN</t>
  </si>
  <si>
    <t>10.1002/ppp.685</t>
  </si>
  <si>
    <t>Geography, Physical; Geology</t>
  </si>
  <si>
    <t>Physical Geography; Geology</t>
  </si>
  <si>
    <t>623PW</t>
  </si>
  <si>
    <t>WOS:000279755300006</t>
  </si>
  <si>
    <t>Vinocur, A; Maidana, NI</t>
  </si>
  <si>
    <t>Vinocur, Alicia; Maidana, N. I.</t>
  </si>
  <si>
    <t>Spatial and temporal variations in moss-inhabiting summer diatom communities from Potter Peninsula (King George Island, Antarctica)</t>
  </si>
  <si>
    <t>POLAR BIOLOGY</t>
  </si>
  <si>
    <t>Diatoms; Mosses; Limnology; Potter Peninsula; Maritime Antarctica</t>
  </si>
  <si>
    <t>SOUTH-SHETLAND-ISLANDS; NORTHERN VICTORIA LAND; FRESH-WATER DIATOMS; DECEPTION ISLAND; PHYTOPLANKTON STRUCTURE; MICROALGAL COMMUNITIES; EAST ANTARCTICA; ILES-KERGUELEN; LAKES; DIVERSITY</t>
  </si>
  <si>
    <t>This work represents the first analysis of the spatial and temporal variations in the diversity and community structure of diatoms associated with mosses, either dry or wet, sampled during the summer season from the littoral zone of three ponds in Potter Peninsula (King George Island, South Shetland Islands). It also seeks to explore the effect moisture content in the mosses can have on the structure of the diatom assemblages. The ponds approximately had the same number of species, and differences were found between the dry and wet sampling points. The same 4 species were predominant in the three ponds (Nitzschia alpina, N. perminuta, Staurosira oldenburgiana, and Pinnularia subantarctica var. elongata), but not in the same proportions. The first three species differed from those which were found to be dominant in other basins covered by mosses in southern South America and in the sub-Antarctic region. The latter, P. subantarctica var. elongata, had only been found to be abundant in a moss sample from another South Shetland Island. The diatom assemblages were found to be more strongly related to habitat traits (e.g. distance to the sea, ponds' areas, and the vegetation's moisture levels) than to the physical-chemical variables measured in the water.</t>
  </si>
  <si>
    <t>[Vinocur, Alicia; Maidana, N. I.] Univ Buenos Aires, Fac Ciencias Exactas &amp; Nat, Dept Biodiversidad &amp; Biol Expt, Buenos Aires, DF, Argentina; [Vinocur, Alicia] Univ Buenos Aires, Fac Ciencias Exactas &amp; Nat, Dept Ecol Genet &amp; Evoluc, Buenos Aires, DF, Argentina; [Maidana, N. I.] Consejo Nacl Invest Cient &amp; Tecn, RA-1033 Buenos Aires, DF, Argentina</t>
  </si>
  <si>
    <t>University of Buenos Aires; University of Buenos Aires; Consejo Nacional de Investigaciones Cientificas y Tecnicas (CONICET)</t>
  </si>
  <si>
    <t>Vinocur, A (corresponding author), Univ Buenos Aires, Fac Ciencias Exactas &amp; Nat, Dept Biodiversidad &amp; Biol Expt, Ciudad Univ,Pab 2,C1428EHA, Buenos Aires, DF, Argentina.</t>
  </si>
  <si>
    <t>avinocur@bg.fcen.uba.ar</t>
  </si>
  <si>
    <t>Maidana, Nora/0000-0002-1429-4834</t>
  </si>
  <si>
    <t>CONICET [PIP 5024]</t>
  </si>
  <si>
    <t>CONICET(Consejo Nacional de Investigaciones Cientificas y Tecnicas (CONICET))</t>
  </si>
  <si>
    <t>We thank Instituto Antartico Argentino (DNA) and Universidad de Buenos Aires (Argentina) for providing facilities for this study, and the Jubany Base's staffs for their logistic support. We also wish to thank Lic. R. Lombardo for his assistance in the statistical treatments of data and Prof. M. Brusa-Topham for her linguistic assistance. Finally, we would like to express our deepest gratitude to the reviewers for their invaluable suggestions which helped us to improve our work. The present study was funded by CONICET (PIP 5024).</t>
  </si>
  <si>
    <t>0722-4060</t>
  </si>
  <si>
    <t>1432-2056</t>
  </si>
  <si>
    <t>POLAR BIOL</t>
  </si>
  <si>
    <t>Polar Biol.</t>
  </si>
  <si>
    <t>10.1007/s00300-009-0719-x</t>
  </si>
  <si>
    <t>571KG</t>
  </si>
  <si>
    <t>WOS:000275750100003</t>
  </si>
  <si>
    <t>Demongin, L; Poisbleau, M; Rey, AR; Schiavini, A; Quillfeldt, P; Eens, M; Strange, IJ</t>
  </si>
  <si>
    <t>Demongin, Laurent; Poisbleau, Maud; Rey, Andrea Raya; Schiavini, Adrian; Quillfeldt, Petra; Eens, Marcel; Strange, Ian J.</t>
  </si>
  <si>
    <t>Geographical variation in egg size dimorphism in rockhopper penguins</t>
  </si>
  <si>
    <t>Rockhopper penguin; Egg dimorphism; Geographical variation; Chick survival</t>
  </si>
  <si>
    <t>EUDYPTES-CHRYSOCOME; HATCHING ASYNCHRONY; FALKLAND-ISLANDS; MACARONI PENGUINS; CRESTED PENGUINS; BREEDING BIOLOGY; PYGOSCELIS-PAPUA; DIET COMPOSITION; JACKASS PENGUIN; BROOD REDUCTION</t>
  </si>
  <si>
    <t>All crested penguins present a unique reversed hatching asynchrony: the larger second-laid egg (B-egg) hatches before the smaller first-laid egg (A-egg). Although both eggs often hatch, the A-chick generally dies of starvation within days after hatching. However, within rockhopper penguins, the population at the Falkland Islands is unique in that some birds manage to raise both chicks. Although it has been suggested that the egg size dimorphism between A- and B-eggs may explain how long both eggs and chicks survive, this hypothesis has never been explicitly tested. We expect that both eggs are retained longer in the less dimorphic clutches than in the more dimorphic ones. In this paper, we have compiled egg measurements for three rockhopper penguin species (Eudyptes chrysocome, E. filholi and E. moseleyi) in order to compare the intra-clutch egg size dimorphism among these species. Furthermore, we have collected new data to compare egg size dimorphism between two populations of E. chrysocome (Falkland Islands versus Staten Island). A-egg volumes are more variable between species and populations than B-egg volumes. E. chrysocome and especially the population from the Falkland Islands produces the largest A-eggs and the least dimorphic eggs. Nevertheless, as differences in A-egg volumes between species and between the populations of Falkland Islands and Staten Island are stronger and more significant than differences in egg dimorphism, we suggest that A-egg volume, more than egg dimorphism, could be one of the factors influencing the prevalence of twins. A large A-egg and/or reduced egg dimorphism is probably necessary to enable rockhopper penguins to raise two chicks, but other reasons may also be involved which enable them to keep both eggs and chicks.</t>
  </si>
  <si>
    <t>[Demongin, Laurent; Poisbleau, Maud; Quillfeldt, Petra] Max Planck Inst Ornithol, D-78315 Radolfzell am Bodensee, Germany; [Poisbleau, Maud; Eens, Marcel] Univ Antwerp, Dept Biol, B-2610 Antwerp, Belgium; [Rey, Andrea Raya; Schiavini, Adrian] Consejo Nacl Invest Cient &amp; Tecn, Ctr Austral Invest Cient, Ushuaia, Tierra Fuego, Argentina; [Strange, Ian J.] New Isl Conservat Trust, FIQQ IZZ, New Isl, Falkland Isl, England</t>
  </si>
  <si>
    <t>Max Planck Society; University of Antwerp; Consejo Nacional de Investigaciones Cientificas y Tecnicas (CONICET)</t>
  </si>
  <si>
    <t>Poisbleau, M (corresponding author), Univ Antwerp, Dept Biol, Campus Drie Eiken,Univ Pl 1, B-2610 Antwerp, Belgium.</t>
  </si>
  <si>
    <t>maud.poisbleau@ua.ac.be</t>
  </si>
  <si>
    <t>Quillfeldt, Petra/A-9549-2009; Poisbleau, Maud/B-9968-2014; Eens, Marcel/AAC-8466-2020</t>
  </si>
  <si>
    <t>Quillfeldt, Petra/0000-0002-4450-8688; Schiavini, Adrian Carlos Miguel/0000-0001-6621-4827; Raya Rey, Andrea/0000-0003-0127-6650</t>
  </si>
  <si>
    <t>Deutsche Forschungsgemeinschaft DFG [Qu 148/1-V]; FWO Flanders, Belgium; Consejo Nacional de Investigaciones Cientificas y Tecnicas and Rene Portal (Total Austral)</t>
  </si>
  <si>
    <t>Deutsche Forschungsgemeinschaft DFG(German Research Foundation (DFG)); FWO Flanders, Belgium(FWO); Consejo Nacional de Investigaciones Cientificas y Tecnicas and Rene Portal (Total Austral)</t>
  </si>
  <si>
    <t>We are grateful to the New Island Conservation Trust for permission to work on the island. We wish to thank Maria and Georgina Strange and Dan Birch for their support during the Weld season. Thanks also to Helen Otley, Falkland Islands Government and British Antarctic Survey for their logistic help. The Falkland Islands study was funded by grants provided by the Deutsche Forschungsgemeinschaft DFG (Qu 148/1-V) and by the FWO Flanders, Belgium and was approved by the Falkland Islands Government (Environmental Planning Office). The Staten Island project was possible with the support of the Consejo Nacional de Investigaciones Cientificas y Tecnicas and Rene Portal (Total Austral). The manuscript benefited greatly from critical comments by Dieter Piepenburg, Barbara Wienecke, Colleen C. St. Clair, Josie Meaney and two anonymous reviewers.</t>
  </si>
  <si>
    <t>10.1007/s00300-009-0722-2</t>
  </si>
  <si>
    <t>Green Published, hybrid</t>
  </si>
  <si>
    <t>WOS:000275750100005</t>
  </si>
  <si>
    <t>Casanova-Katny, MA; Zúñiga, GE; Corcuera, LJ; Bravo, L; Alberdi, M</t>
  </si>
  <si>
    <t>Angelica Casanova-Katny, M.; Zuniga, Gustavo E.; Corcuera, Luis J.; Bravo, Leon; Alberdi, Miren</t>
  </si>
  <si>
    <t>Deschampsia antarctica Desv. primary photochemistry performs differently in plants grown in the field and laboratory</t>
  </si>
  <si>
    <t>Antarctic plants; Chlorophyll a fluorescence; Quantum yield of PSII primary photochemistry; Photoinhibition; Pigments; OJIP-test</t>
  </si>
  <si>
    <t>VASCULAR PLANTS; COLOBANTHUS-QUITENSIS; PHOTOSYNTHETIC RESPONSES; LOW-TEMPERATURE; PENINSULA AREA; PHOTOPROTECTION; PHOTOINHIBITION; LOCALITIES; LIGHT</t>
  </si>
  <si>
    <t>Primary photochemistry of photosystem II (F (v)/F (m)) of the Antarctic hair grass Deschampsia antarctica growing in the field (Robert Island, Maritime Antarctic) and in the laboratory was studied. Laboratory plants were grown at a photosynthetic photon flux density (PPFD) of 180 mu mol m(-2) s(-1) and an optimal temperature (13 +/- A 1.5A degrees C) for net photosynthesis. Subsequently, two groups of plants were exposed to low temperature (4 +/- A 1.5A degrees C day/night) under two levels of PPFD (180 and 800 mu mol m(-2) s(-1)) and a control group was kept at 13 +/- A 1.5A degrees C and PPFD of 800 mu mol m(-2) s(-1). Chlorophyll fluorescence was measured during several days in field plants and weekly in the laboratory plants. Statistically significant differences were found in F (v)/F (m) (=0.75-0.83), F (0) and F (m) values of field plants over the measurement period between days with contrasting irradiances and temperature levels, suggesting that plants in the field show high photosynthetic efficiency. Laboratory plants under controlled conditions and exposed to low temperature under two light conditions showed significantly lower F (v)/F (m) and F (m). Moreover, they presented significantly less chlorophyll and carotenoid content than field plants. The differences in the performance of the photosynthetic apparatus between field- and laboratory-grown plants indicate that measurements performed in ex situ plants should be interpreted with caution.</t>
  </si>
  <si>
    <t>[Angelica Casanova-Katny, M.; Alberdi, Miren] Univ Austral Chile, Fac Ciencias, Inst Bot, Valdivia, Chile; [Corcuera, Luis J.; Bravo, Leon] Univ Concepcion, Dept Bot, Fac Ciencias Nat &amp; Oceanog, Concepcion, Chile; [Zuniga, Gustavo E.] Univ Santiago, Fac Quim &amp; Biol, Dept Biol, Santiago, Chile</t>
  </si>
  <si>
    <t>Universidad Austral de Chile; Universidad de Concepcion; Universidad de Santiago de Chile</t>
  </si>
  <si>
    <t>Casanova-Katny, MA (corresponding author), Univ Concepcion, Ctr Biotecnol, Casilla 160 C, Concepcion, Chile.</t>
  </si>
  <si>
    <t>angecasanova@udec.cl</t>
  </si>
  <si>
    <t>Casanova-Katny, Angelica/M-3994-2014; Bravo, Leon/H-9251-2018; Corcuera, Luis J/G-1714-2014; Zuñiga, Gustavo E/P-8306-2015; Bravo, León/AAO-8437-2020</t>
  </si>
  <si>
    <t>Bravo, Leon/0000-0003-4705-4842; Bravo, León/0000-0003-4705-4842; Zuniga, Gustavo/0000-0002-8286-9468</t>
  </si>
  <si>
    <t>FONDECYT [1970637]; Direccion de Investigacion, Universidad Austral de Chile [S-96-05]; Instituto Chileno Antartico [0894]</t>
  </si>
  <si>
    <t>FONDECYT(Comision Nacional de Investigacion Cientifica y Tecnologica (CONICYT)CONICYT FONDECYT); Direccion de Investigacion, Universidad Austral de Chile; Instituto Chileno Antartico</t>
  </si>
  <si>
    <t>We would like to thank the effort of the three referees who helped us to substantially improve the manuscript before publication. This work was supported by FONDECYT (Grant 1970637), Direccion de Investigacion, Universidad Austral de Chile (Grant S-96-05) and Instituto Chileno Antartico (Grant 0894). Last but not least, I would thank my husband Dr. Gotz Palfner for his unrestricted support.</t>
  </si>
  <si>
    <t>10.1007/s00300-009-0723-1</t>
  </si>
  <si>
    <t>WOS:000275750100006</t>
  </si>
  <si>
    <t>Lynch, HJ; Fagan, WF; Naveen, R</t>
  </si>
  <si>
    <t>Lynch, Heather J.; Fagan, William F.; Naveen, Ron</t>
  </si>
  <si>
    <t>Population trends and reproductive success at a frequently visited penguin colony on the western Antarctic Peninsula</t>
  </si>
  <si>
    <t>Adelie penguin; Gentoo penguin; Long-term monitoring; Breeding success; Tourism</t>
  </si>
  <si>
    <t>TICK IXODES-URIAE; PYGOSCELIS-PAPUA; BREEDING SUCCESS; ADELIE PENGUINS; GENTOO PENGUINS; SOUTH GEORGIA; APTENODYTES-PATAGONICUS; ECOLOGICAL SEGREGATION; CHINSTRAP PENGUINS; HUMAN DISTURBANCE</t>
  </si>
  <si>
    <t>Petermann Island (65A degrees 10'S, 64A degrees 10'W), one of the Antarctic Peninsula's most frequently visited locations, is at the epicenter of a rapid shift in which an Ad,lie penguin dominated fauna is becoming gentoo penguin dominated. Over the course of five seasons, the breeding productivity of Ad,lie and gentoo penguins breeding at Petermann Island were monitored to identify drivers of this rapid community change. The impact of tourist visitation on breeding success was also investigated. Consistent with larger trends in this region, the Ad,lie penguin population decreased by 29% and the gentoo penguin population increased by 27% between the 2003/2004 and 2007/2008 seasons. Reproductive success among Ad,lie penguins ranged from 1.09 to 1.32 crSched chicks/nest, which was higher than or comparable to other sites and is an unlikely explanation for the precipitous decline of Ad,lie penguins at Petermann Island. Whereas gentoo penguin reproductive success was lowest in colonies frequently visited by tourists, Ad,lie penguin colonies frequently visited by tourists had higher reproductive success than those visited only occasionally. These results are placed in the context of other studies on reproductive success and the impact of tourist visitation on breeding colonies of Ad,lie and gentoo penguins.</t>
  </si>
  <si>
    <t>[Lynch, Heather J.; Fagan, William F.] Univ Maryland, Dept Biol, College Pk, MD 20742 USA; [Lynch, Heather J.; Naveen, Ron] Oceanites Inc, Chevy Chase, MD 20825 USA</t>
  </si>
  <si>
    <t>Lynch, HJ (corresponding author), Univ Maryland, Dept Biol, College Pk, MD 20742 USA.</t>
  </si>
  <si>
    <t>US National Science Foundation Office of Polar Programs [NSF/OPP-0230069, NSF/OPP-0739515]; Directorate For Geosciences [0739430] Funding Source: National Science Foundation; Division Of Polar Programs [0739430] Funding Source: National Science Foundation; Office of Polar Programs (OPP); Directorate For Geosciences [0739515] Funding Source: National Science Foundation</t>
  </si>
  <si>
    <t>US National Science Foundation Office of Polar Programs(National Science Foundation (NSF)); Directorate For Geosciences(National Science Foundation (NSF)NSF - Directorate for Geosciences (GEO)); Division Of Polar Programs(National Science Foundation (NSF)NSF - Directorate for Geosciences (GEO)); Office of Polar Programs (OPP); Directorate For Geosciences(National Science Foundation (NSF)NSF - Directorate for Geosciences (GEO))</t>
  </si>
  <si>
    <t>This paper is a contribution of the Antarctic Site Inventory. We thank the following researchers who actively collected Antarctic Site Inventory census data at Petermann Island between the 2003/2004 and 2007/2008 field seasons: Stacey Buckelew, Ian Bullock, Rosemary Dagit, Steven Forrest, Toby Kaufman, Aileen Miller, Thomas Mueller, Michael Polito, and Melissa Rider. We thank Steve Forrest, Evan H. C. Grant, and Thomas Mueller for their review of the manuscript. We also thank the many support staff and scientists from the Akademik Vernadsky Station who provided data and assistance during this project. The authors gratefully acknowledge assistance from the US National Science Foundation Office of Polar Programs (Award Nos. NSF/OPP-0230069 and NSF/OPP-0739515).</t>
  </si>
  <si>
    <t>10.1007/s00300-009-0726-y</t>
  </si>
  <si>
    <t>WOS:000275750100008</t>
  </si>
  <si>
    <t>Zeng, YX; Zheng, TL; Yu, Y; Chen, B; He, JF</t>
  </si>
  <si>
    <t>Zeng, Yinxin; Zheng, Tianling; Yu, Yong; Chen, Bo; He, Jianfeng</t>
  </si>
  <si>
    <t>Relationships between Arctic and Antarctic Shewanella strains evaluated by a polyphasic taxonomic approach</t>
  </si>
  <si>
    <t>Shewanella frigidimarina; Bipolar distribution; Polyphasic taxonomy</t>
  </si>
  <si>
    <t>16S RIBOSOMAL-RNA; SEQUENCE-ANALYSIS; PHYLOGENETIC DIVERSITY; EMENDED DESCRIPTION; GENE SEQUENCE; SP-NOV; BACTERIA; BIOGEOGRAPHY; BACTERIOPLANKTON; BIODIVERSITY</t>
  </si>
  <si>
    <t>As a result of the recent application of DNA-based technologies to investigate bacterial diversity in the polar marine environment, bacterial strains sharing significant 16S rRNA gene sequence similarities were isolated from both the Arctic and the Antarctic sea waters. Three selected marine bacterial isolates (BSw20248, BSw20661 and BSw10166) from two Arctic regions (the Greenland Sea and Canada Basin) and from Antarctica (Prydz Bay) were studied to determine their evolutionary relationships and phylogenetic position using a polyphasic taxonomic approach, including phenotypic characterization and genotypic analyses. These bacterial isolates proved to belong to the same species and were identified as Shewanella frigidimarina. Differences in phenotypic properties observed among them revealed a diversity of ecotypes for adaptation to the changing ecological or geographical conditions. It provided the evidence that Shewanella frigidimarina has a bipolar, or even global, distribution in the marine environment.</t>
  </si>
  <si>
    <t>[Zeng, Yinxin; Zheng, Tianling] Xiamen Univ, Key Lab MOE Coast &amp; Wetland Ecosyst, Sch Life Sci, Xiamen 361005, Peoples R China; [Zeng, Yinxin; Yu, Yong; Chen, Bo; He, Jianfeng] Polar Res Inst China, Key Lab Polar Sci State Ocean Adm, Shanghai 200136, Peoples R China; [Zheng, Tianling] Xiamen Univ, State Key Lab Marine Environm Sci, Xiamen 361005, Peoples R China</t>
  </si>
  <si>
    <t>Xiamen University; Polar Research Institute of China; Xiamen University</t>
  </si>
  <si>
    <t>Zeng, YX (corresponding author), Xiamen Univ, Key Lab MOE Coast &amp; Wetland Ecosyst, Sch Life Sci, Xiamen 361005, Peoples R China.</t>
  </si>
  <si>
    <t>yxzeng@yahoo.com</t>
  </si>
  <si>
    <t>Zheng, TL/G-3974-2010</t>
  </si>
  <si>
    <t>National Natural Science Foundation of China [40576002, 40676002, 40876097]; High-Tech Research and Development Program of China [2008AA09Z408]; Program for Changjiang Scholars and Innovative Research Team in University [40821063]; Science and Technology Committee of Shanghai, China [052307053]; China's Action Plan for the International Polar Year (IPY)</t>
  </si>
  <si>
    <t>National Natural Science Foundation of China(National Natural Science Foundation of China (NSFC)); High-Tech Research and Development Program of China(National High Technology Research and Development Program of China); Program for Changjiang Scholars and Innovative Research Team in University(Program for Changjiang Scholars &amp; Innovative Research Team in University (PCSIRT)); Science and Technology Committee of Shanghai, China(Shanghai Science &amp; Technology Committee); China's Action Plan for the International Polar Year (IPY)</t>
  </si>
  <si>
    <t>The authors appreciate the assistance of the Chinese Arctic and Antarctic Administration (CAA) who organized the Chinese Arctic and Antarctic Expeditions. Additional thanks go to Prof. I. J. Hodgkiss of The University of Hong Kong for language improvement on this paper. We also are grateful to three anonymous reviewers for suggestive comments and modification. This work was supported by the National Natural Science Foundation of China (Nos. 40576002, 40676002 and 40876097), the High-Tech Research and Development Program of China (No. 2008AA09Z408), Program for Changjiang Scholars and Innovative Research Team in University (No. 40821063), the Science and Technology Committee of Shanghai, China (No. 052307053) and China's Action Plan for the International Polar Year (IPY).</t>
  </si>
  <si>
    <t>10.1007/s00300-009-0730-2</t>
  </si>
  <si>
    <t>WOS:000275750100011</t>
  </si>
  <si>
    <t>Kiko, R</t>
  </si>
  <si>
    <t>Kiko, Rainer</t>
  </si>
  <si>
    <t>Acquisition of freeze protection in a sea-ice crustacean through horizontal gene transfer?</t>
  </si>
  <si>
    <t>Sympagic meiofauna; Antifreeze protein; Ice binding protein; In situ hybridization; Stephos longipes; Paralabidocera antarctica; Lateral gene transfer</t>
  </si>
  <si>
    <t>WESTERN WEDDELL SEA; LIFE-CYCLE STRATEGY; PARALABIDOCERA-ANTARCTICA; RECRYSTALLIZATION INHIBITION; ANTIFREEZE GLYCOPROTEINS; SYMPAGIC ORGANISMS; PACK ICE; PROTEINS; SUBSTANCES; EVOLUTION</t>
  </si>
  <si>
    <t>Sea ice is permeated by small brine channels, which are characterised by sub-zero temperatures and varying salinities. Despite sometimes extreme conditions a diverse fauna and flora thrives within the brine channels. The dominant calanoid copepods of Antarctic sea ice are Stephos longipes and Paralabidocera antarctica. Here, I report for the first time thermal hysteresis (TH) in the haemolymph of a crustacean, S. longipes, whereas P. antarctica has no such activity. TH, the non-colligative prevention of ice growth, seems to enable S. longipes to exploit all available microhabitats within sea ice, especially the surface layer, in which strong temperature fluctuations can occur. In contrast, P. antarctica only thrives within the lowermost centimetres of sea ice, where temperature fluctuations are moderate. S. longipes possesses two isoforms of a protein with TH activity. A high homology to a group of (putative) antifreeze proteins from diatoms, bacteria and a snow mold and, in contrast, no homologs in any metazoan lineage suggest that this protein was obtained through horizontal gene transfer (HGT). Further analysis of available sequence data from sea-ice organisms indicates that these antifreeze proteins were probably transferred horizontally several times. Temperature and salinity fluctuations within the brine channel system are proposed to provide natural transformation conditions enabling HGT and thus making this habitat a potential hot spot for HGT.</t>
  </si>
  <si>
    <t>[Kiko, Rainer] Inst Polar Ecol, D-24148 Kiel, Germany; [Kiko, Rainer] Alfred Wegener Inst Polar &amp; Marine Res, D-27570 Bremerhaven, Germany</t>
  </si>
  <si>
    <t>Kiko, R (corresponding author), IFM GEOMAR, Leibniz Inst Marine Sci, Hohenbergstr 2, D-24105 Kiel, Germany.</t>
  </si>
  <si>
    <t>rkiko@ifm-geomar.de</t>
  </si>
  <si>
    <t>Kiko, Rainer/0000-0002-7851-9107</t>
  </si>
  <si>
    <t>10.1007/s00300-009-0732-0</t>
  </si>
  <si>
    <t>WOS:000275750100012</t>
  </si>
  <si>
    <t>Reisinger, RR; McIntyre, T; Bester, MN</t>
  </si>
  <si>
    <t>Reisinger, Ryan R.; McIntyre, Trevor; Bester, Marthan N.</t>
  </si>
  <si>
    <t>Goose barnacles hitchhike on satellite-tracked southern elephant seals</t>
  </si>
  <si>
    <t>Lepas australis; Southern elephant seal; Species transport; Southern Ocean</t>
  </si>
  <si>
    <t>OCEAN; ECOLOGY; CLIMATE</t>
  </si>
  <si>
    <t>Goose barnacles (Lepas australis) attached to satellite-relay data loggers were carried by three southern elephant seals (Mirounga leonina) from Marion Island. Their movements across the Polar Frontal Zone are presented, providing further evidence that megafauna are potential vectors for the transport of species into the Southern Ocean.</t>
  </si>
  <si>
    <t>[Reisinger, Ryan R.; McIntyre, Trevor; Bester, Marthan N.] Univ Pretoria, Dept Zool &amp; Entomol, Mammal Res Inst, ZA-0002 Pretoria, South Africa</t>
  </si>
  <si>
    <t>Bester, Marthán N/E-5387-2010; Reisinger, Ryan R/D-6151-2014; McIntyre, Trevor/E-6846-2010</t>
  </si>
  <si>
    <t>Reisinger, Ryan R/0000-0002-8933-6875; McIntyre, Trevor/0000-0001-8395-7550</t>
  </si>
  <si>
    <t>National Research Foundation</t>
  </si>
  <si>
    <t>We thank the South African Department of Environmental Affairs and Tourism for providing logistical support within the South African National Antarctic Programme and the Department of Science and Technology (administered through the National Research Foundation) for funding the marine mammal monitoring programme at Marion Island. Chris Oosthuizen and Mashudu Phalanndwa, who deployed the data loggers, and Thomas Mufanadzo, who helped with the recovery of the instrumentation, are thanked for their assistance. We thank Ian Wilkinson and Horst Bornemann for their comments on the manuscript.</t>
  </si>
  <si>
    <t>10.1007/s00300-009-0724-0</t>
  </si>
  <si>
    <t>WOS:000275750100014</t>
  </si>
  <si>
    <t>Reisinger, RR; de Bruyn, PJN; Pistorius, PA; Bester, MN</t>
  </si>
  <si>
    <t>Reisinger, Ryan R.; de Bruyn, P. J. Nico; Pistorius, Pierre A.; Bester, Marthan N.</t>
  </si>
  <si>
    <t>Antarctic fur seal predation on cephalopods at Marion Island</t>
  </si>
  <si>
    <t>Otariid; Arctocephalus gazella; Diet; Octopus magnificus; SubAntarctic islands; Opportunistic feeding</t>
  </si>
  <si>
    <t>ARCTOCEPHALUS-GAZELLA; FOOD-CONSUMPTION; FISH PREY; DIET; WINTER; PUSILLUS; AUTUMN; SPP.</t>
  </si>
  <si>
    <t>We report two observations of adult male Antarctic fur seals, Arctocephalus gazella, preying on large octopods at subAntarctic Marion Island during July and August 2008. If Antarctic fur seals take cephalopods opportunistically, as previously suggested, our observations may be a rare event representing such opportunistic predation.</t>
  </si>
  <si>
    <t>[Reisinger, Ryan R.; de Bruyn, P. J. Nico; Bester, Marthan N.] Univ Pretoria, Dept Zool &amp; Entomol, Mammal Res Inst, ZA-0002 Pretoria, South Africa; [Pistorius, Pierre A.] Nelson Mandela Metropolitan Univ, Dept Zool, ZA-6031 Port Elizabeth, South Africa</t>
  </si>
  <si>
    <t>University of Pretoria; Nelson Mandela University</t>
  </si>
  <si>
    <t>Bester, Marthán N/E-5387-2010; Reisinger, Ryan R/D-6151-2014; de Bruyn, P. J. Nico/E-4176-2010</t>
  </si>
  <si>
    <t>Reisinger, Ryan R/0000-0002-8933-6875; de Bruyn, P. J. Nico/0000-0002-9114-9569; Pistorius, Pierre/0000-0001-6561-7069</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</si>
  <si>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t>
  </si>
  <si>
    <t>10.1007/s00300-009-0731-1</t>
  </si>
  <si>
    <t>WOS:000275750100016</t>
  </si>
  <si>
    <t>Krabbe, K; Leese, F; Mayer, C; Tollrian, R; Held, C</t>
  </si>
  <si>
    <t>Krabbe, Kathrin; Leese, Florian; Mayer, Christoph; Tollrian, Ralph; Held, Christoph</t>
  </si>
  <si>
    <t>Cryptic mitochondrial lineages in the widespread pycnogonid Colossendeis megalonyx Hoek, 1881 from Antarctic and Subantarctic waters (vol 33, pg 281, 2010)</t>
  </si>
  <si>
    <t>Correction</t>
  </si>
  <si>
    <t>[Krabbe, Kathrin; Leese, Florian; Mayer, Christoph; Tollrian, Ralph] Ruhr Univ Bochum, Lehrstuhl Evolut Okol &amp; Biodiversitat Tier, D-44801 Bochum, Germany; [Held, Christoph] Alfred Wegener Inst Polar &amp; Marine Res, D-27515 Bremerhaven, Germany</t>
  </si>
  <si>
    <t>Ruhr University Bochum; Helmholtz Association; Alfred Wegener Institute, Helmholtz Centre for Polar &amp; Marine Research</t>
  </si>
  <si>
    <t>Leese, F (corresponding author), Ruhr Univ Bochum, Lehrstuhl Evolut Okol &amp; Biodiversitat Tier, D-44801 Bochum, Germany.</t>
  </si>
  <si>
    <t>florian.leese@rub.de</t>
  </si>
  <si>
    <t>Mayer, Christoph/AAD-6696-2019; Leese, Florian/D-4277-2012</t>
  </si>
  <si>
    <t>Mayer, Christoph/0000-0001-5104-6621; Leese, Florian/0000-0002-5465-913X</t>
  </si>
  <si>
    <t>10.1007/s00300-010-0777-0</t>
  </si>
  <si>
    <t>WOS:000275750100017</t>
  </si>
  <si>
    <t>Harris, S; Copson, G; d'Arville, L</t>
  </si>
  <si>
    <t>Harris, Stephen; Copson, Geof; d'Arville, Louisa</t>
  </si>
  <si>
    <t>Notes on the sea caves of sub-Antarctic Macquarie Island, Southern Ocean</t>
  </si>
  <si>
    <t>POLAR RECORD</t>
  </si>
  <si>
    <t>Caves of marine origin occur in tectonically uplifted stacks on the coastal terrace and in plateau edge cliffs at a number of locations around Macquarie Island. Some of the caves have been located and their distributions mapped. Four of the best known caves are mapped in detail. Aspects of their geology, Structure and biology, including speleothem development, elastic deposits, faunal remains and subfossil deposits are explored. Many of these caves contain deposits, which may have the potential to be investigated, as beach and peat deposits have been. for dating key time periods in the island's evolution. The palaeoenvironmental research potential of the sea caves oil Macquarie Island has yet to be exploited. Further knowledge about these caves will assist in the understanding of the processes that have acted on Macquarie Island and other polar and sub-polar islands.</t>
  </si>
  <si>
    <t>[Harris, Stephen] Dept Primary Ind Pk Water &amp; Environm, Resource Management &amp; Conservat Div, Hobart, Tas 7001, Australia; [d'Arville, Louisa] Kinston Beach, Hobart, Tas 7001, Australia</t>
  </si>
  <si>
    <t>Harris, S (corresponding author), Dept Primary Ind Pk Water &amp; Environm, Resource Management &amp; Conservat Div, GPO Box 44, Hobart, Tas 7001, Australia.</t>
  </si>
  <si>
    <t>Stephen.Harris@dpipwe.tas.gov.au</t>
  </si>
  <si>
    <t>0032-2474</t>
  </si>
  <si>
    <t>1475-3057</t>
  </si>
  <si>
    <t>POLAR REC</t>
  </si>
  <si>
    <t>POLAR REC.</t>
  </si>
  <si>
    <t>10.1017/S0032247409990374</t>
  </si>
  <si>
    <t>Ecology; Environmental Sciences</t>
  </si>
  <si>
    <t>569ZA</t>
  </si>
  <si>
    <t>WOS:000275640200003</t>
  </si>
  <si>
    <t>Campbell, RJ</t>
  </si>
  <si>
    <t>Campbell, R. J.</t>
  </si>
  <si>
    <t>The voyage of HMS Erebus and Terror to the southern and Antarctic regions 1839-1843: the journal of Sergeant William Keating Cunningham, HMS Terror</t>
  </si>
  <si>
    <t>Lynchwood, Taunton TA2 8QZ, Somerset, England</t>
  </si>
  <si>
    <t>Campbell, RJ (corresponding author), Lynchwood, Church Hill, Taunton TA2 8QZ, Somerset, England.</t>
  </si>
  <si>
    <t>10.1017/S0032247409990064</t>
  </si>
  <si>
    <t>WOS:000275640200008</t>
  </si>
  <si>
    <t>Costantini, D; Bonadonna, F</t>
  </si>
  <si>
    <t>Costantini, David; Bonadonna, Francesco</t>
  </si>
  <si>
    <t>Patterns of variation of serum oxidative stress markers in two seabird species</t>
  </si>
  <si>
    <t>POLAR RESEARCH</t>
  </si>
  <si>
    <t>Antioxidants; fasting; oxidative damage; petrels; prions; reproduction</t>
  </si>
  <si>
    <t>KESTRELS FALCO-TINNUNCULUS; INCREASED SUSCEPTIBILITY; TRADE-OFFS; DAMAGE; ECOLOGY; REPRODUCTION; EXPRESSION; LESSONS; BIRDS; COST</t>
  </si>
  <si>
    <t>Variation in oxidative stress markers in natural populations may provide a useful background for understanding variation in life history strategies. In this study, we seek to evaluate patterns of variation in levels of reactive oxygen metabolites (markers of oxidative damage), serum antioxidant capacity, and serum concentration of thiols (antioxidants endogenously synthesized) in nestling and breeding blue petrels (Halobaena caerulea) and in breeding Antarctic prions (Pachyptila desolata). Male and female prions and nestling petrels did not differ in any of the oxidative stress markers. The serum antioxidant capacity positively correlated with the sample time in nestling blue petrels. Breeding petrels with higher body condition index had higher serum antioxidant capacity and circulating thiols. Finally, both seabird species showed lower levels of reactive oxygen metabolites and higher levels of serum antioxidant capacity than previously studied bird species.</t>
  </si>
  <si>
    <t>[Costantini, David] Univ Glasgow, Fac Biomed &amp; Life Sci, Div Ecol &amp; Evolutionary Biol, Glasgow G12 8QQ, Lanark, Scotland; [Bonadonna, Francesco] Ctr Ecol Fonct &amp; Evolut, UMR 5175, FR-34293 Montpellier 5, France</t>
  </si>
  <si>
    <t>University of Glasgow;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</si>
  <si>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Costantini, D (corresponding author), Univ Glasgow, Fac Biomed &amp; Life Sci, Div Ecol &amp; Evolutionary Biol, Graham Kerr Bldg, Glasgow G12 8QQ, Lanark, Scotland.</t>
  </si>
  <si>
    <t>d.costantini@bio.gla.ac.uk</t>
  </si>
  <si>
    <t>Bonadonna, Francesco/A-7456-2008; Costantini, David/C-6006-2013</t>
  </si>
  <si>
    <t>Bonadonna, Francesco/0000-0002-2702-5801; Costantini, David/0000-0002-8140-8790</t>
  </si>
  <si>
    <t>Institut Polaire Paul Emile Victor (IPEV)</t>
  </si>
  <si>
    <t>We are grateful to the International Observatory for Oxidative Stress (Salerno, Italy) for advice and support, to two anonymous reviewers for their valuable comments, to Gianfranco Brambilla and Edoardo Vignolo for technical and logistical support at the Istituto Superiore di Sanita, Rome, and to Jerome Mardon for his help in the field. Francesco Bonadonna was supported by the Institut Polaire Paul Emile Victor (IPEV), Program no. 354. This study was performed according to ethical guidelines established by IPEV and France's National Centre for Scientific Research.</t>
  </si>
  <si>
    <t>CO-ACTION PUBLISHING</t>
  </si>
  <si>
    <t>JARFALLA</t>
  </si>
  <si>
    <t>RIPVAGEN 7, JARFALLA, SE-175 64, SWEDEN</t>
  </si>
  <si>
    <t>0800-0395</t>
  </si>
  <si>
    <t>POLAR RES</t>
  </si>
  <si>
    <t>Polar Res.</t>
  </si>
  <si>
    <t>10.1111/j.1751-8369.2009.00143.x</t>
  </si>
  <si>
    <t>Ecology; Geosciences, Multidisciplinary; Oceanography</t>
  </si>
  <si>
    <t>Environmental Sciences &amp; Ecology; Geology; Oceanography</t>
  </si>
  <si>
    <t>575AU</t>
  </si>
  <si>
    <t>WOS:000276036200003</t>
  </si>
  <si>
    <t>Yang, H; Kulesa, CA; Walker, CK; Tothill, NFH; Yang, J; Ashley, MCB; Cui, X; Feng, L; Lawrence, JS; Luong-Van, DM; McCaughrean, MJ; Storey, JWV; Wang, L; Zhou, X; Zhu, Z</t>
  </si>
  <si>
    <t>Yang, H.; Kulesa, C. A.; Walker, C. K.; Tothill, N. F. H.; Yang, J.; Ashley, M. C. B.; Cui, X.; Feng, L.; Lawrence, J. S.; Luong-Van, D. M.; McCaughrean, M. J.; Storey, J. W. V.; Wang, L.; Zhou, X.; Zhu, Z.</t>
  </si>
  <si>
    <t>Exceptional Terahertz Transparency and Stability above Dome A, Antarctica</t>
  </si>
  <si>
    <t>PUBLICATIONS OF THE ASTRONOMICAL SOCIETY OF THE PACIFIC</t>
  </si>
  <si>
    <t>GEOGRAPHIC SOUTH-POLE; ATMOSPHERIC TRANSMISSION; MAUNA-KEA; MILLIMETER; SITE; BRIGHTNESS; OPACITY; MODEL</t>
  </si>
  <si>
    <t>We present the first direct measurements of the terahertz atmospheric transmission above Dome A, the highest point on the Antarctic plateau at an elevation of 4.1 km. The best-quartile atmospheric transmission during the Austral winter is 80% at a frequency of 661 GHz (453 mu m), corresponding to a precipitable water vapor column of 0.1 mm. Daily averages as low as 0.025 mm were observed. The Antarctic atmosphere is very stable, and excellent observing conditions generally persist for many days at a time. The exceptional conditions over the high Antarctic plateau open new far-infrared spectral windows to ground-based observation. These windows contain important spectral-line diagnostics of star formation and the interstellar medium which would otherwise only be accessible to airborne or space telescopes.</t>
  </si>
  <si>
    <t>[Yang, H.] Polar Res Inst China, Shanghai 200136, Peoples R China; [Kulesa, C. A.; Walker, C. K.] Univ Arizona, Steward Observ, Tucson, AZ 85721 USA; [Tothill, N. F. H.; McCaughrean, M. J.] Univ Exeter, Sch Phys, Exeter EX4 4QL, Devon, England; [Tothill, N. F. H.; Ashley, M. C. B.; Luong-Van, D. M.; Storey, J. W. V.] Univ New S Wales, Sch Phys, Sydney, NSW 2052, Australia; [Yang, J.; Feng, L.; Lawrence, J. S.; Zhu, Z.] Purple Mt Observ, Nanjing 210008, Peoples R China; [Cui, X.] Nanjing Inst Astron Opt &amp; Technol, Nanjing 210042, Peoples R China; [Lawrence, J. S.] Macquarie Univ, Dept Phys &amp; Elect Engn, N Ryde, NSW 2109, Australia; [Lawrence, J. S.] Anglo Australian Observ, Sydney, NSW 1710, Australia; [McCaughrean, M. J.] European Space Agcy, Estec, Res &amp; Sci Support Dept, NL-2200 AG Noordwijk, Netherlands; [Wang, L.] Texas A&amp;M Univ, Dept Phys &amp; Astron, College Stn, TX 77843 USA; [Zhou, X.] Natl Astron Observ, Beijing 100012, Peoples R China</t>
  </si>
  <si>
    <t>Polar Research Institute of China; University of Arizona; University of Exeter; University of New South Wales Sydney; Purple Mountain Observatory, CAS; Chinese Academy of Sciences; Nanjing Institute of Astronomical Optics &amp; Technology, NAOC, CAS; Chinese Academy of Sciences; Nanjing Institute of Astronomical Optics &amp; Technology, NAOC, CAS; Macquarie University; European Space Agency; Texas A&amp;M University System; Texas A&amp;M University College Station; Chinese Academy of Sciences; National Astronomical Observatory, CAS</t>
  </si>
  <si>
    <t>Yang, H (corresponding author), Polar Res Inst China, Shanghai 200136, Peoples R China.</t>
  </si>
  <si>
    <t>ckulesa@as.arizona.edu</t>
  </si>
  <si>
    <t>Tothill, Nicholas/O-2682-2019; Tothill, Nicholas/M-6379-2016</t>
  </si>
  <si>
    <t>Tothill, Nicholas/0000-0002-9931-5162; Ashley, Michael/0000-0003-1412-2028; Lawrence, Jon/0000-0002-6998-6993; McCaughrean, Mark/0000-0002-1452-5268</t>
  </si>
  <si>
    <t>UNIV CHICAGO PRESS</t>
  </si>
  <si>
    <t>CHICAGO</t>
  </si>
  <si>
    <t>1427 E 60TH ST, CHICAGO, IL 60637-2954 USA</t>
  </si>
  <si>
    <t>0004-6280</t>
  </si>
  <si>
    <t>PUBL ASTRON SOC PAC</t>
  </si>
  <si>
    <t>Publ. Astron. Soc. Pac.</t>
  </si>
  <si>
    <t>10.1086/652276</t>
  </si>
  <si>
    <t>573AO</t>
  </si>
  <si>
    <t>WOS:000275881000009</t>
  </si>
  <si>
    <t>Hibbert, A; Leach, H; Woodworth, P; Hughes, CW; Roussenov, V</t>
  </si>
  <si>
    <t>Hibbert, Angela; Leach, Harry; Woodworth, Philip; Hughes, Chris W.; Roussenov, Vassil</t>
  </si>
  <si>
    <t>Quasi-Biennial Modulation of the Southern Ocean Coherent Mode</t>
  </si>
  <si>
    <t>QUARTERLY JOURNAL OF THE ROYAL METEOROLOGICAL SOCIETY</t>
  </si>
  <si>
    <t>sea level; Southern Annular Mode; Southern Ocean; QBO</t>
  </si>
  <si>
    <t>ANTARCTIC CIRCUMPOLAR WAVE; SEA-ICE EXTENT; ANNULAR MODE; DRAKE PASSAGE; EXTRATROPICAL CIRCULATION; INTERANNUAL VARIABILITY; HEMISPHERE; WIND; OSCILLATION; STRATOSPHERE</t>
  </si>
  <si>
    <t>Empirical Orthogonal Function (EOF) analysis of two independent Southern Ocean sea-level datasets for the period 1992-2002 shows that the coherent oceanic mode a zonally symmetric counterpart to the atmospheric Southern Annular Mode (SAM) consistently emerges as the predominant mode of variability and is revealed to be a reliable proxy for circumpolar transport upon subannual to interannual time-scales. Cross-validation of the coherent mode from each dataset and that of a global barotropic model demonstrates a high degree of correspondence between sea-level observations and model estimations and also indicates that the coherent oceanic mode is largely barotropically driven upon subannual time-scales, whilst baroclinic oceanic effects predominate at longer periods. Both the coherent mode and transport are shown to be modified by the stratospheric Quasi-Biennial Oscillation (QBO) and a mechanism is described by which QBO-dependent planetary wave activity may be guided from the stratosphere towards the surface by high-latitude easterly and westerly jets, inducing wind anomalies that force sea-level variability through equatorward Ekman transport. A longer (18-year) tide-gauge record from the Vernadsky/Faraday station and a 22-year time series of sea-level estimations from an ocean general circulation model are used to show that QBO-induced sea-level and transport variability may be modulated upon longer time-scales by a quasi-decadal cycle of solar activity. Copyright (C) 2010 Royal Meteorological Society</t>
  </si>
  <si>
    <t>[Hibbert, Angela; Leach, Harry; Roussenov, Vassil] Univ Liverpool, Liverpool L69 3BX, Merseyside, England; [Woodworth, Philip; Hughes, Chris W.] Permanent Serv Mean Sea Level, Proudman Oceanog Lab, Liverpool, Merseyside, England</t>
  </si>
  <si>
    <t>University of Liverpool; NERC National Oceanography Centre</t>
  </si>
  <si>
    <t>Hibbert, A (corresponding author), Univ Liverpool, Liverpool L69 3BX, Merseyside, England.</t>
  </si>
  <si>
    <t>anhi@pol.ac.uk</t>
  </si>
  <si>
    <t>Hughes, Chris W/A-3791-2010; Hughes, Chris/GQP-7479-2022</t>
  </si>
  <si>
    <t>Hughes, Chris W/0000-0002-9355-0233; Roussenov, Vassil/0000-0003-4128-9712; Leach, Harry/0000-0003-1774-5167; Woodworth, Philip/0000-0002-6681-239X</t>
  </si>
  <si>
    <t>National Oceanographic Partnership Program (NOPP); Natural Environment Research Council (NERC); Proudman Oceanographic Laboratory; NERC [noc010002, pol010001] Funding Source: UKRI; STFC [PP/D00103X/1] Funding Source: UKRI; Natural Environment Research Council [noc010002, pol010001] Funding Source: researchfish; Science and Technology Facilities Council [PP/D00103X/1] Funding Source: researchfish</t>
  </si>
  <si>
    <t>National Oceanographic Partnership Program (NOPP); Natural Environment Research Council (NERC)(UK Research &amp; Innovation (UKRI)Natural Environment Research Council (NERC)); Proudman Oceanographic Laboratory;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</si>
  <si>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State estimates were provided by the Consortium for Estimating the Circulation and Climate of the Ocean (ECCO), which is funded by the National Oceanographic Partnership Program (NOPP).; The work presented in this paper was supported by a Natural Environment Research Council (NERC) studentship and by a Proudman Oceanographic Laboratory CASE (Collaborative Awards in Science and Engineering) award.; We are grateful to Richard Seager and an anonymous reviewer for their helpful comments on the first draft of this paper.</t>
  </si>
  <si>
    <t>0035-9009</t>
  </si>
  <si>
    <t>1477-870X</t>
  </si>
  <si>
    <t>Q J ROY METEOR SOC</t>
  </si>
  <si>
    <t>Q. J. R. Meteorol. Soc.</t>
  </si>
  <si>
    <t>A</t>
  </si>
  <si>
    <t>10.1002/qj.581</t>
  </si>
  <si>
    <t>600VF</t>
  </si>
  <si>
    <t>WOS:000278016300014</t>
  </si>
  <si>
    <t>Berger, GW; Ante, S; Domack, E</t>
  </si>
  <si>
    <t>Berger, G. W.; Ante, S.; Domack, E.</t>
  </si>
  <si>
    <t>Luminescence from glacimarine sediment-trap samples at the Antarctic Peninsula</t>
  </si>
  <si>
    <t>QUATERNARY GEOCHRONOLOGY</t>
  </si>
  <si>
    <t>12th International Conference on Luminescence and Electron Spin Resonance</t>
  </si>
  <si>
    <t>SEP 18-22, 2008</t>
  </si>
  <si>
    <t>Peking Univ, Beijing, PEOPLES R CHINA</t>
  </si>
  <si>
    <t>Peking Univ</t>
  </si>
  <si>
    <t>Luminescence; Antarctica; Sediment traps; Glacimarine</t>
  </si>
  <si>
    <t>ICE SHELF; FJORDS; TESTS</t>
  </si>
  <si>
    <t>Radiocarbon ((14)C) dating yields variable and high reservoir and core-top ages for glacimarine sediments around Antarctica. To test the suitability of luminescence as an alternate dating method we investigated the effectiveness of clock zeroing (by daylight) within fine-silt-size siliciclastic sediments from year-long vertical-array sediment traps in Andvord Bay and Brialmont Cove at the Antarctic Peninsula. Both long-bleach and short-bleach multi-aliquot IR-PSL (infrared photon stimulated luminescence) and single-aliquot, post-IR blue-PSL dating tests were conducted. As well, dual-bandwidth-bleaching thermoluminescence (TL) tests were performed on samples from Brialmont Cove. These TL bleaching tests indicate that silt from the middle and bottom traps at this site has had little or no exposure to daylight, but that silt from the top trap has had some exposure. All 24 samples (representing different seasons and different trap depths) exhibit anomalously old apparent ages (12 ka-60 ka) across annual seasons and depths of deposition when either long-bleach multi-aliquot or late-background-subtraction single-aliquot PSL procedures were employed. Thus regional bottom silts would be unsuited for dating by these two luminescence dating approaches. However, a short-bleach multi-aliquot IR-PSL procedure yields the expected zero ages for several samples, a promising result that requires further exploration. (C) 2009 Elsevier B.V. All rights reserved.</t>
  </si>
  <si>
    <t>[Berger, G. W.; Ante, S.] Desert Res Inst, Reno, NV 89512 USA; [Domack, E.] Hamilton Coll, Dept Geosci, Clinton, NY 13323 USA</t>
  </si>
  <si>
    <t>Nevada System of Higher Education (NSHE); Desert Research Institute NSHE; Hamilton College</t>
  </si>
  <si>
    <t>Berger, GW (corresponding author), Desert Res Inst, 2215 Raggio Pkwy, Reno, NV 89512 USA.</t>
  </si>
  <si>
    <t>glenn.berger@dri.edu</t>
  </si>
  <si>
    <t>1871-1014</t>
  </si>
  <si>
    <t>QUAT GEOCHRONOL</t>
  </si>
  <si>
    <t>Quat. Geochronol.</t>
  </si>
  <si>
    <t>2-3</t>
  </si>
  <si>
    <t>10.1016/j.quageo.2009.01.010</t>
  </si>
  <si>
    <t>Geography, Physical; Geosciences, Multidisciplinary</t>
  </si>
  <si>
    <t>583IG</t>
  </si>
  <si>
    <t>WOS:000276666900031</t>
  </si>
  <si>
    <t>Verleye, TJ; Louwye, S</t>
  </si>
  <si>
    <t>Verleye, Thomas J.; Louwye, Stephen</t>
  </si>
  <si>
    <t>Late Quaternary environmental changes and latitudinal shifts of the Antarctic Circumpolar Current as recorded by dinoflagellate cysts from offshore Chile (41°S)</t>
  </si>
  <si>
    <t>QUATERNARY SCIENCE REVIEWS</t>
  </si>
  <si>
    <t>SEA-SURFACE CONDITIONS; ATLANTIC THERMOHALINE CIRCULATION; NORTHERN NORTH-ATLANTIC; SOUTHERN-OCEAN; RAINFALL VARIABILITY; MARINE-SEDIMENTS; CLIMATE HISTORY; RESTING CYSTS; ASSEMBLAGES; SALINITY</t>
  </si>
  <si>
    <t>The late Quaternary organic-walled dinoflagellate cyst record of Site 1233 (41 degrees S, offshore Chile) was studied with a similar to 200 year resolution spanning the last 25,000 years The study provides the first continuous record of sub-recent and recent dinoflagellate cysts in the Southeast (SE) Pacific. Major changes in the composition of the cyst association, cyst concentration and morphology of Operculodinium centrocatpum reflect changes in sea surface temperature (SST), sea surface salinity (SSS), palaeoproductivity and upwelling intensity. These changes can be associated with latitudinal shifts of the circumpolar frontal systems. The high cyst concentration, high Brigantedinium spp abundances, low species diversity and the occurrence of certain cold water species are supportive for a 7-10 degrees equatorward shift of the Antarctic Circumpolar Current (ACC) during the coldest phase of the List Glacial Maximum (LGM) between 25 and 211 cal ka BP Deglacial warming initiated at similar to 18.6 cal ka BP Termination 1(18 6-11.1 cal ka BP) is interrupted by an unstable period of extreme seasonality, rather than a cooling event, between 14.4 and 13 2 cal ka BP, synchronous with the Antarctic Cold Reversal (ACR). The Holocene Maximum is observed between 11 6 and 98 cal ka BP and is typified by the most southward position of the northern margin of the ACC A cooling phase occurred during the early Holocene (until similar to 7 cal ka BP) and during the last similar to 0 8 ka. Our data indicates that the SE Pacific (41 degrees S) climate has been influenced over the whole record by changes in the Southern Hemisphere (SH) high-latitudes, while during the mid to late Holocene, also a tropical forcing mechanism was involved, including the El Nino Southern Oscillation and the variable Hadley cell intensity Furthermore, this study showed a relationship between the variable morphology of the spines/processes of O. centrocarpum and the combined variation of sea surface salinity and temperature (SSS/SST-ratio). (C) 2010 Elsevier Ltd All rights reserved</t>
  </si>
  <si>
    <t>[Verleye, Thomas J.; Louwye, Stephen] Univ Ghent, Dept Soil Sci &amp; Geol, Res Unit Palaeontol, B-9000 Ghent, Belgium</t>
  </si>
  <si>
    <t>Ghent University</t>
  </si>
  <si>
    <t>Verleye, TJ (corresponding author), Univ Ghent, Dept Soil Sci &amp; Geol, Res Unit Palaeontol, Krijgslaan 281,S8-WE13, B-9000 Ghent, Belgium.</t>
  </si>
  <si>
    <t>Louwye, Stephen/D-3856-2012</t>
  </si>
  <si>
    <t>Louwye, Stephen/0000-0003-4814-4313</t>
  </si>
  <si>
    <t>Institute for the Encouragement of Innovation through Science and Technology in Flanders (WIT)</t>
  </si>
  <si>
    <t>T. Blunier, X. Boes, J Kaiser, A. Koutavas, F Lamy and L Thompson are thanked for providing data and for the instructive discussions. The interesting discussions with V. Pospelova and IC. Mertens are greatly acknowledged We are grateful to H. Bauch, and two anonymous reviewers for the critical remarks and suggestions which greatly improved the manuscript. Financial support to the first author was provided by the Institute for the Encouragement of Innovation through Science and Technology in Flanders (WIT). Samples for this study were kindly provided by the Ocean Drilling Program (ODP).</t>
  </si>
  <si>
    <t>0277-3791</t>
  </si>
  <si>
    <t>QUATERNARY SCI REV</t>
  </si>
  <si>
    <t>Quat. Sci. Rev.</t>
  </si>
  <si>
    <t>10.1016/j.quascirev.2010.01.009</t>
  </si>
  <si>
    <t>584JY</t>
  </si>
  <si>
    <t>WOS:000276749200015</t>
  </si>
  <si>
    <t>Bakunov, NA; Bol'shiyanov, DY; Makarov, AS</t>
  </si>
  <si>
    <t>Bakunov, N. A.; Bol'shiyanov, D. Yu.; Makarov, A. S.</t>
  </si>
  <si>
    <t>Retrospective Estimation of the Contamination of Lake Onega with Global 90Sr and of Natural Decontamination of Its Water</t>
  </si>
  <si>
    <t>RADIOCHEMISTRY</t>
  </si>
  <si>
    <t>The dynamics of the concentration of global Sr-90 in Lake Onega water for a 40-year period was reconstructed. The natural decontamination of Lake Onega water was characterized by a decrease in the Sr-90 content with the half-clearance time T = 16.5 years. By the end of formation of the major part of cumulative Sr-90 inventory in the lake ecosystem (1965), the Sr-90 inventories in water and bottom media were in 1 : 1.2 ratio. By that time, only 55% of the Sr-90 ingress passed from the lake water to bottom sediments. The water exchange in the lake occurred two times faster than the Sr-90 clearance. Decelerated natural decontamination of the lake water from Sr-90 was attributed to buffer properties of the system catchment area-deep lake-river drainage. The annual removal of Sr-90 from the lake with water of the Svir River was partially compensated by the Sr-90 supply to the lake from the catchment areas of rivers flowing into the lake. The cumulative inventory of global Sr-90 in the volume of Lake Onega water during the period from 1964 to 2005 decreased by a factor of similar to 5, from 10 to 1.9 TBq.</t>
  </si>
  <si>
    <t>[Bakunov, N. A.; Bol'shiyanov, D. Yu.; Makarov, A. S.] State Inst Russian Federat, Arctic &amp; Antarctic Res Inst, Ul Beringa 38, St Petersburg 199397, Russia</t>
  </si>
  <si>
    <t>Arctic &amp; Antarctic Research Institute</t>
  </si>
  <si>
    <t>Makarov, AS (corresponding author), State Inst Russian Federat, Arctic &amp; Antarctic Res Inst, Ul Beringa 38, St Petersburg 199397, Russia.</t>
  </si>
  <si>
    <t>makarov@aari.nw.ru</t>
  </si>
  <si>
    <t>Bakunov, Nikolay/AAB-4832-2019</t>
  </si>
  <si>
    <t>MAIK NAUKA/INTERPERIODICA/SPRINGER</t>
  </si>
  <si>
    <t>233 SPRING ST, NEW YORK, NY 10013-1578 USA</t>
  </si>
  <si>
    <t>1066-3622</t>
  </si>
  <si>
    <t>1608-3288</t>
  </si>
  <si>
    <t>RADIOCHEMISTRY+</t>
  </si>
  <si>
    <t>Radiochemistry</t>
  </si>
  <si>
    <t>10.1134/S1066362210020177</t>
  </si>
  <si>
    <t>Chemistry, Analytical; Chemistry, Inorganic &amp; Nuclear</t>
  </si>
  <si>
    <t>Chemistry</t>
  </si>
  <si>
    <t>VB5CB</t>
  </si>
  <si>
    <t>WOS:000415527000017</t>
  </si>
  <si>
    <t>Ahumada, BO</t>
  </si>
  <si>
    <t>Oscar Ahumada, Benicio</t>
  </si>
  <si>
    <t>THE TRANSFER OF ORKEY ISLANDS OBSERVATORY TO THE ARGENTINE NAVY</t>
  </si>
  <si>
    <t>REVISTA ESTUDIOS HEMISFERICOS Y POLARES</t>
  </si>
  <si>
    <t>Spanish</t>
  </si>
  <si>
    <t>Antarctica; Orkney; Naval Detachments; Navy</t>
  </si>
  <si>
    <t>Since the second half of the 40s in Argentina increased its activities in the Antarctic and each of its units began to have a great strategic and military. The Orkney Observatory since 1904 belongs to the Ministry of Agriculture and later the Office of Technical Affairs, but, unlike the detachments of Deception and Melchior, it wasn't occupied by military personnel, leaving the eastern sector of the Antarctic Peninsula defense against any foreign armed interference. In response, the Argentine government decided to transfer the observatory of Technical Affairs for the Navy, but was generated at both agencies budget problems delayed the formal making of the observatory by the military.</t>
  </si>
  <si>
    <t>[Oscar Ahumada, Benicio] Armada Rep Argentina, Dept Estudios Hist Navales, Buenos Aires, DF, Argentina</t>
  </si>
  <si>
    <t>Ahumada, BO (corresponding author), Armada Rep Argentina, Dept Estudios Hist Navales, Buenos Aires, DF, Argentina.</t>
  </si>
  <si>
    <t>boahumada@yahoo.com.ar</t>
  </si>
  <si>
    <t>CENTRO ESTUDIOS HEMISFERICOS &amp; POLARES</t>
  </si>
  <si>
    <t>VINA DEL MAR</t>
  </si>
  <si>
    <t>CALLE ROMA, 116, CALETA ABARCA, VINA DEL MAR, 2580060, CHILE</t>
  </si>
  <si>
    <t>0718-9230</t>
  </si>
  <si>
    <t>REV ESTUD HEMISFERIC</t>
  </si>
  <si>
    <t>Rev. Estud. Hemisfericos Polares</t>
  </si>
  <si>
    <t>Area Studies</t>
  </si>
  <si>
    <t>V36FS</t>
  </si>
  <si>
    <t>WOS:000215954700001</t>
  </si>
  <si>
    <t>Agüero, D</t>
  </si>
  <si>
    <t>Aguero, Daniel</t>
  </si>
  <si>
    <t>ROBERTO GUYER AND HIS PROPOSAL FOR THE CREATION OF AN ANTARCTIC ENTENTE OF THE SOUTHERN HEMISPHERE COUNTRIES</t>
  </si>
  <si>
    <t>Argentine Antarctic Policy; Roberto Guyer; Antarctic Entente</t>
  </si>
  <si>
    <t>The ratification of the Antarctic Treaty by Argentina would enable the latter to undertake a significant Antarctic policy. The realization of an agreement among the Southern Hemisphere countries would hinder the aspirations of the United States of America and the USSR on the Antarctic making it possible for Argentina to play a leading role. This agreement, which would go beyond the proper Antarctic matters, could even assure the devolution of the Malvinas Islands and it would not be necessary for it to be legally framed since it would be conformed as a matter of fact.</t>
  </si>
  <si>
    <t>[Aguero, Daniel] Serv Meteorol Nacl, Buenos Aires, DF, Argentina</t>
  </si>
  <si>
    <t>Agüero, D (corresponding author), Serv Meteorol Nacl, Buenos Aires, DF, Argentina.</t>
  </si>
  <si>
    <t>jdaguero@smn.gov.ar</t>
  </si>
  <si>
    <t>WOS:000215954700003</t>
  </si>
  <si>
    <t>Harris, A; Marquis, P; Eriksen, HR; Grant, I; Corbett, R; Lie, SA; Ursin, H</t>
  </si>
  <si>
    <t>Harris, A.; Marquis, P.; Eriksen, H. R.; Grant, I.; Corbett, R.; Lie, S. A.; Ursin, H.</t>
  </si>
  <si>
    <t>Diurnal rhythm in British Antarctic personnel</t>
  </si>
  <si>
    <t>RURAL AND REMOTE HEALTH</t>
  </si>
  <si>
    <t>adaptation; cortisol; extreme environment; sleep problems; subjective health complaints; tiredness</t>
  </si>
  <si>
    <t>SEASONAL AFFECTIVE-DISORDER; NEGATIVE AFFECT; CORTISOL; MELATONIN; SCHEDULE; SLEEP; SHIFT; PANAS; WORK</t>
  </si>
  <si>
    <t>Introduction: The diurnal rhythm of saliva cortisol and its association to adaptation, performance and health were examined in personnel over-wintering at two British Antarctic stations. Methods: In total, 55 healthy individuals (49 males, 6 females) participated in the study. Cortisol in saliva was sampled on 3 consecutive days (at awakening, 15 and 45 min after waking, at 15.00 h, and 22.00 h) immediately after arrival at the station, midwinter, and the last week before departure. Subjective health complaints were also measured at arrival, midwinter, and the last week before departure, while depression (Burnam screen for depression) and positive and negative affect (PANAS) were measured at midwinter only. At the end of the winter appointment, base commanders evaluated the performance of all personnel. Results: The variations in external light (darkness during winter, midnight sun during arrival and departure) did not influence the diurnal rhythms. The normal peak level in the morning, and the normal and gradual fall towards the evening were observed at arrival, midwinter, and before departure. Immediately after arrival the cortisol values were relatively high and correlated positively with base commander's evaluation of performance. During midwinter, approximately 58% scored for depression on the Burnam scale. However, when examining these data more closely, only 4 participants (7%) reported depression, the main reason for the high score on the depression scale was related to sleep problems and tiredness. Conclusions: There was no indication that over-wintering led to any disturbance in the diurnal rhythm of cortisol in British Antarctic personnel. There were no other indications of any 'over-wintering syndrome' than reports of subjective sleep problems and tiredness.</t>
  </si>
  <si>
    <t>[Harris, A.] Univ Bergen, Unifob Hlth, Res Ctr Hlth Promot, Bergen, Norway; [Marquis, P.; Grant, I.; Corbett, R.] Derriford Hosp, British Antarctic Survey, Emergency Dept, Plymouth PL6 8DH, Devon, England</t>
  </si>
  <si>
    <t>University of Bergen; UK Research &amp; Innovation (UKRI); Natural Environment Research Council (NERC); NERC British Antarctic Survey; Derriford Hospital</t>
  </si>
  <si>
    <t>Harris, A (corresponding author), Univ Bergen, Unifob Hlth, Res Ctr Hlth Promot, Bergen, Norway.</t>
  </si>
  <si>
    <t>Corbett, Richard/W-1784-2019; Corbett, Richard/H-5577-2013</t>
  </si>
  <si>
    <t>Corbett, Richard/0000-0002-4607-8554; Corbett, Richard/0000-0002-4607-8554</t>
  </si>
  <si>
    <t>BAS/BASMU; Unifob health</t>
  </si>
  <si>
    <t>The authors acknowledge the BAS Personnel Department for processing, distribution and collection of SOAP input data forms; the wintering staff who took part in the study; Nina Konglevoll for technical assistance, Eli Nordeide, Randi F Espelid and Nina Harkestad for the analysis of cortisol. The study was supported by grants from BAS/BASMU and Unifob health.</t>
  </si>
  <si>
    <t>COLL MEDICINE &amp; DENTISTRY JAMES COOK UNIV TOWNSVILLE</t>
  </si>
  <si>
    <t>DOUGLAS</t>
  </si>
  <si>
    <t>1 JAMES COOK DR, DOUGLAS, QUEENSLAND, AUSTRALIA</t>
  </si>
  <si>
    <t>1445-6354</t>
  </si>
  <si>
    <t>RURAL REMOTE HEALTH</t>
  </si>
  <si>
    <t>Rural Remote Health</t>
  </si>
  <si>
    <t>Public, Environmental &amp; Occupational Health</t>
  </si>
  <si>
    <t>Science Citation Index Expanded (SCI-EXPANDED); Social Science Citation Index (SSCI)</t>
  </si>
  <si>
    <t>708DT</t>
  </si>
  <si>
    <t>WOS:000286342500019</t>
  </si>
  <si>
    <t>Vishnevskaya, VS</t>
  </si>
  <si>
    <t>Vishnevskaya, V. S.</t>
  </si>
  <si>
    <t>The problems of radiolarian-based dating of Jurassic-Cretaceous siliceous rocks from accretionary complexes, the Russian East</t>
  </si>
  <si>
    <t>RUSSIAN JOURNAL OF PACIFIC GEOLOGY</t>
  </si>
  <si>
    <t>radiolarians; Mesozoic; biostratigraphic scales; Northeast Russia</t>
  </si>
  <si>
    <t>ANTARCTIC PENINSULA; BIOSTRATIGRAPHY; ASSEMBLAGES</t>
  </si>
  <si>
    <t>Radiolarians, which represent the most widespread fossil faunal group in jaspers and cherts, are the best tool for determining the geological age of Jurassic-Cretaceous volcanogenic-siliceous sequences in the Pacific margin of Russia, because they meet all the conditions required for orthostratigraphic groups, i.e., demonstrate rapid evolutionary changes of their assemblages, completeness of their record through the geological section, and a wide lateral distribution. The selection of biostratigraphic scales for determining the age of radiolarian assemblages is of principal significance. The significant difficulty in correlating Tethyan and Pacific assemblages is similar to that appearing in the case of the correlation between the Tethyan and Boreal ammonite standards. The existing discrepancies are explained by the different life spans of some guide species that determine the stratigraphic range of particular zones in their geographic type areas and may be different in other paleobiogeographic regions and provinces. The program of scientific studies should include the search for and thorough analysis of Jurassic-Cretaceous sections in Russia that contain simultaneously radiolarians, buchians, and ammonites. Such sections might provide the possibility for developing a single scale for the transitional sections and outlining ways for correlating the Tethyan and Pacific assemblages.</t>
  </si>
  <si>
    <t>Russian Acad Sci, Inst Geol, Moscow 119017, Russia</t>
  </si>
  <si>
    <t>Geological Institute, Russian Academy of Sciences; Russian Academy of Sciences</t>
  </si>
  <si>
    <t>Vishnevskaya, VS (corresponding author), Russian Acad Sci, Inst Geol, Pyzhevskii 7, Moscow 119017, Russia.</t>
  </si>
  <si>
    <t>valentina@ilran.ru</t>
  </si>
  <si>
    <t>Russian Foundation for Basic Research [09-05-00342]; Presidium of the Russian Academy of Sciences</t>
  </si>
  <si>
    <t>Russian Foundation for Basic Research(Russian Foundation for Basic Research (RFBR)Spanish Government); Presidium of the Russian Academy of Sciences(Russian Academy of Sciences)</t>
  </si>
  <si>
    <t>This work was supported by the Russian Foundation for Basic Research (project no. 09-05-00342) and the Program of the Presidium of the Russian Academy of Sciences Origin of the Biosphere and Evolution of Geobiological Systems.</t>
  </si>
  <si>
    <t>1819-7140</t>
  </si>
  <si>
    <t>RUSS J PAC GEOL</t>
  </si>
  <si>
    <t>Russ. J. Pac. Geol.</t>
  </si>
  <si>
    <t>10.1134/S181971401002003X</t>
  </si>
  <si>
    <t>590WN</t>
  </si>
  <si>
    <t>WOS:000277259100003</t>
  </si>
  <si>
    <t>Chong, CW; Pearce, DA; Convey, P; Tan, GYA; Wong, RCS; Tan, IKP</t>
  </si>
  <si>
    <t>Chong, Chun Wie; Pearce, David A.; Convey, Peter; Tan, G. Y. Annie; Wong, Richard C. S.; Tan, Irene K. P.</t>
  </si>
  <si>
    <t>High levels of spatial heterogeneity in the biodiversity of soil prokaryotes on Signy Island, Antarctica</t>
  </si>
  <si>
    <t>SOIL BIOLOGY &amp; BIOCHEMISTRY</t>
  </si>
  <si>
    <t>16S rRNA gene; DGGE; Environmental impact; Human impact; Heavy metals</t>
  </si>
  <si>
    <t>HEAVY-METAL CONTAMINATION; GEL-ELECTROPHORESIS DGGE; ROSS SEA REGION; BACTERIAL DIVERSITY; BACTERIOPLANKTON COMMUNITY; MICROBIAL COMMUNITIES; VICTORIA LAND; DIESEL FUEL; GRADIENT; STATION</t>
  </si>
  <si>
    <t>In a previous study, soil bacterial diversity at environmentally distinct locations on Signy Island was examined using denaturing gradient gel electrophoresis (DGGE) profiling, and a range of chemical variables in soils was determined in order to describe variations between them. The dominant bacterial communities of all locations were found to be significantly different, although higher levels of similarity were observed between locations with similar physico-chemical characteristics, such as at penguin rookeries, seal wallows and vegetated soils. Extending this study, here soil prokaryote biodiversity was compared between 15 distinct locations in order to elucidate any interaction between four general habitat types on Signy Island (South Orkney Islands, maritime Antarctic) and any influence of previous human impacts at these sites. Specific sites were selected to represent the range of different soil environments present and to cover a range of environmental factors present in the maritime Antarctic which are known to influence bacterial community composition in soils elsewhere. A diverse prokaryote community is described, again with the majority of excised and sequenced bands belonging to the Bacteroidetes. Although DGGE profiling identified significant differences in prokaryotic biodiversity between all sampling sites, aggregations of banding patterns were also apparent across the different soil environments examined. Correlations between specific DGGE profiles and 10 selected soil parameters suggested that much of this variation could be explained by differences in the levels of environmental disturbance and soil pH. In particular, a greater proportion of variation in soil bacterial diversity was explained by differences in soil properties at human-disturbed locations than at undisturbed locations, with higher explanatory values by edaphic factors in the former and soil metal content in the later. In general, our data indicate that small-scale variation is an important factor in understanding patterns of prokaryotic distributions in soil habitats in the maritime Antarctic environment. (c) 2009 Elsevier Ltd. All rights reserved.</t>
  </si>
  <si>
    <t>[Chong, Chun Wie; Tan, G. Y. Annie; Tan, Irene K. P.] Univ Malaya, Fac Sci, Inst Biol Sci, Kuala Lumpur 50603, Malaysia; [Pearce, David A.; Convey, Peter] British Antarctic Survey, NERC, Cambridge CB3 0ET, England; [Wong, Richard C. S.] Univ Malaya, Fac Sci, Dept Chem, Kuala Lumpur 50603, Malaysia</t>
  </si>
  <si>
    <t>Universiti Malaya; UK Research &amp; Innovation (UKRI); Natural Environment Research Council (NERC); NERC British Antarctic Survey; Universiti Malaya</t>
  </si>
  <si>
    <t>Chong, CW (corresponding author), Univ Malaya, Fac Sci, Inst Biol Sci, Kuala Lumpur 50603, Malaysia.</t>
  </si>
  <si>
    <t>cchhoonngg81@yahoo.com</t>
  </si>
  <si>
    <t>Chong, Chun Wie/ABG-7676-2020; Convey, Peter/AAV-5728-2020; Tan, Geok Yuan Annie/B-7996-2009; WONG, RICHARD/C-1045-2010; Tan, Irene Kit Ping/B-8661-2010</t>
  </si>
  <si>
    <t>Chong, Chun Wie/0000-0002-6881-8883; Convey, Peter/0000-0001-8497-9903; WONG, RICHARD/0000-0003-0497-7049; Tan, Irene Kit Ping/0000-0001-9601-5810; Pearce, David/0000-0001-5292-4596</t>
  </si>
  <si>
    <t>Malaysian Antarctic Research Programme (MARP); British Antarctic Survey (BAS); NERC [bas0100025] Funding Source: UKRI; Natural Environment Research Council [bas0100025] Funding Source: researchfish</t>
  </si>
  <si>
    <t>Malaysian Antarctic Research Programme (MARP); British Antarctic Survey (BAS); NERC(UK Research &amp; Innovation (UKRI)Natural Environment Research Council (NERC)); Natural Environment Research Council(UK Research &amp; Innovation (UKRI)Natural Environment Research Council (NERC))</t>
  </si>
  <si>
    <t>This project was funded by the Malaysian Antarctic Research Programme (MARP), and the British Antarctic Survey (BAS) provided logistic support and field training. It also forms a contribution to the BAS Polar Science for Planet Earth and SCAR EBA research programmes. We thank Roger Worland and David Routledge for assistance in sample collection, and the Editor and anonymous reviewers for helpful comments improving the manuscript.</t>
  </si>
  <si>
    <t>0038-0717</t>
  </si>
  <si>
    <t>1879-3428</t>
  </si>
  <si>
    <t>SOIL BIOL BIOCHEM</t>
  </si>
  <si>
    <t>Soil Biol. Biochem.</t>
  </si>
  <si>
    <t>10.1016/j.soilbio.2009.12.009</t>
  </si>
  <si>
    <t>Soil Science</t>
  </si>
  <si>
    <t>Agriculture</t>
  </si>
  <si>
    <t>573NR</t>
  </si>
  <si>
    <t>WOS:000275921100010</t>
  </si>
  <si>
    <t>Van Staden, W; Van Vuuren, SJ; Smith, V; Van Rensburg, L</t>
  </si>
  <si>
    <t>Van Staden, W.; Van Vuuren, S. Janse; Smith, V.; Van Rensburg, L.</t>
  </si>
  <si>
    <t>Freshwater algae (excluding diatoms) of the Sub-Antarctic Marion Island</t>
  </si>
  <si>
    <t>SOUTH AFRICAN JOURNAL OF BOTANY</t>
  </si>
  <si>
    <t>[Van Staden, W.; Van Vuuren, S. Janse; Van Rensburg, L.] North West Univ, Sch Environm Sci, ZA-2520 Potchefstroom, South Africa; [Smith, V.] Univ Stellenbosch, Dept Bot &amp; Zool, ZA-7602 Matieland, South Africa</t>
  </si>
  <si>
    <t>North West University - South Africa; Stellenbosch University</t>
  </si>
  <si>
    <t>van Staden, Wilma/0000-0002-2794-228X</t>
  </si>
  <si>
    <t>0254-6299</t>
  </si>
  <si>
    <t>S AFR J BOT</t>
  </si>
  <si>
    <t>S. Afr. J. Bot.</t>
  </si>
  <si>
    <t>10.1016/j.sajb.2010.02.051</t>
  </si>
  <si>
    <t>599HP</t>
  </si>
  <si>
    <t>hybrid</t>
  </si>
  <si>
    <t>WOS:000277902300077</t>
  </si>
  <si>
    <t>Harasewych, MG; Pastorino, G</t>
  </si>
  <si>
    <t>Harasewych, M. G.; Pastorino, Guido</t>
  </si>
  <si>
    <t>Trophonella (Gastropoda: Muricidae), a New Genus from Antarctic Waters, with the Description of a New Species</t>
  </si>
  <si>
    <t>VELIGER</t>
  </si>
  <si>
    <t>PHYLOGENETIC ANALYSIS; NEOGASTROPODA</t>
  </si>
  <si>
    <t>The new genus Trophonella is described from the outer shelf and upper continental slope of Antarctica and islands within the Antarctic Convergence. Four previously known species that had been attributed to the genus Trophon (Trophon scotianus Powell, 1951; T echinolamellatus Powell, 1951; T enderbyensis Powell, 1958; and T eversoni Houart, 1997) are included in Trophonella, as is one new species (Trophonella rugosolamellata) described herein. Trophonella resembles Trophon in gross shell morphology: the members of both genera have large, globose shells, paucispiral protoconchs, prominent axial lamellae, and short siphonal canals. Trophonella differs from Trophon in having shells with evenly rounded whorls that lack a well-defined shoulder; rachidian teeth with distinctive, broadly triangular central cusps, but that lack the marginal cusps of Trophon; characteristic spherical accessory salivary glands; and a circumpapillar fold on the penis that is absent in Trophon. Relationships of the genera Trophon and Trophonella, as well as of the subfamily Trophoninae are reexamined by supplementing the data matrix of Kool (1993b, Table 3) with data for additional taxa. Results support the segregation of Trophonella from Trophon at the generic level. Based on the relationships of the type species of their respective nominotypical genera, Trophoninae is either the sister taxon of a narrowly circumscribed Ocenebrinae, or both are part of a larger clade. A better resolved phylogeny containing a much broader sampling of the more than 50 genus-level taxa that have been attributed to these two subfamilies will be required in order to delineate more precisely the membership of the clade and to identify its diagnostic synapomorphies.</t>
  </si>
  <si>
    <t>[Harasewych, M. G.] Smithsonian Inst, Dept Invertebrate Zool, Natl Museum Nat Hist, MRC 163, Washington, DC 20013 USA; [Pastorino, Guido] Museo Argentino Ciencias Nat Bernardino Rivadavia, Buenos Aires, DF, Argentina</t>
  </si>
  <si>
    <t>Smithsonian Institution; Smithsonian National Museum of Natural History; Museo Argentino de Ciencias Naturales Bernardino Rivadavia (MACN)</t>
  </si>
  <si>
    <t>Harasewych, MG (corresponding author), Smithsonian Inst, Dept Invertebrate Zool, Natl Museum Nat Hist, MRC 163, POB 37012, Washington, DC 20013 USA.</t>
  </si>
  <si>
    <t>Harasewych@si.edu; gpastorino@macn.gov.ar</t>
  </si>
  <si>
    <t>Consejo Nacional de Investigaciones Cientificas y Tecnicas (CONICET), Argentina; NSF-USAP United States Antarctic [ANTO636408]; Conchologists of America; Walter E. Sage Memorial Award</t>
  </si>
  <si>
    <t>Consejo Nacional de Investigaciones Cientificas y Tecnicas (CONICET), Argentina(Consejo Nacional de Investigaciones Cientificas y Tecnicas (CONICET)); NSF-USAP United States Antarctic; Conchologists of America; Walter E. Sage Memorial Award</t>
  </si>
  <si>
    <t>We thank the following curators and collection managers for access to specimens in their collections: K. Way (NHM); A. Waren (NHRM); P. Bouchet and V. Heros (MNHN); P. Mikelsen (AMNH); B. Hausdorf (ZMH), A. Tablado (MACN); C. Ituarte; (MLP) and R. Janssen (SM); P. Arnaud, Endoume, France. This work was supported by a grant from the Consejo Nacional de Investigaciones Cientificas y Tecnicas (CONICET), Argentina, which enabled the junior author to work in the Division of Mollusks, United States National Museum of Natural History, Smithsonian Institution. Additional support was provided in part by a Research Award from the NSF-USAP United States Antarctic Program Grant [ANTO636408] and a grant-in-aid from the Conchologists of America and the Walter E. Sage Memorial Award. We are grateful to Dr. Yu. Kantor for his many helpful and insightful comments during the course of this research, and to Roland Houart and Dr. Geerat Vermeij for their helpful reviews.</t>
  </si>
  <si>
    <t>CALIFORNIA MALACOZOOLOGICAL SOC INC</t>
  </si>
  <si>
    <t>SANTA BARBARA</t>
  </si>
  <si>
    <t>SANTA BARBARA MUSEUM NATURAL HISTORY, 2559 PUESTA DEL SOL RD, SANTA BARBARA, CA 93105 USA</t>
  </si>
  <si>
    <t>0042-3211</t>
  </si>
  <si>
    <t>Veliger</t>
  </si>
  <si>
    <t>MAR 31</t>
  </si>
  <si>
    <t>581JY</t>
  </si>
  <si>
    <t>WOS:000276519900008</t>
  </si>
  <si>
    <t>Casadío, S; Nelson, C; Taylor, P; Griffin, M; Gordon, D</t>
  </si>
  <si>
    <t>Casadio, Silvio; Nelson, Campbell; Taylor, Paul; Griffin, Miguel; Gordon, Dennis</t>
  </si>
  <si>
    <t>West Antarctic Rift system: a possible New Zealand-Patagonia Oligocene paleobiogeographic link</t>
  </si>
  <si>
    <t>AMEGHINIANA</t>
  </si>
  <si>
    <t>DRAKE PASSAGE; SOUTHERN-OCEAN; GASTROPODS; HISTORY; MIOCENE</t>
  </si>
  <si>
    <t>[Casadio, Silvio] Univ Nacl La Pampa, RA-6300 Santa Rosa, Argentina; [Nelson, Campbell] Univ Waikato, Hamilton 3240, New Zealand; [Taylor, Paul] Nat Hist Museum, London SW7 5BD, England; [Griffin, Miguel] Museo La Plata, RA-1900 La Plata, Argentina; [Gordon, Dennis] NIWA, Wellington, New Zealand</t>
  </si>
  <si>
    <t>University of Waikato; Natural History Museum London; National Institute of Water &amp; Atmospheric Research (NIWA) - New Zealand</t>
  </si>
  <si>
    <t>Casadío, S (corresponding author), Univ Nacl La Pampa, Uruguay 151, RA-6300 Santa Rosa, Argentina.</t>
  </si>
  <si>
    <t>scasadio@cpenet.com.ar; c.nelson@waikato.ac.nz; p.taylor@nhm.ac.uk; miguelgriffin@aol.com; d.gor-don@niwa.co.nz</t>
  </si>
  <si>
    <t>Casadio, Silvio/A-5131-2010</t>
  </si>
  <si>
    <t>Taylor, Paul/0000-0002-3127-080X</t>
  </si>
  <si>
    <t>ASOCIACION PALEONTOLOGICA ARGENTINA</t>
  </si>
  <si>
    <t>BUENOS AIRES</t>
  </si>
  <si>
    <t>MAIPU 645, 1ER PISO, 1006 BUENOS AIRES, ARGENTINA</t>
  </si>
  <si>
    <t>0002-7014</t>
  </si>
  <si>
    <t>1851-8044</t>
  </si>
  <si>
    <t>Ameghiniana</t>
  </si>
  <si>
    <t>MAR 30</t>
  </si>
  <si>
    <t>10.5710/AMGH.v47i1.5</t>
  </si>
  <si>
    <t>610RK</t>
  </si>
  <si>
    <t>WOS:000278752100012</t>
  </si>
  <si>
    <t>Wang, YT; Hou, SG; Masson-Delmotte, V; Jouzel, J</t>
  </si>
  <si>
    <t>Wang, Yetang; Hou, Shugui; Masson-Delmotte, Valerie; Jouzel, Jean</t>
  </si>
  <si>
    <t>A generalized additive model for the spatial distribution of stable isotopic composition in Antarctic surface snow</t>
  </si>
  <si>
    <t>CHEMICAL GEOLOGY</t>
  </si>
  <si>
    <t>delta 18O; delta D; Deuterium excess; Spatial distribution; GAM; Antarctica</t>
  </si>
  <si>
    <t>DRONNING-MAUD-LAND; DEUTERIUM EXCESS; ICE-CORE; CLIMATE VARIABILITY; AREAL DISTRIBUTION; LAW DOME; PRECIPITATION; ACCUMULATION; INFORMATION; STATION</t>
  </si>
  <si>
    <t>Using the most recent compilation of surface Antarctic snow isotopic composition data and a 1 km resolution digital elevation model (DEM), a generalized additive model (GAM) was used to develop a new gridded map of stable isotopic composition in Antarctic surface snow. The model explained 93.9% of the observed variance in the delta O-18 data, 92.7% of the observed delta D variance and 66.6% of the observed deuterium excess. The performance of the model was evaluated by applying different quantitative approaches to the residuals from a cross-validation test This modeling approach is a useful tool for interpolating local surface snow isotopic composition over Antarctica both in terms of the low estimated errors and the possibility of understanding the processes that control stable isotopic composition in Antarctic surface snow, through the response curves of each independent variable. We also presented and interpreted the resulting spatial variation patterns of delta O-18, delta D and deuterium excess to better use in many hydrological and paleoclimate applications. (C) 2010 Elsevier B.V. All rights reserved.</t>
  </si>
  <si>
    <t>[Hou, Shugui] Nanjing Univ, MOE, Key Lab Coast &amp; Isl Dev, Sch Geog &amp; Oceanog Sci, Nanjing 210093, Peoples R China; [Wang, Yetang] Shandong Marine Fisheries Res Inst, Yantai 264006, Peoples R China; [Wang, Yetang; Hou, Shugui] Chinese Acad Sci, State Key Lab Cryospher Sci, Cold &amp; Arid Reg Environm &amp; Engn Res Inst, Lanzhoh 73000, Gansu, Peoples R China; [Masson-Delmotte, Valerie; Jouzel, Jean] CE Saclay, IPSL, LSCE, CEA,CNRS,UVSQ, F-91191 Gif Sur Yvette, France</t>
  </si>
  <si>
    <t>Nanjing University; Chinese Academy of Sciences; Cold &amp; Arid Regions Environmental &amp; Engineering Research Institute, CAS; Universite Paris Saclay; CEA; Centre National de la Recherche Scientifique (CNRS); Universite Paris Cite</t>
  </si>
  <si>
    <t>Hou, SG (corresponding author), Nanjing Univ, MOE, Key Lab Coast &amp; Isl Dev, Sch Geog &amp; Oceanog Sci, 22 Hankou Rd, Nanjing 210093, Peoples R China.</t>
  </si>
  <si>
    <t>shugui@nju.edu.cn</t>
  </si>
  <si>
    <t>Hou, Shugui/J-3651-2015; Masson-Delmotte, Valerie L/G-1995-2011</t>
  </si>
  <si>
    <t>Masson-Delmotte, Valerie L/0000-0001-8296-381X; Hou, Shugui/0000-0002-0905-3542</t>
  </si>
  <si>
    <t>Chinese Academy of Sciences [SKLCSZZ-2008-06]; National Natural Science Foundation of China [40825017]; National Key Technology RD Program [2006BAB18801]; Centre National de Recherche Scientifique (CNRS) [3299]; Agence Nationale de la Recherche, PICC; Dome A projects</t>
  </si>
  <si>
    <t>Chinese Academy of Sciences(Chinese Academy of Sciences); National Natural Science Foundation of China(National Natural Science Foundation of China (NSFC)); National Key Technology RD Program(National Key Technology R&amp;D Program); Centre National de Recherche Scientifique (CNRS)(Centre National de la Recherche Scientifique (CNRS)); Agence Nationale de la Recherche, PICC(Agence Nationale de la Recherche (ANR)); Dome A projects</t>
  </si>
  <si>
    <t>We are very grateful to B. Bourdon (the editor) and the anonymous reviewer for their careful reading and very constructive comments to improve this manuscript. This work was supported by the Chinese Academy of Sciences (SKLCSZZ-2008-06), National Natural Science Foundation of China (40825017), National Key Technology R&amp;D Program (2006BAB18801), Centre National de Recherche Scientifique (CNRS), through the Programme International de Cooperation Scientifique (PICS) project Climate and Environment in Antarctica and the Himalayas (CLEAH, 3299), and Agence Nationale de la Recherche, PICC and Dome A projects.</t>
  </si>
  <si>
    <t>0009-2541</t>
  </si>
  <si>
    <t>1872-6836</t>
  </si>
  <si>
    <t>CHEM GEOL</t>
  </si>
  <si>
    <t>Chem. Geol.</t>
  </si>
  <si>
    <t>10.1016/j.chemgeo.2010.01.004</t>
  </si>
  <si>
    <t>582JI</t>
  </si>
  <si>
    <t>WOS:000276592800004</t>
  </si>
  <si>
    <t>Hemer, MA; Church, JA; Hunter, JR</t>
  </si>
  <si>
    <t>Hemer, Mark A.; Church, John A.; Hunter, John R.</t>
  </si>
  <si>
    <t>Variability and trends in the directional wave climate of the Southern Hemisphere</t>
  </si>
  <si>
    <t>INTERNATIONAL JOURNAL OF CLIMATOLOGY</t>
  </si>
  <si>
    <t>surface ocean waves; wave direction; Southern Ocean; Southern Annular Mode; climatology; coastal longshore transport</t>
  </si>
  <si>
    <t>NORTH-ATLANTIC; EL-NINO; ANTARCTIC OSCILLATION; WIND; VALIDATION; MODULATION; HINDCAST; HEIGHT; REGION; MODE</t>
  </si>
  <si>
    <t>The effect of interannual climate variability and change on the historic, directional wave climate of the Southern Hemisphere is presented. Owing to a lack of in situ wave observations, wave climate in the Southern Hemisphere is determined from satellite altimetry and global ocean wave models. Altimeter data span the period 1985 to present, with the exception of a 2-year gap in 1989-1991. Interannual variability and trends in the significant wave height are determined from the satellite altimeter record (1991 to present), and the dominant modes of variability are identified using an empirical orthogonal function (EOF) analysis. Significant wave heights in the Southern Ocean are observed to show a strong positive correlation with the Southern Annular Mode (SAM), particularly during Austral autumn and winter months. Correlation between altimeter derived significant wave heights and the Southern Oscillation Index is observed in the Pacific basin, which is consistent with several previous studies. Variability and trends of the directional wave climate are determined using the ERA-40 Waves Re-analysis for the period 1980-2001. Significant wave height, mean wave period and mean wave direction data are used to describe the climate of the wave energy flux vector. An EOF analysis of the wave energy flux vector is carried out to determine the dominant modes of variability of the directional seasonal wave energy flux climate. The dominant mode of variability during autumn and winter months is strongly correlated to the SAM. There is an anti-clockwise rotation of wave direction with the southward intensification of the Southern Ocean storm belt associated with the SAM. Clockwise rotation of flux vectors is observed in the Western Pacific Ocean during El-Nino events. Directional variability of the wave energy flux in the Western Pacific Ocean has previously been shown to be of importance to sand transport along the south-eastern Australian margin, and the New Zealand region. The directional variability of the wave energy flux of the Southern Ocean associated with the SAM is expected to be of importance to the wave-driven currents responsible for the transport of sand along coastal margins in the Southern Hemisphere, in particular those on the Southern and Western coastal margins of the Australian continent. Copyright 2009 Royal Meteorological Society</t>
  </si>
  <si>
    <t>[Hemer, Mark A.; Church, John A.] CSIRO Marine &amp; Atmospher Res, Ctr Australian Weather &amp; Climate Res, Hobart, Tas, Australia; [Church, John A.; Hunter, John R.] Univ Tasmania, Antarctic Climate &amp; Ecosyst Cooperat Res Ctr, Hobart, Tas, Australia</t>
  </si>
  <si>
    <t>Commonwealth Scientific &amp; Industrial Research Organisation (CSIRO); University of Tasmania; Antarctic Climate &amp; Ecosystems Cooperative Research Centre (ACE CRC)</t>
  </si>
  <si>
    <t>Hemer, MA (corresponding author), CSIRO Marine &amp; Atmospher Res, Ctr Australian Weather &amp; Climate Res, Hobart, Tas, Australia.</t>
  </si>
  <si>
    <t>mark.hemer@csiro.au</t>
  </si>
  <si>
    <t>Church, John A/A-1541-2012; Hemer, Mark/M-1905-2013</t>
  </si>
  <si>
    <t>Church, John A/0000-0002-7037-8194; Hemer, Mark/0000-0002-7725-3474</t>
  </si>
  <si>
    <t>Australian Government Department of Climate Change; Australian Government's Cooperative Research Centres Programme through the Antarctic Climate and Ecosystems Cooperative Research Centre</t>
  </si>
  <si>
    <t>Australian Government Department of Climate Change(Australian Government); Australian Government's Cooperative Research Centres Programme through the Antarctic Climate and Ecosystems Cooperative Research Centre(Australian GovernmentDepartment of Industry, Innovation and ScienceCooperative Research Centres (CRC) Programme)</t>
  </si>
  <si>
    <t>This paper is contribution to the Commonwealth Scientific Industrial Research Organisation (CSIRO) Climate Change Research Program and Wealth from Oceans Flagship. The research was funded with assistance from the Australian Government Department of Climate Change and supported by the Australian Government's Cooperative Research Centres Programme through the Antarctic Climate and Ecosystems Cooperative Research Centre. The authors acknowledge the supply of data from: ECMWF; Andreas Sterl, KNMI; DEOS, TU Delft; Australian Governement Bureau of Meteorology; Manly Hydraulics Laboratory, Department of Commerce, Government of New South Wales; Department of Planning and Infrastructure, Government of Western Australia; Environmental Protection Agency, Government of Queensland; Port of Melbourne; and Environment Canterbury, New Zealand. We also thank Dr Jim Gunson (CSIRO Marine and Atmospheric Research), Dr Peter Adams (University of Florida) and one anonymous reviewer for their comments that contributed to the manuscript. The Centre for Australian Weather and Climate Research is a partnership between CSIRO and the Australian Bureau of Meteorology.</t>
  </si>
  <si>
    <t>0899-8418</t>
  </si>
  <si>
    <t>1097-0088</t>
  </si>
  <si>
    <t>INT J CLIMATOL</t>
  </si>
  <si>
    <t>Int. J. Climatol.</t>
  </si>
  <si>
    <t>10.1002/joc.1900</t>
  </si>
  <si>
    <t>575SH</t>
  </si>
  <si>
    <t>WOS:000276087500001</t>
  </si>
  <si>
    <t>Iimura, H; Fritts, DC; Wu, Q; Skinner, WR; Palo, SE</t>
  </si>
  <si>
    <t>Iimura, H.; Fritts, D. C.; Wu, Q.; Skinner, W. R.; Palo, S. E.</t>
  </si>
  <si>
    <t>Nonmigrating semidiurnal tide over the Arctic determined from TIMED Doppler Interferometer wind observations</t>
  </si>
  <si>
    <t>MESOSPHERE-LOWER THERMOSPHERE; GENERAL-CIRCULATION MODEL; MF RADAR OBSERVATIONS; LATENT-HEAT RELEASE; PLANETARY-WAVES; SOUTH-POLE; MIDDLE ATMOSPHERE; MEAN WINDS; METEOR RADAR; NONLINEAR-INTERACTIONS</t>
  </si>
  <si>
    <t>The TIMED Doppler Interferometer (TIDI) on the NASA Thermosphere Ionosphere Mesosphere Energetics and Dynamics (TIMED) satellite has been measuring horizontal winds in the mesosphere and lower thermosphere (MLT) since 2002. Because of the high inclination of the TIMED orbit, TIDI measures the horizontal winds from pole to pole every orbit. This paper presents the first assessment of the spatial structure and temporal evolution of the nonmigrating semidiurnal tides over the Arctic determined from the TIDI wind measurements and a comparison of the structure of the nonmigrating semidiurnal tide between the Arctic and Antarctic. The nonmigrating semidiurnal tides were determined as a 60 day average based on the yaw cycles of the spacecraft. The nonmigrating semidiurnal tidal wind field over the Arctic comprises mainly the westward-propagating zonal wave numbers 1 (W1) and 3 (W3) and standing zonal wave number 0 (S0) modes. The W1 mode is the most prominent, maximizing above 90 km poleward of 60 degrees N during the yaw interval ranging from mid-March to mid-May. While this mode exhibits a slight amplitude increase toward the North Pole during this interval, its phase is nearly constant with latitude. The S0 mode is enhanced over two yaw intervals ranging from mid-January to mid-May, but its amplitude decreases toward the North Pole. Compared to the W1 semidiurnal tide over the Antarctic, that over the Arctic is smaller in amplitude, of less extended duration, achieves maximum amplitudes at higher altitudes by similar to 10 km, and exhibits a weaker amplitude increase toward the pole. These differences likely result from differences in excitation mechanisms and efficiency and/or in propagation conditions in the two responses for the nonmigrating semidiurnal tides between the Arctic and Antarctic.</t>
  </si>
  <si>
    <t>[Iimura, H.; Fritts, D. C.] NW Res Associates Inc, Colorado Res Associates Div, Boulder, CO 80301 USA; [Wu, Q.] Natl Ctr Atmospher Res, High Latitude Observ, Boulder, CO 80307 USA; [Palo, S. E.] Univ Colorado, Dept Aerosp Engn Sci, Boulder, CO 80309 USA; [Skinner, W. R.] Univ Michigan, Space Phys Res Lab, Ann Arbor, MI 48109 USA</t>
  </si>
  <si>
    <t>NorthWest Research Associates; National Center Atmospheric Research (NCAR) - USA; University of Colorado System; University of Colorado Boulder; University of Michigan System; University of Michigan</t>
  </si>
  <si>
    <t>Iimura, H (corresponding author), NW Res Associates Inc, Colorado Res Associates Div, Boulder, CO 80301 USA.</t>
  </si>
  <si>
    <t>iimurah@cora.nwra.com</t>
  </si>
  <si>
    <t>PALO, SCOTT/0000-0002-4729-4929</t>
  </si>
  <si>
    <t>National Science Foundation Office of Polar Program [OPP-0438777, OPP-0839084]; NASA [NXX07AB76G, NNH05CC70C, NNH05CC69C]</t>
  </si>
  <si>
    <t>National Science Foundation Office of Polar Program(National Science Foundation (NSF)); NASA(National Aeronautics &amp; Space Administration (NASA))</t>
  </si>
  <si>
    <t>This work was supported by the National Science Foundation Office of Polar Program under OPP-0438777 and OPP-0839084 and NASA grants NXX07AB76G, NNH05CC70C, and NNH05CC69C.</t>
  </si>
  <si>
    <t>D06109</t>
  </si>
  <si>
    <t>10.1029/2009JD012733</t>
  </si>
  <si>
    <t>578SJ</t>
  </si>
  <si>
    <t>WOS:000276315300003</t>
  </si>
  <si>
    <t>Montes-Hugo, M; Sweeney, C; Doney, SC; Ducklow, H; Frouin, R; Martinson, DG; Stammerjohn, S; Schofield, O</t>
  </si>
  <si>
    <t>Montes-Hugo, Martin; Sweeney, Colm; Doney, Scott C.; Ducklow, Hugh; Frouin, Robert; Martinson, Douglas G.; Stammerjohn, Sharon; Schofield, Oscar</t>
  </si>
  <si>
    <t>Seasonal forcing of summer dissolved inorganic carbon and chlorophyll a on the western shelf of the Antarctic Peninsula</t>
  </si>
  <si>
    <t>NET COMMUNITY PRODUCTION; SEA-ICE; CLIMATE-CHANGE; SPATIOTEMPORAL VARIABILITY; SURFACE WATERS; ANNUAL CYCLE; MIXED-LAYER; ZONE WEST; OCEAN; DIOXIDE</t>
  </si>
  <si>
    <t>The Southern Ocean is a climatically sensitive region that plays an important role in the regional and global modulation of atmospheric CO2. Based on satellite-derived sea ice data, wind and cloudiness estimates from numerical models (National Centers for Environmental Prediction-National Center for Atmospheric Research reanalysis), and in situ measurements of surface (0-20 m depth) chlorophyll a (Chl(Surf)) and dissolved inorganic carbon (DICSurf) concentration, we show sea ice concentration from June to November and spring wind patterns between 1979 and 2006 had a significant influence on midsummer (January) primary productivity and carbonate chemistry for the Western Shelf of the Antarctic Peninsula (WAP, 64 degrees-68 degrees S, 63.4 degrees-73.3 degrees W). In general, strong (&gt;3.5 m s(-1)) and persistent (&gt; 2 months) northerly winds during the previous spring were associated with relatively high (monthly mean &gt; 2 mg m(-3)) Chl(Surf) and low (monthly mean &lt;2 mmol kg(-1)) salinity-corrected DIC (DICSurf*) during midsummer. The greater Chl(Surf) accumulation and DICSurf* depletion was attributed to an earlier growing season characterized by decreased spring sea ice cover or nearshore accumulation of phytoplankton in association with sea ice. The impact of these wind-driven mechanisms on Chl(Surf) and DICSurf* depended on the extent of sea ice area (SIA) during winter. Winter SIA affected phytoplankton blooms by changing the upper mixed layer depth (UMLD) during the subsequent spring and summer (December-January-February). Midsummer DICSurf* was not related to DICSurf* concentration during the previous summer, suggesting an annual replenishment of surface DIC during fall/winter and a relatively stable pool of deep (&gt; 200 m depth) winter-like DIC on the WAP.</t>
  </si>
  <si>
    <t>[Montes-Hugo, Martin; Schofield, Oscar] Rutgers State Univ, Inst Marine &amp; Coastal Sci, Coastal Ocean Observat Lab, Sch Environm &amp; Biol Sci, New Brunswick, NJ 08901 USA; [Sweeney, Colm] Natl Ocean &amp; Atmospher Adm, Global Monitoring Div, Earth Syst Res Lab, Boulder, CO 80305 USA; [Doney, Scott C.] Woods Hole Oceanog Inst, Dept Marine Chem &amp; Geochem, Woods Hole, MA 02543 USA; [Ducklow, Hugh] Marine Biol Lab, Ctr Ecosyst, Woods Hole, MA 02543 USA; [Frouin, Robert] Univ Calif San Diego, Scripps Inst Oceanog, La Jolla, CA 92093 USA; [Martinson, Douglas G.] Columbia Univ, Lamont Doherty Earth Observ, Dept Earth &amp; Environm Sci, Palisades, NY 10964 USA; [Stammerjohn, Sharon] Univ Calif Santa Cruz, Santa Cruz, CA 95064 USA</t>
  </si>
  <si>
    <t>Rutgers University System; Rutgers University New Brunswick; National Oceanic Atmospheric Admin (NOAA) - USA; Woods Hole Oceanographic Institution; Marine Biological Laboratory - Woods Hole; University of California System; University of California San Diego; Scripps Institution of Oceanography; Columbia University; University of California System; University of California Santa Cruz</t>
  </si>
  <si>
    <t>Montes-Hugo, M (corresponding author), Rutgers State Univ, Inst Marine &amp; Coastal Sci, Coastal Ocean Observat Lab, Sch Environm &amp; Biol Sci, New Brunswick, NJ 08901 USA.</t>
  </si>
  <si>
    <t>montes@marine.rutgers.edu</t>
  </si>
  <si>
    <t>Doney, Scott/F-9247-2010; Sweeney, Colm/AAE-9291-2019; Schofield, Oscar/H-4169-2018</t>
  </si>
  <si>
    <t>Doney, Scott/0000-0002-3683-2437; Sweeney, Colm/0000-0002-4517-0797; Schofield, Oscar/0000-0003-2359-4131; STAMMERJOHN, SHARON/0000-0002-1697-8244</t>
  </si>
  <si>
    <t>NSF OPP [0217282, 0823101]; Office of Polar Programs (OPP); Directorate For Geosciences [0823101, 0217282] Funding Source: National Science Foundation</t>
  </si>
  <si>
    <t>NSF OPP(National Science Foundation (NSF)NSF - Directorate for Geosciences (GEO)); Office of Polar Programs (OPP); Directorate For Geosciences(National Science Foundation (NSF)NSF - Directorate for Geosciences (GEO))</t>
  </si>
  <si>
    <t>We thank Richard Iannuzzi at LDEO for processing CTD data, the Ocean Color Group at NASA for free distribution of satellite imagery, and Wesley Ebisuzaki at NOAA for his advice in interpreting NCEP-NCAR products. This research is part of the Palmer Antarctica Long-term Ecological Research Project (http://pal.lternet.edu/). It was supported by NSF OPP grants 0217282 to HWD at the Virginia Institute of Marine Science and 0823101 to HWD at the MBL.</t>
  </si>
  <si>
    <t>C03024</t>
  </si>
  <si>
    <t>10.1029/2009JC005267</t>
  </si>
  <si>
    <t>578SS</t>
  </si>
  <si>
    <t>WOS:000276316300002</t>
  </si>
  <si>
    <t>Robinson, NJ; Williams, MJM; Barrett, PJ; Pyne, AR</t>
  </si>
  <si>
    <t>Robinson, N. J.; Williams, M. J. M.; Barrett, P. J.; Pyne, A. R.</t>
  </si>
  <si>
    <t>Observations of flow and ice-ocean interaction beneath the McMurdo Ice Shelf, Antarctica</t>
  </si>
  <si>
    <t>ROSS SEA; CIRCULATION; VARIABILITY; ICEBERG; WATER; CAVITY; C-19</t>
  </si>
  <si>
    <t>The first oceanographic data from beneath the McMurdo Ice Shelf, Antarctica, are presented here with synchronous observations from southern McMurdo Sound. Multilevel current profiles at three sites over spring tide revealed primarily K1 diurnal tides with net transport from McMurdo Sound into the basin beneath the McMurdo Ice Shelf. The time series in southern McMurdo Sound captured the 14 day tidal phase shift and showed that transport into the subice shelf cavity was even greater over neap tide, with average transport similar to 1.8 Sv. McMurdo Sound sea ice cover during this period was the heaviest in 25 years of satellite record and was associated with the proximity of two massive icebergs, B-15a and C-19. The warmest waters observed beneath the ice shelf were set at the surface freezing temperature, probably through recent interaction with this extensive sea ice cover. Observed ranges of temperature and salinity were narrowed to the extent that neither Antarctic Surface Water nor High Salinity Shelf Water were observed beneath the ice shelf. We anticipate that in years with more typical summer sea ice cover surface waters swept beneath the ice shelf will be significantly warmer, having even greater potential for basal melt near the ice shelf front. Our observations also exhibit some of the interactions particular to the subice shelf ocean environment. These include occurrence of platelet ice in ice shelf meltwater, boundary layer friction effects from the ice cover on the ocean, and tidal currents driving enhanced melting near the ice shelf front.</t>
  </si>
  <si>
    <t>[Robinson, N. J.; Williams, M. J. M.] Natl Inst Water &amp; Atmospher Res, Wellington 6022, New Zealand; [Robinson, N. J.; Barrett, P. J.; Pyne, A. R.] Victoria Univ Wellington, Antarctic Res Ctr, Wellington 6022, New Zealand</t>
  </si>
  <si>
    <t>National Institute of Water &amp; Atmospheric Research (NIWA) - New Zealand; Victoria University Wellington</t>
  </si>
  <si>
    <t>Robinson, NJ (corresponding author), Natl Inst Water &amp; Atmospher Res, Private Bag 14-901, Wellington 6022, New Zealand.</t>
  </si>
  <si>
    <t>n.robinson@niwa.co.nz; m.williams@niwa.co.nz; peter.barrett@vuw.ac.nz; alex.pyne@vuw.ac.nz</t>
  </si>
  <si>
    <t>Robinson, Natalie J/I-4460-2015; Williams, Michael/H-9674-2014</t>
  </si>
  <si>
    <t>New Zealand Foundation for Research Science and Technology</t>
  </si>
  <si>
    <t>New Zealand Foundation for Research Science and Technology(New Zealand Foundation for Research, Science and Technology)</t>
  </si>
  <si>
    <t>This research was funded by the New Zealand Foundation for Research Science and Technology. Logistical support and tidal height data were provided by Antarctica New Zealand. ADCP current meters were supplied by Stanford University. Historical CTD profiles were obtained from the National Oceanographic Data Center (http://www.nodc.noaa.gov). The authors would like to thank Keith Nicholls, Craig Stevens, and two anonymous reviewers for valuable comments on earlier drafts of this manuscript and Steve Monismith for his advice on initial analysis of ADCP data. We would also like to thank Mark McGuinness, Lionel Carter, and Gavin Dunbar for insightful discussion.</t>
  </si>
  <si>
    <t>C03025</t>
  </si>
  <si>
    <t>10.1029/2008JC005255</t>
  </si>
  <si>
    <t>WOS:000276316300001</t>
  </si>
  <si>
    <t>Ilyinskaya, E; Oppenheimer, C; Mather, TA; Martin, RS; Kyle, PR</t>
  </si>
  <si>
    <t>Ilyinskaya, E.; Oppenheimer, C.; Mather, T. A.; Martin, R. S.; Kyle, P. R.</t>
  </si>
  <si>
    <t>Size-resolved chemical composition of aerosol emitted by Erebus volcano, Antarctica</t>
  </si>
  <si>
    <t>GEOCHEMISTRY GEOPHYSICS GEOSYSTEMS</t>
  </si>
  <si>
    <t>aerosol particles; aerosol size distribution; volcanic plume chemistry; Erebus; volcanic halogen emissions</t>
  </si>
  <si>
    <t>ATMOSPHERIC TRACE-METALS; MOUNT EREBUS; SOUTH-POLE; MASAYA-VOLCANO; MT. EREBUS; ST-HELENS; EMISSIONS; CHEMISTRY; PLUME; ERUPTION</t>
  </si>
  <si>
    <t>Persistent, open-vent degassing of Erebus volcano, Antarctica, is a significant point source of gases and aerosol to the austral polar troposphere. We report here on the chemical composition and size distribution of the Erebus aerosol, focusing on the water-soluble fraction. The aerosol was sampled at the rim of the active crater using a cascade impactor, which collected and sized particles in 14 size bins from &gt;10 to 0.01 mu m. The soluble fraction of the Erebus aerosol is distinct from other volcanic sources in several respects. It is dominated by chloride-bearing particles (over 30% of total mass) and has an unusually high Cl(-)/SO(4)(2-) molar ratio of 3.5. Coarse particles contribute little to the total mass of the soluble fraction. Elevated concentrations of F(-), Cl(-), Br(-), and SO(4)(2-) are found in a narrow particle size fraction of 0.1-0.25 mu m. The detection of particulate Br-reinforces our understanding of the potential for quiescent volcanic emissions to deplete tropospheric ozone. The small aerosol size reflects the low atmospheric temperature and humidity, which inhibit particle growth. Halide-alkali metal salts (Na, K)(Cl, F) appear to be the most abundant species in the aerosol. The concentration of Pb is high compared to other volcanoes; its exsolution may be promoted by the high abundance of halogens in Erebus magma. Despite the previously reported high NO(x) content in the plume, we did not detect significant quantities of nitrate in the near-vent aerosol. Our findings emphasize the potential regional significance of emissions from Erebus for understanding the Antarctic atmospheric composition and glaciochemical records.</t>
  </si>
  <si>
    <t>[Ilyinskaya, E.; Oppenheimer, C.] Univ Cambridge, Dept Geog, Cambridge CB2 3EN, England; [Mather, T. A.; Martin, R. S.] Univ Oxford, Dept Earth Sci, Oxford OX1 3PR, England; [Martin, R. S.] Univ London, Sch Biol &amp; Chem Sci, London E1 4NS, England; [Kyle, P. R.] New Mexico Inst Min &amp; Technol, Dept Earth &amp; Environm Sci, Socorro, NM 87801 USA</t>
  </si>
  <si>
    <t>University of Cambridge; University of Oxford; University of London; New Mexico Institute of Mining Technology</t>
  </si>
  <si>
    <t>Ilyinskaya, E (corresponding author), Univ Cambridge, Dept Geog, Downing Pl, Cambridge CB2 3EN, England.</t>
  </si>
  <si>
    <t>ei213@cam.ac.uk</t>
  </si>
  <si>
    <t>NCEO, COMET+`/A-3443-2013; Mather, Tamsin A/A-7604-2011; Martin, Robert S/A-3286-2012; Ilyinskaya, Evgenia/F-5364-2011; Oppenheimer, Clive/G-9881-2013</t>
  </si>
  <si>
    <t>Mather, Tamsin A/0000-0003-4259-7303; Ilyinskaya, Evgenia/0000-0002-3663-9506; Oppenheimer, Clive/0000-0003-4506-7260</t>
  </si>
  <si>
    <t>Gates Cambridge Trust; Leverhulme Trust; EC; Royal Society; Natural Environment Research Council [come20001, earth010007] Funding Source: researchfish; NERC [come20001] Funding Source: UKRI</t>
  </si>
  <si>
    <t>Gates Cambridge Trust; Leverhulme Trust(Leverhulme Trust); EC(European Union (EU)European Commission Joint Research Centre); Royal Society(Royal Society); Natural Environment Research Council(UK Research &amp; Innovation (UKRI)Natural Environment Research Council (NERC)); NERC(UK Research &amp; Innovation (UKRI)Natural Environment Research Council (NERC))</t>
  </si>
  <si>
    <t>E. I. thanks the Gates Cambridge Trust for research funding and the Philip Lake Fund at the Department of Geography for covering laboratory costs. C. O. acknowledges the Leverhulme Trust for generous support through a study abroad fellowship and the EC Framework 6 program for funding through the NOVAC project. T. M. thanks the Royal Society for financial support. We thank Andrew Allen for help with the IC analysis; Pierre Delmelle and Vitchko Tsanev for discussions; Bill McIntosh and Nelia Dunbar for collaboration in Antarctica; and Christine Braban, Steve Boreham, Adrian Hayes and Damien Calmels for help with laboratory work. Fieldwork was generously supported by grants from the Office of Polar Programs, National Science Foundation. The authors would like to thank the anonymous reviewers and the Editor, Vince Salters, for detailed and insightful comments that greatly improved the manuscript.</t>
  </si>
  <si>
    <t>1525-2027</t>
  </si>
  <si>
    <t>GEOCHEM GEOPHY GEOSY</t>
  </si>
  <si>
    <t>Geochem. Geophys. Geosyst.</t>
  </si>
  <si>
    <t>MAR 27</t>
  </si>
  <si>
    <t>Q03017</t>
  </si>
  <si>
    <t>10.1029/2009GC002855</t>
  </si>
  <si>
    <t>574WL</t>
  </si>
  <si>
    <t>WOS:000276024800001</t>
  </si>
  <si>
    <t>Malhotra, R</t>
  </si>
  <si>
    <t>Malhotra, Richa</t>
  </si>
  <si>
    <t>Golden Jubilee of the Antarctic Treaty</t>
  </si>
  <si>
    <t>CURRENT SCIENCE</t>
  </si>
  <si>
    <t>News Item</t>
  </si>
  <si>
    <t>rchmalhotra@gmail.com</t>
  </si>
  <si>
    <t>INDIAN ACAD SCIENCES</t>
  </si>
  <si>
    <t>BANGALORE</t>
  </si>
  <si>
    <t>C V RAMAN AVENUE, SADASHIVANAGAR, P B #8005, BANGALORE 560 080, INDIA</t>
  </si>
  <si>
    <t>0011-3891</t>
  </si>
  <si>
    <t>CURR SCI INDIA</t>
  </si>
  <si>
    <t>Curr. Sci.</t>
  </si>
  <si>
    <t>MAR 25</t>
  </si>
  <si>
    <t>583AG</t>
  </si>
  <si>
    <t>WOS:000276642600009</t>
  </si>
  <si>
    <t>Schiermeier, Q</t>
  </si>
  <si>
    <t>Schiermeier, Quirin</t>
  </si>
  <si>
    <t>Teams set for first taste of Antarctic lakes</t>
  </si>
  <si>
    <t>NATURE</t>
  </si>
  <si>
    <t>MACMILLAN BUILDING, 4 CRINAN ST, LONDON N1 9XW, ENGLAND</t>
  </si>
  <si>
    <t>0028-0836</t>
  </si>
  <si>
    <t>Nature</t>
  </si>
  <si>
    <t>10.1038/464472b</t>
  </si>
  <si>
    <t>574FL</t>
  </si>
  <si>
    <t>WOS:000275974200005</t>
  </si>
  <si>
    <t>Xie, XL; Zhou, HT; Huang, QS; Wei, XQ; Wang, Y; Yan, JH; Chen, QX</t>
  </si>
  <si>
    <t>Xie, Xiao-Lan; Zhou, Han-Tao; Huang, Qian-Sheng; Wei, Xiao-Qian; Wang, Ye; Yan, Jiang-Hua; Chen, Qing-Xi</t>
  </si>
  <si>
    <t>Inhibitory Kinetics of Betaine on β-N-Acetyl-D-glucosaminidase from Prawn (Litopenaeus vannamei)</t>
  </si>
  <si>
    <t>JOURNAL OF AGRICULTURAL AND FOOD CHEMISTRY</t>
  </si>
  <si>
    <t>Litopenaeus vannamei; beta-N-acetyl-D-glucosaminidase; Inhibition kinetics; betaine</t>
  </si>
  <si>
    <t>PENAEUS-VANNAMEI; GLYCINE BETAINE; ANTARCTIC KRILL; ENZYME-ACTIVITY; PURIFICATION; HEPATOPANCREAS; CHITINASES</t>
  </si>
  <si>
    <t>The effects of betaine on prawn beta-N-acetyl-D-glucosaminidase (NAGase) activity for the hydrolysis of p-nitrophenyl-N-acetyl- beta-D-glucosaminide (pNP-NAG) have been studied. The results showed that appropriate concentrations of betaine could lead to reversible inhibition against NAGase, and the IC50 value was estimated to be 15.00 +/- 0.30 mM. The inhibitory kinetics assay showed that betaine was a mixed type inhibitor with a K-I value of 9.17 +/- 0.85 mM and a K-IS value of 45.58 +/- 2.52 mM. The inhibitory model was set, and the microscopic rate constants were determined using the kinetic method of the substrate reaction. The time course of the hydrolysis of pNP-NAG catalyzed by NAGase in the presence of different betaine concentrations showed that at each betaine concentration, the rate decreased with an increase in time until a straight line was approached, indicating that the inhibition of NAGase by betaine is a slow, reversible reaction with fractional residual activity. The fact that k(+0) is much larger than k(+0) indicated that the free enzyme molecule is more fragile than the enzyme-substrate complex against betaine. It is suggested that the presence of the substrate offers marked protection of NAGase against inhibition by betaine.</t>
  </si>
  <si>
    <t>[Yan, Jiang-Hua] Xiamen Univ, Coll Med, Canc Res Ctr, Xiamen 361005, Peoples R China; [Xie, Xiao-Lan; Zhou, Han-Tao; Huang, Qian-Sheng; Wei, Xiao-Qian; Wang, Ye; Chen, Qing-Xi] Xiamen Univ, Sch Life Sci, Key Lab Minist Educ Coastal &amp; Wetland Ecosyst, Xiamen 361005, Peoples R China; [Xie, Xiao-Lan] Quanzhou Normal Univ, Sch Chem &amp; Life Sci, Quanzhou 362000, Peoples R China</t>
  </si>
  <si>
    <t>Xiamen University; Xiamen University; Quanzhou Normal University</t>
  </si>
  <si>
    <t>Yan, JH (corresponding author), Xiamen Univ, Coll Med, Canc Res Ctr, Xiamen 361005, Peoples R China.</t>
  </si>
  <si>
    <t>jhyan@xmu.edu.cn; chenqx@xmu.edu.cn</t>
  </si>
  <si>
    <t>Zhou, HT/G-4659-2010; Yan, JH/G-3420-2010; Li, Jiawei/JOJ-9277-2023; Chen, QX/G-4600-2010; wu, yi/JEP-1581-2023; huang, biogua/F-4622-2016</t>
  </si>
  <si>
    <t>huang, biogua/0000-0002-3788-3164</t>
  </si>
  <si>
    <t>China Postdoctoral Science Foundation [20070410806]; Science and Technology Foundation of Fujian Province [2006N0067]; Master Degree Subject Foundation of Quartzhou Normal University [MDSCh-2009A]</t>
  </si>
  <si>
    <t>China Postdoctoral Science Foundation(China Postdoctoral Science Foundation); Science and Technology Foundation of Fujian Province(Natural Science Foundation of Fujian Province); Master Degree Subject Foundation of Quartzhou Normal University</t>
  </si>
  <si>
    <t>The present investigation was supported by Grant 20070410806 of the China Postdoctoral Science Foundation, Grant 2006N0067 of the Science and Technology Foundation of Fujian Province, and Grant MDSCh-2009A of the Master Degree Subject Foundation of Quartzhou Normal University.</t>
  </si>
  <si>
    <t>0021-8561</t>
  </si>
  <si>
    <t>1520-5118</t>
  </si>
  <si>
    <t>J AGR FOOD CHEM</t>
  </si>
  <si>
    <t>J. Agric. Food Chem.</t>
  </si>
  <si>
    <t>MAR 24</t>
  </si>
  <si>
    <t>10.1021/jf9039952</t>
  </si>
  <si>
    <t>Agriculture, Multidisciplinary; Chemistry, Applied; Food Science &amp; Technology</t>
  </si>
  <si>
    <t>Agriculture; Chemistry; Food Science &amp; Technology</t>
  </si>
  <si>
    <t>570XB</t>
  </si>
  <si>
    <t>WOS:000275710700083</t>
  </si>
  <si>
    <t>Parrilli, E; Giuliani, M; Marino, G; Tutino, ML</t>
  </si>
  <si>
    <t>Parrilli, Ermenegilda; Giuliani, Maria; Marino, Gennaro; Tutino, Maria Luisa</t>
  </si>
  <si>
    <t>Influence of production process design on inclusion bodies protein: the case of an Antarctic flavohemoglobin</t>
  </si>
  <si>
    <t>MICROBIAL CELL FACTORIES</t>
  </si>
  <si>
    <t>PSEUDOALTEROMONAS-HALOPLANKTIS TAC125; COLI FLAVOHAEMOGLOBIN HMP; NITRIC-OXIDE DIOXYGENASE; ESCHERICHIA-COLI; NITROSATIVE STRESS; OXIDATIVE STRESS; BINDING; OXYGEN; PURIFICATION; AGGREGATION</t>
  </si>
  <si>
    <t>Background: Protein over-production in Escherichia coli often results in formation of inclusion bodies (IBs). Some recent reports have shown that the aggregation into IBs does not necessarily mean that the target protein is inactivated and that IBs may contain a high proportion of correctly folded protein. This proportion is variable depending on the protein itself, the genetic background of the producing cells and the expression temperature. In this paper we have evaluated the influence of other production process parameters on the quality of an inclusion bodies protein. Results: The present paper describes the recombinant production in Escherichia coli of the flavohemoglobin from the Antarctic bacterium Pseudoalteromonas haloplanktis TAC125. Flavohemoglobins are multidomain proteins requiring FAD and heme cofactors. The production was carried out in several different experimental setups differing in bioreactor geometry, oxygen supply and the presence of a nitrosating compound. In all production processes, the recombinant protein accumulates in IBs, from which it was solubilized in non-denaturing conditions. Comparing structural properties of the solubilized flavohemoglobins, i.e. deriving from the different process designs, our data demonstrated that the protein preparations differ significantly in the presence of cofactors (heme and FAD) and as far as their secondary and tertiary structure content is concerned. Conclusions: Data reported in this paper demonstrate that other production process parameters, besides growth temperature, can influence the structure of a recombinant product that accumulates in IBs. To the best of our knowledge, this is the first reported example in which the structural properties of a protein solubilized from inclusion bodies have been correlated to the production process design.</t>
  </si>
  <si>
    <t>[Parrilli, Ermenegilda; Giuliani, Maria; Marino, Gennaro; Tutino, Maria Luisa] Univ Naples Federico II, Dept Organ Chem &amp; Biochem, I-80126 Naples, Italy; [Parrilli, Ermenegilda; Marino, Gennaro; Tutino, Maria Luisa] Univ Naples Federico II, Fac Sci Biotecnol, I-80126 Naples, Italy</t>
  </si>
  <si>
    <t>University of Naples Federico II; University of Naples Federico II</t>
  </si>
  <si>
    <t>Tutino, ML (corresponding author), Univ Naples Federico II, Dept Organ Chem &amp; Biochem, Complesso Univ MS Angelo Via Cinthia 4, I-80126 Naples, Italy.</t>
  </si>
  <si>
    <t>tutino@unina.it</t>
  </si>
  <si>
    <t>TUTINO, MARIA LUISA/L-1834-2013; parrilli, ermenegilda/JAZ-0586-2023; parrilli, ermenegilda/K-4616-2016</t>
  </si>
  <si>
    <t>parrilli, ermenegilda/0000-0002-9002-5409; Tutino, Maria Luisa/0000-0002-4978-6839</t>
  </si>
  <si>
    <t>Programma Nazionale di Ricerca in Antartide [2004]; Ministero dell'Universita e della Ricerca Scientifica [2007]</t>
  </si>
  <si>
    <t>Programma Nazionale di Ricerca in Antartide; Ministero dell'Universita e della Ricerca Scientifica(Ministry of Education, Universities and Research (MIUR))</t>
  </si>
  <si>
    <t>We are grateful to Prof. Leila Birolo (Dipartimento di Chimica Organica e Biochimica, Universita degli Studi di Napoli Federico II Napoli Italia) for critical reading of the manuscript and very helpful discussions. Thank to Rosaria Varlese for her excellent technical support with the fermentation units. This work was supported by grant of Programma Nazionale di Ricerca in Antartide 2004 (Prof. Marino) and Ministero dell'Universita e della Ricerca Scientifica (Progetti di Rilevante Interesse Nazionale 2007 - Prof. Di Donato).</t>
  </si>
  <si>
    <t>BIOMED CENTRAL LTD</t>
  </si>
  <si>
    <t>236 GRAYS INN RD, FLOOR 6, LONDON WC1X 8HL, ENGLAND</t>
  </si>
  <si>
    <t>1475-2859</t>
  </si>
  <si>
    <t>MICROB CELL FACT</t>
  </si>
  <si>
    <t>Microb. Cell. Fact.</t>
  </si>
  <si>
    <t>10.1186/1475-2859-9-19</t>
  </si>
  <si>
    <t>586CU</t>
  </si>
  <si>
    <t>Green Published, gold</t>
  </si>
  <si>
    <t>WOS:000276879900001</t>
  </si>
  <si>
    <t>Cooper, WJ; Gonsior, M; Schmitt-Kopplin, P; Hertkorn, N</t>
  </si>
  <si>
    <t>Cooper, William J.; Gonsior, Michael; Schmitt-Kopplin, Philippe; Hertkorn, Norbert</t>
  </si>
  <si>
    <t>Ultrahigh resolution electrospray ionization Fourier transform ion cyclotron resonance mass spectrometry as a tool for Antarctic marine dissolved organic matter characterization and its photochemical transformation</t>
  </si>
  <si>
    <t>ABSTRACTS OF PAPERS OF THE AMERICAN CHEMICAL SOCIETY</t>
  </si>
  <si>
    <t>Univ Calif Irvine, Dept Civil &amp; Environm Engn, Urban Water Res Ctr, Irvine, CA USA; Helmholtz Zentrum Munich, Dept BioGeoChem &amp; Analyt, Inst Ecol Chem, Neuherberg, Bavaria, Germany</t>
  </si>
  <si>
    <t>University of California System; University of California Irvine; Helmholtz Association; Helmholtz-Center Munich - German Research Center for Environmental Health</t>
  </si>
  <si>
    <t>Gonsior, Michael/D-3964-2012; Schmitt-Kopplin, Philippe/H-6271-2011; Cooper, William J/D-4502-2011; Hertkorn, Norbert/AAA-5990-2022</t>
  </si>
  <si>
    <t>Gonsior, Michael/0000-0003-0542-4614; Schmitt-Kopplin, Philippe/0000-0003-0824-2664;</t>
  </si>
  <si>
    <t>0065-7727</t>
  </si>
  <si>
    <t>ABSTR PAP AM CHEM S</t>
  </si>
  <si>
    <t>Abstr. Pap. Am. Chem. Soc.</t>
  </si>
  <si>
    <t>MAR 21</t>
  </si>
  <si>
    <t>139-GEOC</t>
  </si>
  <si>
    <t>Chemistry, Multidisciplinary</t>
  </si>
  <si>
    <t>V21DW</t>
  </si>
  <si>
    <t>WOS:000208189302646</t>
  </si>
  <si>
    <t>Hendry, KR; Meredith, MR; Measures, CI; Carson, DS; Rickaby, REM</t>
  </si>
  <si>
    <t>Hendry, Katharine R.; Meredith, Michael R.; Measures, Christopher I.; Carson, Damien S.; Rickaby, Rosalind E. M.</t>
  </si>
  <si>
    <t>The role of sea ice formation in cycling of aluminium in northern Marguerite Bay, Antarctica</t>
  </si>
  <si>
    <t>ESTUARINE COASTAL AND SHELF SCIENCE</t>
  </si>
  <si>
    <t>biogeochemistry; nutrients (mineral); trace metals; brines; Antarctica</t>
  </si>
  <si>
    <t>DISSOLVED ALUMINUM; BIOGENIC SILICA; DISSOLUTION KINETICS; DIATOM FRUSTULES; MARINE-SEDIMENTS; COASTAL WATERS; ATLANTIC-OCEAN; AMAZON DELTA; DEEP-SEA; PENINSULA</t>
  </si>
  <si>
    <t>The use of dissolved Al as a tracer for oceanic water masses and atmospheric dust deposition of biologically important elements, such as iron, requires the quantitative assessment of its sources and sinks in seawater. Here, we address the relative importance of oceanic versus atmospheric inputs of Al, and the relationship with nutrient cycling, in a region of high biological productivity in coastal Antarctica. We investigate the concentrations of dissolved Al in seawater, sea ice, meteoric water and sediments collected from northern Marguerite Bay, off the West Antarctic Peninsula, from 2005 to 2006. Dissolved Al concentrations at 15 in water depth varied between 2 and 27 nM, showing a peak between two phytoplankton blooms. We find that, in this coastal setting, upwelling and incorporation of waters from below the surface mixed layer are responsible for this peak in dissolved Al as well as renewal of nutrients. This means that changes in the intensity and frequency of upwelling events may result in changes in biological production and carbon uptake. The waters below the mixed layer are most likely enriched in Al as a result of sea ice formation, either causing the injection of Al-rich brines OF the resuspension of sediments and entrainment of pore fluids by brine cascades. Glacial, snow and sea ice melt contribute secondarily to the supply of Al to surface waters. Total particulate Al ranges from 93 to 2057 mg/g, and increases with meteoric water input towards the end of the Summer, indicating glacial runoff is an important source of particulate Al. The (Al/Si)(opal) of sediment core top material is considerably higher than water column opal collected by sediment traps, indicative of a diagenetic overprint and incorporation of Al at the sediment-water interface. Opal that remains buried in the sediment could represent a significant sink of Al from seawater. (C) 2009 Elsevier Ltd. All rights reserved.</t>
  </si>
  <si>
    <t>[Hendry, Katharine R.; Rickaby, Rosalind E. M.] Univ Oxford, Dept Earth Sci, Oxford OX1 3PR, England; [Hendry, Katharine R.] Woods Hole Oceanog Inst, Dept Marine Chem &amp; Geochem, Woods Hole, MA 02543 USA; [Meredith, Michael R.] British Antarctic Survey, Cambridge CB3 0ET, England; [Meredith, Michael R.; Measures, Christopher I.] Univ Hawaii, Dept Oceanog, Honolulu, HI 96822 USA; [Carson, Damien S.] Univ Edinburgh, Sch Geosci, Grant Inst, Edinburgh EH9 3JW, Midlothian, Scotland</t>
  </si>
  <si>
    <t>University of Oxford; Woods Hole Oceanographic Institution; UK Research &amp; Innovation (UKRI); Natural Environment Research Council (NERC); NERC British Antarctic Survey; University of Hawaii System; University of Edinburgh</t>
  </si>
  <si>
    <t>Hendry, KR (corresponding author), Univ Oxford, Dept Earth Sci, Parks Rd, Oxford OX1 3PR, England.</t>
  </si>
  <si>
    <t>kathh@earth.ox.ac.uk</t>
  </si>
  <si>
    <t>Hendry, Katharine/E-4793-2011</t>
  </si>
  <si>
    <t>Hendry, Katharine/0000-0002-0790-5895; Rickaby, Rosalind/0000-0002-6095-8419; Meredith, Michael/0000-0002-7342-7756</t>
  </si>
  <si>
    <t>NERC [NER/S/A/2004/12390]; NERC [bas0100028] Funding Source: UKRI; Directorate For Geosciences; Office of Polar Programs (OPP) [0823101] Funding Source: National Science Foundation; Natural Environment Research Council [bas0100028] Funding Source: researchfish</t>
  </si>
  <si>
    <t>NERC(UK Research &amp; Innovation (UKRI)Natural Environment Research Council (NERC)); NERC(UK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t>
  </si>
  <si>
    <t>The authors would like to thank the Rothera Research Station, British Antarctic Survey, marine assistants, Paul Mann and Helen Rossetti for their help in collecting samples as well as the base commander, Andy Clarke, Mags Wallace, other AFI personnel and BAS members of staff for their support. Bathymetry data from M. Brandon (OU); ocean circulation data from C. Moffat and R. Beardsley (WHOI). The authors would like to thank Eric Wolanksi and two anonymous reviewers for insightful comments on the manuscript. RaTS data is available from www.antarctica.com/rats. Many thanks to the other members of AF14-02, Harry Elderfield, Raja Ganeshram, Christina de la Rocha and Samia Mantoura. Nutrient measurements were carried out by Keith Weston (UEA). Thanks also to John Arden and Dave Harding for assistance with the Q-ICP-MS. We would also like to acknowledge the master and crew of the RRS James Clark Ross and the captain and crew of the R/V Nathaniel B Palmer for their assistance in collecting and processing samples. This project is part of AF14-02 and KRH was funded by NERC grant NER/S/A/2004/12390.</t>
  </si>
  <si>
    <t>0272-7714</t>
  </si>
  <si>
    <t>ESTUAR COAST SHELF S</t>
  </si>
  <si>
    <t>Estuar. Coast. Shelf Sci.</t>
  </si>
  <si>
    <t>MAR 20</t>
  </si>
  <si>
    <t>10.1016/j.ecss.2009.12.017</t>
  </si>
  <si>
    <t>Marine &amp; Freshwater Biology; Oceanography</t>
  </si>
  <si>
    <t>568QW</t>
  </si>
  <si>
    <t>WOS:000275538600011</t>
  </si>
  <si>
    <t>Weber, ME; Reichelt, L; Kuhn, G; Pfeiffer, M; Korff, B; Thurow, J; Ricken, W</t>
  </si>
  <si>
    <t>Weber, M. E.; Reichelt, L.; Kuhn, G.; Pfeiffer, M.; Korff, B.; Thurow, J.; Ricken, W.</t>
  </si>
  <si>
    <t>BMPix and PEAK tools: New methods for automated laminae recognition and counting-Application to glacial varves from Antarctic marine sediment</t>
  </si>
  <si>
    <t>laminations; varves; geochronology; paleoclimatology; marine geology; tree rings</t>
  </si>
  <si>
    <t>SOUTHEASTERN WEDDELL SEA; RESOLUTION; RADIOCARBON; RECORD; HOLOCENE; CLIMATE; CALIBRATION; SYSTEMS; SCALE; FAN</t>
  </si>
  <si>
    <t>We present tools for rapid and quantitative detection of sediment lamination. The BMPix tool extracts color and gray scale curves from images at pixel resolution. The PEAK tool uses the gray scale curve and performs, for the first time, fully automated counting of laminae based on three methods. The maximum count algorithm counts every bright peak of a couplet of two laminae (annual resolution) in a smoothed curve. The zero-crossing algorithm counts every positive and negative halfway passage of the curve through a wide moving average, separating the record into bright and dark intervals (seasonal resolution). The same is true for the frequency truncation method, which uses Fourier transformation to decompose the curve into its frequency components before counting positive and negative passages. The algorithms are available at doi: 10.1594/PANGAEA.729700. We applied the new methods successfully to tree rings, to well-dated and already manually counted marine varves from Saanich Inlet, and to marine laminae from the Antarctic continental margin. In combination with AMS(14)C dating, we found convincing evidence that laminations in Weddell Sea sites represent varves, deposited continuously over several millennia during the last glacial maximum. The new tools offer several advantages over previous methods. The counting procedures are based on a moving average generated from gray scale curves instead of manual counting. Hence, results are highly objective and rely on reproducible mathematical criteria. Also, the PEAK tool measures the thickness of each year or season. Since all information required is displayed graphically, interactive optimization of the counting algorithms can be achieved quickly and conveniently.</t>
  </si>
  <si>
    <t>[Weber, M. E.; Reichelt, L.; Pfeiffer, M.; Ricken, W.] Univ Cologne, Inst Geol &amp; Mineral, D-50935 Cologne, Germany; [Kuhn, G.] Alfred Wegener Inst Polar &amp; Marine Res, D-27568 Bremerhaven, Germany; [Korff, B.] Univ Bonn, Helmholtz Inst Fuer Strahlen &amp; Kernphys, D-53115 Bonn, Germany; [Thurow, J.] UCL, Dept Earth Sci, London WC1E 6BT, England</t>
  </si>
  <si>
    <t>University of Cologne; Helmholtz Association; Alfred Wegener Institute, Helmholtz Centre for Polar &amp; Marine Research; University of Bonn; University of London; University College London</t>
  </si>
  <si>
    <t>Weber, ME (corresponding author), Univ Cologne, Inst Geol &amp; Mineral, Zuelpicher Str 49A, D-50935 Cologne, Germany.</t>
  </si>
  <si>
    <t>michael.weber@uni-koeln.de</t>
  </si>
  <si>
    <t>Weber, Michael E/G-8707-2012; Pfeiffer, Miriam/A-6914-2013</t>
  </si>
  <si>
    <t>Kuhn, Gerhard/0000-0001-6069-7485; Pfeiffer, Miriam/0000-0002-1172-1757; Weber, Michael E/0000-0003-2175-8980</t>
  </si>
  <si>
    <t>Deutsche Forschungsgemeinschaft (DFG) [Ri 525/17-1, Ku 683/9-1]</t>
  </si>
  <si>
    <t>Deutsche Forschungsgemeinschaft (DFG)(German Research Foundation (DFG))</t>
  </si>
  <si>
    <t>We wish to thank Editor Vincent Salters and coeditor Frits Hilgen for their continued support during the publication process. Also, two anonymous reviewers helped to improve the manuscript. The Deutsche Forschungsgemeinschaft (DFG) (grants Ri 525/17-1 and Ku 683/9-1) is acknowledged for supporting this project financially. Frank Sirocko kindly measured samples with the Radius Tool for grain size distribution. Bernhard Weninger was very helpful in discussing the AMS14C data. Rita Frohlking and Susanne Wiebe are acknowledged for their laboratory assistance. Our study is part of the Southern Ocean Initiative of the International Marine Past Global Change Study (IMAGES) program. All data of this paper will be made available at the PANGAEA Network for Geological and Environmental Data (thanks to H. Grobe, M. Diepenbroek, and R. Sieger) hosted by the Alfred-Wegener-Institute for Polar and Marine Research (http://www.pangaea.de/ PHP/References.php?q=mweber). The software tools introduced here are available at doi: 10.1594/PANGAEA.729700.</t>
  </si>
  <si>
    <t>MAR 19</t>
  </si>
  <si>
    <t>Q0AA05</t>
  </si>
  <si>
    <t>10.1029/2009GC002611</t>
  </si>
  <si>
    <t>572TP</t>
  </si>
  <si>
    <t>WOS:000275856300001</t>
  </si>
  <si>
    <t>Govil, P; Naidu, PD</t>
  </si>
  <si>
    <t>Govil, Pawan; Naidu, Pothuri Divakar</t>
  </si>
  <si>
    <t>Evaporation-precipitation changes in the eastern Arabian Sea for the last 68 ka: Implications on monsoon variability</t>
  </si>
  <si>
    <t>PALEOCEANOGRAPHY</t>
  </si>
  <si>
    <t>NORTHERN INDIAN-OCEAN; ASIAN SOUTHWEST MONSOON; SURFACE TEMPERATURE; LATE QUATERNARY; SUMMER MONSOON; PLANKTONIC-FORAMINIFERA; RECORD; PRODUCTIVITY; HOLOCENE; OMAN</t>
  </si>
  <si>
    <t>Variations in sea surface temperature (SST), delta(18)O of sea water (delta(18)Ow), and salinity were reconstructed for the past 68 ka using a sediment core (AAS9/21) from the eastern Arabian Sea (EAS) in order to understand the changes in evaporation and precipitation associated with the monsoon system. The Mg/Ca-derived SST record varies by similar to 4 degrees C; it shows that marine isotope stage (MIS) 4 was warmer than MIS 3, that the Last Glacial Maximum was 4 degrees C cooler than the present, and that there was a 2 degrees C increase within the Holocene. MIS 4 records higher delta(18)Ow and salinity values than MIS 2, suggesting variable flow of low-salinity Bay of Bengal flow into the EAS during glacial periods. The transition from MIS 4 to MIS 3 was marked with a conspicuous shift from higher to lower delta(18)Ow values, which reflects a decrease in the evaporation-precipitation budget in the EAS, perhaps due to the strengthening of southwest monsoon. Monsoon reconstructions based on delta(18)Ow reveal that monsoon-driven precipitation was higher during MIS 3 and MIS 1 and was lower during MIS 2 and MIS 4. This is consistent with earlier monsoon reconstructions based on upwelling indices from the western Arabian Sea. However, the amplitude of monsoon fluctuations derived through upwelling indices and delta(18)Ow varies significantly, which may indicate spatial variability of monsoon rainfall.</t>
  </si>
  <si>
    <t>[Govil, Pawan; Naidu, Pothuri Divakar] CSIR, Natl Inst Oceanog, Panaji 403004, Goa, India; [Govil, Pawan] Natl Ctr Antarctic &amp; Ocean Res, Vasco Da Gama 403804, Goa, India</t>
  </si>
  <si>
    <t>Council of Scientific &amp; Industrial Research (CSIR) - India; CSIR - National Institute of Oceanography (NIO); Ministry of Earth Sciences (MoES) - India; National Centre for Polar and Ocean Research (NCPOR)</t>
  </si>
  <si>
    <t>Govil, P (corresponding author), CSIR, Natl Inst Oceanog, Panaji 403004, Goa, India.</t>
  </si>
  <si>
    <t>pawanali@gmail.com</t>
  </si>
  <si>
    <t>Naidu, Pothuri Divakar/AAH-1613-2019</t>
  </si>
  <si>
    <t>Ministry of Earth Sciences, New Delhi; ISRO-GBP; National Institute of Oceanography [4646]; National Centre for Antarctic and Ocean Research [R-55]</t>
  </si>
  <si>
    <t>Ministry of Earth Sciences, New Delhi; ISRO-GBP; National Institute of Oceanography; National Centre for Antarctic and Ocean Research</t>
  </si>
  <si>
    <t>We thank Gerald Dickens, editor, for his thoughtful comments which significantly improved the readability and three anonymous reviewers for their constructive criticism, which ameliorated interpretation of the data presented in this paper. Part of this work was carried out during the tenure of DAAD fellowship to P. Govil at the University of Bremen, Germany. Stefan Mulitza has hosted P. Govil's visit at the University of Bremen, and Henning Kuhnert has provided analytical help in the laboratory. This work is supported by Ministry of Earth Sciences, New Delhi, and ISRO-GBP program. This is National Institute of Oceanography contribution 4646 and National Centre for Antarctic and Ocean Research contribution R-55.</t>
  </si>
  <si>
    <t>0883-8305</t>
  </si>
  <si>
    <t>Paleoceanography</t>
  </si>
  <si>
    <t>MAR 18</t>
  </si>
  <si>
    <t>PA1210</t>
  </si>
  <si>
    <t>10.1029/2008PA001687</t>
  </si>
  <si>
    <t>Geosciences, Multidisciplinary; Oceanography; Paleontology</t>
  </si>
  <si>
    <t>Geology; Oceanography; Paleontology</t>
  </si>
  <si>
    <t>572VH</t>
  </si>
  <si>
    <t>WOS:000275861200001</t>
  </si>
  <si>
    <t>Parizek, BR; Alley, RB; Dupont, TK; Walker, RT; Anandakrishnan, S</t>
  </si>
  <si>
    <t>Parizek, B. R.; Alley, R. B.; Dupont, T. K.; Walker, R. T.; Anandakrishnan, S.</t>
  </si>
  <si>
    <t>Effect of orbital-scale climate cycling and meltwater drainage on ice sheet grounding line migration</t>
  </si>
  <si>
    <t>JOURNAL OF GEOPHYSICAL RESEARCH-EARTH SURFACE</t>
  </si>
  <si>
    <t>SHELF BREAK-UP; SURFACE MELT; MODEL; FLOW; FLUCTUATIONS; OSCILLATIONS; PROPAGATION; STABILITY; EVOLUTION; GLACIERS</t>
  </si>
  <si>
    <t>Ice shelf response to climate cycling introduces hysteretic behavior in outlet glaciers, with the evolution of meltwater drainage networks enhancing this effect. The 2002 collapse of the Larsen B ice shelf (one of the floating extensions formed from glaciers flowing off the Antarctic Peninsula into the Weddell Sea) followed the development of widespread, poorly drained surface melt ponds during the atypical warmth of the 20012002 summer melt season. Yet, for at least the past half century, the floating termini of outlet glaciers in Greenland did not collapse despite being exposed to summer mean temperatures and melt rates that far exceed those recorded in 2001-2002 on the Antarctic Peninsula. We suggest that this paradox can be explained by the advection of well-developed englacial drainage networks within Greenland's extensive ablation zone. The efficiency of this plumbing system limits meltwater ponding within crevasses and the subsequent ice shelf failure observed on the Antarctic Peninsula. Whether progressive or abrupt, ice shelf removal leads to near-synchronous glacier retreat. Conversely, glaciation of fjords is delayed during ice shelf formation. Ultimately, the relatively rapid loss and gradual establishment of ice shelf buttressing amid climate cycling leads to an asymmetric response in outlet glacier dynamics. This asymmetry may have implications for the future of existing and recently calved ice shelves, eustatic sea level, and the hysteretic behavior of ice sheets.</t>
  </si>
  <si>
    <t>[Parizek, B. R.] Penn State Univ, Du Bois, PA 15801 USA; [Alley, R. B.; Walker, R. T.; Anandakrishnan, S.] Penn State Univ, Dept Geosci, University Pk, PA 16802 USA; [Dupont, T. K.] Univ Calif Irvine, Dept Earth Syst Sci, Irvine, CA 92697 USA</t>
  </si>
  <si>
    <t>Pennsylvania Commonwealth System of Higher Education (PCSHE); Pennsylvania State University; Pennsylvania Commonwealth System of Higher Education (PCSHE); Pennsylvania State University; Pennsylvania State University - University Park; University of California System; University of California Irvine</t>
  </si>
  <si>
    <t>Parizek, BR (corresponding author), Penn State Univ, Du Bois, PA 15801 USA.</t>
  </si>
  <si>
    <t>parizek@psu.edu; rba6@psu.edu; tdupont@uci.edu; rwalker@psu.edu; sak@essc.psu.edu</t>
  </si>
  <si>
    <t>Anandakrishnan, Sridhar/JCN-5026-2023</t>
  </si>
  <si>
    <t>U.S. National Science Foundation [0531211, 0758274, 0424589, 0809106, 0814241]; NASA [NRA-04-OES-02, NNX-08-AQ-82G]; Gary Comer Science and Education Foundation; Directorate For Geosciences [0814241] Funding Source: National Science Foundation; Office of Polar Programs (OPP) [0814241] Funding Source: National Science Foundation; Office of Polar Programs (OPP); Directorate For Geosciences [0809106] Funding Source: National Science Foundation</t>
  </si>
  <si>
    <t>U.S. National Science Foundation(National Science Foundation (NSF)); NASA(National Aeronautics &amp; Space Administration (NASA)); Gary Comer Science and Education Foundation;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</si>
  <si>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B. R. Parizek was supported by the U.S. National Science Foundation under grants 0531211 and 0758274 and by NASA under grant NRA-04-OES-02. R. B. Alley and R. T. Walker were supported by NSF through the Center for Remote Sensing of Ice Sheets (CReSIS) grant 0424589 and the Gary Comer Science and Education Foundation. T. K. Dupont was supported by NSF grants 0809106 and 0814241 and by NASA grant NNX-08-AQ-82G. S. Anandakrishnan was supported by NSF through the CReSIS grant 0424589. We also thank D. B. Reusch for his insights during the early stages of this project. Finally, we would like to recognize the efforts of the Scientific Editor, Michael A. Church, the Associate Editor, and three anonymous referees. Their critical reviews helped improve the clarity of this manuscript.</t>
  </si>
  <si>
    <t>2169-9003</t>
  </si>
  <si>
    <t>2169-9011</t>
  </si>
  <si>
    <t>J GEOPHYS RES-EARTH</t>
  </si>
  <si>
    <t>J. Geophys. Res.-Earth Surf.</t>
  </si>
  <si>
    <t>MAR 16</t>
  </si>
  <si>
    <t>F01011</t>
  </si>
  <si>
    <t>10.1029/2009JF001325</t>
  </si>
  <si>
    <t>572UK</t>
  </si>
  <si>
    <t>WOS:000275858800001</t>
  </si>
  <si>
    <t>Pörtner, HO</t>
  </si>
  <si>
    <t>Poertner, H.-O.</t>
  </si>
  <si>
    <t>Oxygen- and capacity-limitation of thermal tolerance: a matrix for integrating climate-related stressor effects in marine ecosystems</t>
  </si>
  <si>
    <t>JOURNAL OF EXPERIMENTAL BIOLOGY</t>
  </si>
  <si>
    <t>hypoxia; ocean warming; ocean acidification; climate change; mechanism-based projections; ecosystem change; thermal niche</t>
  </si>
  <si>
    <t>WORM SIPUNCULUS-NUDUS; COD GADUS-MORHUA; TEMPERATURE-DEPENDENT BIOGEOGRAPHY; TOAD BUFO-MARINUS; OCEAN ACIDIFICATION; ENERGY-METABOLISM; MYTILUS-GALLOPROVINCIALIS; ANTARCTIC ECTOTHERMS; ARENICOLA-MARINA; INTRACELLULAR PH</t>
  </si>
  <si>
    <t>The concept of oxygen-and capacity-dependent thermal tolerance in aquatic ectotherms has successfully explained climate-induced effects of rising temperatures on species abundance in the field. Oxygen supply to tissues and the resulting aerobic performance characters thus form a primary link between organismal fitness and its role and functioning at the ecosystem level. The thermal window of performance in water breathers matches their window of aerobic scope. Loss of performance reflects the earliest level of thermal stress, caused by hypoxaemia and the progressive mismatch of oxygen supply and demand at the borders of the thermal envelope. Oxygen deficiency elicits the transition to passive tolerance and associated systemic and cellular stress signals like hormonal responses or oxidative stress as well as the use of protection mechanisms like heat shock proteins at thermal extremes. Thermal acclimatization between seasons or adaptation to a climate regime involves shifting thermal windows and adjusting window widths. The need to specialize on a limited temperature range results from temperature-dependent trade-offs at several hierarchical levels, from molecular structure to whole-organism functioning, and may also support maximized energy efficiency. Various environmental factors like CO2 (ocean acidification) and hypoxia interact with these principal relationships. Existing knowledge suggests that these factors elicit metabolic depression supporting passive tolerance to thermal extremes. However, they also exacerbate hypoxaemia, causing a narrowing of thermal performance windows and prematurely leading the organism to the limits of its thermal acclimation capacity. The conceptual analysis suggests that the relationships between energy turnover, the capacities of activity and other functions and the width of thermal windows may lead to an integrative understanding of specialization on climate and, as a thermal matrix, of sensitivity to climate change and the factors involved. Such functional relationships might also relate to climate-induced changes in species interactions and, thus, community responses at the ecosystem level.</t>
  </si>
  <si>
    <t>Alfred Wegener Inst, D-27570 Bremerhaven, Germany</t>
  </si>
  <si>
    <t>Pörtner, HO (corresponding author), Alfred Wegener Inst, Handelshafen 12, D-27570 Bremerhaven, Germany.</t>
  </si>
  <si>
    <t>Hans.Poertner@awi.de</t>
  </si>
  <si>
    <t>Pörtner, Hans-O./ISU-9397-2023; Pörtner, Hans-O./K-9429-2016</t>
  </si>
  <si>
    <t>Pörtner, Hans-O./0000-0001-6535-6575</t>
  </si>
  <si>
    <t>European Community [FP7/2007-2013, 211384]; German minister of research and education (BMBF); AWI</t>
  </si>
  <si>
    <t>European Community; German minister of research and education (BMBF)(Federal Ministry of Education &amp; Research (BMBF)); AWI</t>
  </si>
  <si>
    <t>This work is a contribution to the 'European Project On Ocean Acidification' (EPOCA) which received funding from the European Community's Seventh Framework Programme (FP7/2007-2013) under grant agreement no. 211384. It is also a contribution to the project 'Biological Impacts Of Ocean Acidification' (BIOACID) funded by the German minister of research and education (BMBF) and to the AWI research program PACES.</t>
  </si>
  <si>
    <t>COMPANY BIOLOGISTS LTD</t>
  </si>
  <si>
    <t>BIDDER BUILDING, STATION RD, HISTON, CAMBRIDGE CB24 9LF, ENGLAND</t>
  </si>
  <si>
    <t>0022-0949</t>
  </si>
  <si>
    <t>1477-9145</t>
  </si>
  <si>
    <t>J EXP BIOL</t>
  </si>
  <si>
    <t>J. Exp. Biol.</t>
  </si>
  <si>
    <t>MAR 15</t>
  </si>
  <si>
    <t>10.1242/jeb.037523</t>
  </si>
  <si>
    <t>Biology</t>
  </si>
  <si>
    <t>Life Sciences &amp; Biomedicine - Other Topics</t>
  </si>
  <si>
    <t>561TS</t>
  </si>
  <si>
    <t>WOS:000275002600010</t>
  </si>
  <si>
    <t>Somero, GN</t>
  </si>
  <si>
    <t>Somero, G. N.</t>
  </si>
  <si>
    <t>The physiology of climate change: how potentials for acclimatization and genetic adaptation will determine 'winners' and 'losers'</t>
  </si>
  <si>
    <t>acclimation; acclimatization; adaptation; biogeography; climate change; extinction; genome; global warming; intertidal zone; thermal adaptation</t>
  </si>
  <si>
    <t>CYTOSOLIC MALATE-DEHYDROGENASES; INTERTIDAL PORCELAIN CRABS; FISH TREMATOMUS-BERNACCHII; THERMAL TOLERANCE LIMITS; HEAT-SHOCK PROTEINS; SNAILS GENUS TEGULA; ASPARTATE-AMINOTRANSFERASE; VERTICAL ZONATION; CDNA MICROARRAY; TEMPERATURE</t>
  </si>
  <si>
    <t>Physiological studies can help predict effects of climate change through determining which species currently live closest to their upper thermal tolerance limits, which physiological systems set these limits, and how species differ in acclimatization capacities for modifying their thermal tolerances. Reductionist studies at the molecular level can contribute to this analysis by revealing how much change in sequence is needed to adapt proteins to warmer temperatures - thus providing insights into potential rates of adaptive evolution - and determining how the contents of genomes - protein-coding genes and gene regulatory mechanisms influence capacities for adapting to acute and long-term increases in temperature. Studies of congeneric invertebrates from thermally stressful rocky intertidal habitats have shown that warm-adapted congeners are most susceptible to local extinctions because their acute upper thermal limits (LT50 values) lie near current thermal maxima and their abilities to increase thermal tolerance through acclimation are limited. Collapse of cardiac function may underlie acute and longer-term thermal limits. Local extinctions from heat death may be offset by in-migration of genetically warm-adapted conspecifics from mid-latitude 'hot spots', where midday low tides in summer select for heat tolerance. A single amino acid replacement is sufficient to adapt a protein to a new thermal range. More challenging to adaptive evolution are lesions in genomes of stenotherms like Antarctic marine ectotherms, which have lost protein-coding genes and gene regulatory mechanisms needed for coping with rising temperature. These extreme stenotherms, along with warm-adapted eurytherms living near their thermal limits, may be the major 'losers' from climate change.</t>
  </si>
  <si>
    <t>Stanford Univ, Dept Biol, Hopkins Marine Stn, Pacific Grove, CA 93950 USA</t>
  </si>
  <si>
    <t>Stanford University</t>
  </si>
  <si>
    <t>Somero, GN (corresponding author), Stanford Univ, Dept Biol, Hopkins Marine Stn, Pacific Grove, CA 93950 USA.</t>
  </si>
  <si>
    <t>somero@stanford.edu</t>
  </si>
  <si>
    <t>Somero, George/AAC-3321-2019; Vazquez-Dominguez, Guillermo GVD/L-7818-2014</t>
  </si>
  <si>
    <t>Somero, George/0000-0003-1431-6455</t>
  </si>
  <si>
    <t>National Science Foundation [IOS-0718734]; David and Lucile Packard Foundation; Gordon and Betty Moore Foundation</t>
  </si>
  <si>
    <t>National Science Foundation(National Science Foundation (NSF)); David and Lucile Packard Foundation(The David &amp; Lucile Packard Foundation); Gordon and Betty Moore Foundation(Gordon and Betty Moore Foundation)</t>
  </si>
  <si>
    <t>These studies were supported by grants from the National Science Foundation (IOS-0718734), and the David and Lucile Packard Foundation and the Gordon and Betty Moore Foundation through the Partnership for Interdisciplinary Study of Coastal Oceans (PISCO). This is PISCO publication number 349. I thank Ms Cheryl Logan for her helpful comments on this manuscript.</t>
  </si>
  <si>
    <t>10.1242/jeb.037473</t>
  </si>
  <si>
    <t>WOS:000275002600013</t>
  </si>
  <si>
    <t>Tomanek, L</t>
  </si>
  <si>
    <t>Tomanek, L.</t>
  </si>
  <si>
    <t>Variation in the heat shock response and its implication for predicting the effect of global climate change on species' biogeographical distribution ranges and metabolic costs</t>
  </si>
  <si>
    <t>heat shock proteins; heat shock response; transcriptomics; global climate change; biogeography; metabolic costs; acclimation; intertidal zone; subtidal zone</t>
  </si>
  <si>
    <t>SNAILS GENUS TEGULA; ACCLIMATION-INDUCED VARIATION; MUSSEL MYTILUS-CALIFORNIANUS; GOBY GILLICHTHYS-MIRABILIS; FISH TREMATOMUS-BERNACCHII; CDNA MICROARRAY ANALYSIS; INDUCIBLE HSP70 GENE; ANTARCTIC FISH; MOLECULAR CHAPERONES; BODY-TEMPERATURE</t>
  </si>
  <si>
    <t>The preferential synthesis of heat shock proteins (Hsps) in response to thermal stress [the heat shock response (HSR)] has been shown to vary in species that occupy different thermal environments. A survey of case studies of aquatic (mostly marine) organisms occupying stable thermal environments at all latitudes, from polar to tropical, shows that they do not in general respond to heat stress with an inducible HSR. Organisms that occupy highly variable thermal environments (variations up to &gt;20 degrees C), like the intertidal zone, induce the HSR frequently and within the range of body temperatures they normally experience, suggesting that the response is part of their biochemical strategy to occupy this thermal niche. The highest temperatures at which these organisms can synthesize Hsps are only a few degrees Celsius higher than the highest body temperatures they experience. Thus, they live close to their thermal limits and any further increase in temperature is probably going to push them beyond those limits. In comparison, organisms occupying moderately variable thermal environments (&lt;10 degrees C), like the subtidal zone, activate the HSR at temperatures above those they normally experience in their habitats. They have a wider temperature range above their body temperature range over which they can synthesize Hsps. Contrary to our expectations, species from highly (in comparison with moderately) variable thermal environments have a limited acclimatory plasticity. Due to this variation in the HSR, species from stable and highly variable environments are likely to be more affected by climate change than species from moderately variable environments.</t>
  </si>
  <si>
    <t>[Tomanek, L.] Calif Polytech State Univ San Luis Obispo, Ctr Coastal Marine Sci, San Luis Obispo, CA 93407 USA; [Tomanek, L.] Calif Polytech State Univ San Luis Obispo, Environm Prote Lab, Dept Biol Sci, San Luis Obispo, CA 93407 USA</t>
  </si>
  <si>
    <t>California State University System; California Polytechnic State University San Luis Obispo; California State University System; California Polytechnic State University San Luis Obispo</t>
  </si>
  <si>
    <t>Tomanek, L (corresponding author), Calif Polytech State Univ San Luis Obispo, Ctr Coastal Marine Sci, San Luis Obispo, CA 93407 USA.</t>
  </si>
  <si>
    <t>ltomanek@calpoly.edu</t>
  </si>
  <si>
    <t>National Science Foundation [IOS-0717087]</t>
  </si>
  <si>
    <t>The work on this manuscript was supported by a grant from the National Science Foundation (IOS-0717087). Thanks to Drs Jennifer Diehl and George Somero for making many helpful editorial suggestions.</t>
  </si>
  <si>
    <t>10.1242/jeb.038034</t>
  </si>
  <si>
    <t>WOS:000275002600019</t>
  </si>
  <si>
    <t>McGaughran, A; Holland, BR</t>
  </si>
  <si>
    <t>McGaughran, Angela; Holland, Barbara R.</t>
  </si>
  <si>
    <t>Testing the Effect of Metabolic Rate on DNA Variability at the Intra-Specific Level</t>
  </si>
  <si>
    <t>CYTOCHROME-B EVOLUTION; MITOCHONDRIAL-DNA; MOLECULAR EVOLUTION; GENERATION TIME; BODY-SIZE; NUCLEOTIDE SUBSTITUTION; SPONTANEOUS MUTATION; TEMPERATURE; TEMPO; TURTLES</t>
  </si>
  <si>
    <t>We tested the metabolic rate hypothesis (whereby rates of mtDNA evolution are postulated to be mediated primarily by mutagenic by-products of respiration) by examining whether mass-specific metabolic rate was correlated with root-to-tip distance on a set of mtDNA trees for the springtail Cryptopygus antarcticus travei from sub-Antarctic Marion Island. Using Bayesian analyses and a novel application of the comparative phylogenetic method, we did not find significant evidence that contemporary metabolic rates directly correlate with mutation rate (i.e., root-to-tip distance) once the underlying phylogeny is taken into account. However, we did find significant evidence that metabolic rate is dependent on the underlying mtDNA tree, or in other words, lineages with related mtDNA also have similar metabolic rates. We anticipate that future analyses which apply this methodology to datasets with longer sequences, more taxa, or greater variability will have more power to detect a significant direct correlation between metabolic rate and mutation rate. We conclude with suggestions for future analyses that would extend the preliminary approach applied here, in particular highlighting ways to tease apart oxidative stress effects from the effects of population size and/or selection coefficients operating on the molecular evolutionary rate.</t>
  </si>
  <si>
    <t>[McGaughran, Angela; Holland, Barbara R.] Massey Univ, Allan Wilson Ctr Mol Ecol &amp; Evolut, Palmerston North, New Zealand; [Holland, Barbara R.] Massey Univ, Inst Fundamental Sci, Palmerston North, New Zealand</t>
  </si>
  <si>
    <t>Massey University; Massey University</t>
  </si>
  <si>
    <t>McGaughran, A (corresponding author), Massey Univ, Allan Wilson Ctr Mol Ecol &amp; Evolut, Palmerston North, New Zealand.</t>
  </si>
  <si>
    <t>ang.mcgaughran@gmail.com</t>
  </si>
  <si>
    <t>Holland, Barbara R/G-1646-2013; McGaughran, Angela/C-5916-2014</t>
  </si>
  <si>
    <t>Holland, Barbara R/0000-0002-4628-7938; McGaughran, Angela/0000-0002-3429-8699</t>
  </si>
  <si>
    <t>New Zealand Tertiary Education Commission Top Achievers Doctoral Scholarship</t>
  </si>
  <si>
    <t>AM was supported by a New Zealand Tertiary Education Commission Top Achievers Doctoral Scholarship. The funders had no role in study design, data collection and analysis, decision to publish, or preparation of the manuscript.</t>
  </si>
  <si>
    <t>e9686</t>
  </si>
  <si>
    <t>10.1371/journal.pone.0009686</t>
  </si>
  <si>
    <t>569SM</t>
  </si>
  <si>
    <t>Green Accepted, Green Submitted, gold, Green Published</t>
  </si>
  <si>
    <t>WOS:000275621000006</t>
  </si>
  <si>
    <t>Reddmann, T; Ruhnke, R; Versick, S; Kouker, W</t>
  </si>
  <si>
    <t>Reddmann, T.; Ruhnke, R.; Versick, S.; Kouker, W.</t>
  </si>
  <si>
    <t>Modeling disturbed stratospheric chemistry during solar-induced NOx enhancements observed with MIPAS/ENVISAT</t>
  </si>
  <si>
    <t>DOWNWARD TRANSPORT; REACTIVE NITROGEN; PROTON EVENTS; OZONE; SIMULATIONS; VORTEX; HNO3; AIR; SF6</t>
  </si>
  <si>
    <t>Energetic particle precipitation during solar active periods induces enhancements of NOx (N, NO, NO2) in the lower thermosphere/mesosphere which can be transported to the stratosphere within the polar vortex. The quantitative contribution of these NOx intrusions to ozone chemistry in the stratosphere is still under discussion. Here we present simulations with a three-dimensional model of the middle atmosphere where NOx enhancements in the lower mesosphere have been taken from the observations of the Michelson Interferometer for Passive Atmospheric Sounding (MIPAS) instrument on the European Space Agency satellite ENVISAT. Covering the period from July 2002 to March 2004 these observations include the strong solar proton event in fall 2003 and intrusions connected to auroral events during the Arctic and Antarctic winters. The comparison of the disturbed run with the undisturbed model run allows a quantitative assessment of the long-term influence of NOx intrusions on stratospheric chemistry in general and the ozone concentration in particular. From the model simulation, we estimate for the period from July 2002 to March 2004 that in total, an additional 5.4 Gigamol NOy has been brought into the middle atmosphere. This represents in early 2004 about 5% of the global NOy mass in the middle atmosphere. A 2 year decay time for such enhancements is estimated from the model. Persistent reduction of ozone concentration in the stratosphere caused by the NOx intrusions can be followed in the simulation for several months. This reduction is restricted to high latitudes and amounts to several Dobson units in the total ozone column.</t>
  </si>
  <si>
    <t>[Reddmann, T.; Ruhnke, R.; Versick, S.; Kouker, W.] Karlsruhe Inst Technol, Inst Meteorol &amp; Climate Res, Karlsruhe, Germany</t>
  </si>
  <si>
    <t>Helmholtz Association; Karlsruhe Institute of Technology</t>
  </si>
  <si>
    <t>Reddmann, T (corresponding author), Karlsruhe Inst Technol, Inst Meteorol &amp; Climate Res, Hermann von Helmholtz Pl 1, D-76344 Eggenstein Leopoldshafen, Germany.</t>
  </si>
  <si>
    <t>thomas.reddmann@kit.edu</t>
  </si>
  <si>
    <t>Ruhnke, Roland/J-8800-2012; Reddmann, Thomas/A-7681-2013; Versick, Stefan/H-5877-2019</t>
  </si>
  <si>
    <t>Ruhnke, Roland/0000-0002-0353-1603; Reddmann, Thomas/0000-0003-1733-7016; Versick, Stefan/0000-0003-2265-6695</t>
  </si>
  <si>
    <t>MANOXUVA [1176 CAWSES]</t>
  </si>
  <si>
    <t>MANOXUVA</t>
  </si>
  <si>
    <t>This research was funded by the project MANOXUVA within the DFG priority project 1176 CAWSES. MIPAS ENVISAT data have been used within the project VAMP, AO-Id 127. The authors thank Bernd Funke for helpful discussions. The helpful reviews were highly appreciated by the authors.</t>
  </si>
  <si>
    <t>MAR 13</t>
  </si>
  <si>
    <t>D00I11</t>
  </si>
  <si>
    <t>10.1029/2009JD012569</t>
  </si>
  <si>
    <t>568BI</t>
  </si>
  <si>
    <t>WOS:000275496200004</t>
  </si>
  <si>
    <t>Ferrando, S; Gallus, L; Gambardella, C; Vacchi, M; Tagliafierro, G</t>
  </si>
  <si>
    <t>Ferrando, Sara; Gallus, Lorenzo; Gambardella, Chiara; Vacchi, Marino; Tagliafierro, Grazia</t>
  </si>
  <si>
    <t>G protein alpha subunits in the olfactory epithelium of the holocephalan fish Chimaera monstrosa</t>
  </si>
  <si>
    <t>NEUROSCIENCE LETTERS</t>
  </si>
  <si>
    <t>Olfactory epithelium; G alpha(o); Cartilaginous fish; Holocephalan</t>
  </si>
  <si>
    <t>VOMERONASAL SYSTEM; RECEPTOR NEURONS; ORIGIN; TRANSDUCTION; COMPONENTS; MORPHOLOGY; EVOLUTION; GOLDFISH; GENES; SKATE</t>
  </si>
  <si>
    <t>Receptor neurons in the olfactory and vomeronasal epithelia of vertebrates have dendritic specialization that is correlated to the receptor gene family they express and the G protein coupled with that receptor(in particular the G protein alpha subunit). There are not very many data in the literature about the morphological and molecular features of the olfactory epithelium of Chondrichthyes. In this work, the presence and distribution of different types of G protein alpha subunits (G alpha(o), G alpha(q) and G alpha(olf)) were investigated in the olfactory epithelium of the holocephalan Chimaera monstrosa using immunohistochemistry. Only G alpha(o)-like immunoreactivity was detected in the microvillous receptor neurons and in numerous axon bundles of the fila olfactoria. These preliminary data are in agreement with studies showing G protein alpha subunits in elasmobranchs and support the data present in the literature about putative odorant receptor families in the sequenced genome of the holocephalan Callorhinchus milii. (C) 2010 Elsevier Ireland Ltd. All rights reserved.</t>
  </si>
  <si>
    <t>[Ferrando, Sara; Gallus, Lorenzo; Gambardella, Chiara; Tagliafierro, Grazia] Univ Genoa, LIBiOM, Dept Biol, I-16132 Genoa, Italy; [Gambardella, Chiara] Univ Messina, Dept Anim Biol &amp; Marine Ecol, I-98166 Messina, Italy; [Vacchi, Marino] Univ Genoa, ISPRA, Natl Antarctic Museum, I-16132 Genoa, Italy</t>
  </si>
  <si>
    <t>University of Genoa; University of Messina; University of Genoa</t>
  </si>
  <si>
    <t>Ferrando, S (corresponding author), Univ Genoa, LIBiOM, Dept Biol, Viale Benedetto XV5, I-16132 Genoa, Italy.</t>
  </si>
  <si>
    <t>sara.ferrando@unige.it</t>
  </si>
  <si>
    <t>Gambardella, Chiara/AAA-6260-2022; Ferrando, Sara/AAC-9934-2022</t>
  </si>
  <si>
    <t>Gambardella, Chiara/0000-0002-6667-9242; Ferrando, Sara/0000-0002-5781-9709</t>
  </si>
  <si>
    <t>ELSEVIER IRELAND LTD</t>
  </si>
  <si>
    <t>CLARE</t>
  </si>
  <si>
    <t>ELSEVIER HOUSE, BROOKVALE PLAZA, EAST PARK SHANNON, CO, CLARE, 00000, IRELAND</t>
  </si>
  <si>
    <t>0304-3940</t>
  </si>
  <si>
    <t>1872-7972</t>
  </si>
  <si>
    <t>NEUROSCI LETT</t>
  </si>
  <si>
    <t>Neurosci. Lett.</t>
  </si>
  <si>
    <t>MAR 12</t>
  </si>
  <si>
    <t>10.1016/j.neulet.2010.01.059</t>
  </si>
  <si>
    <t>Neurosciences</t>
  </si>
  <si>
    <t>Neurosciences &amp; Neurology</t>
  </si>
  <si>
    <t>573RS</t>
  </si>
  <si>
    <t>WOS:000275932900015</t>
  </si>
  <si>
    <t>Rickaby, REM; Elderfield, H; Roberts, N; Hillenbrand, CD; Mackensen, A</t>
  </si>
  <si>
    <t>Rickaby, R. E. M.; Elderfield, H.; Roberts, N.; Hillenbrand, C. -D.; Mackensen, A.</t>
  </si>
  <si>
    <t>Evidence for elevated alkalinity in the glacial Southern Ocean</t>
  </si>
  <si>
    <t>ANTARCTIC CONTINENTAL-MARGIN; DEEP-WATER CIRCULATION; WEDDELL SEA; ATMOSPHERIC CO2; CALCIUM-CARBONATE; CACO3 PRESERVATION; RISE WEST; ATLANTIC; PACIFIC; DISSOLUTION</t>
  </si>
  <si>
    <t>An increase in whole ocean alkalinity during glacial periods could account, in part, for the drawdown of atmospheric CO2 into the ocean. Such an increase was inevitable due to the near elimination of shelf area for the burial of coral reef alkalinity. We present evidence, based on downcore measurements of benthic foraminiferal B/Ca and Mg/Ca from a core in the Weddell Sea, that the deep ocean carbonate ion concentration, [CO32-], was elevated by similar to 25 mu mol/kg during each glacial period of the last 800 kyr. The heterogeneity of the preservation histories in the different ocean basins reflects control of the carbonate chemistry of the deep glacial ocean in the Atlantic and Pacific by the changing ventilation and chemistry of Weddell Sea waters. These waters are more corrosive than interglacial northern sourced waters but not as undersaturated as interglacial southern sourced waters. Our inferred increase in whole ocean alkalinity can be reconciled with reconstructions of glacial saturation horizon depth and the carbonate budget if carbonate burial rates also increased above the saturation horizon as a result of enhanced pelagic calcification. The Weddell records display low [CO32-] during deglaciations and peak interglacial warmth, coincident with maxima in percent CaCO3 in the Atlantic and Pacific oceans. Should the burial rate of alkalinity in the more alkaline glacial deep waters outstrip the rate of alkalinity supply, then pelagic carbonate production by the coccolithophores at the end of the glacial maximum could drive a decrease in ocean [CO32-] and act to trigger the deglacial rise in pCO(2).</t>
  </si>
  <si>
    <t>[Rickaby, R. E. M.] Univ Oxford, Dept Earth Sci, Oxford OX1 3PR, England; [Mackensen, A.] Alfred Wegener Inst, D-27568 Bremerhaven, Germany; [Hillenbrand, C. -D.] British Antarctic Survey, Cambridge CB3 0ET, England; [Elderfield, H.; Roberts, N.] Univ Cambridge, Dept Earth Sci, Godwin Lab Paleoclimate Res, Cambridge CB2 3EQ, England</t>
  </si>
  <si>
    <t>University of Oxford; Helmholtz Association; Alfred Wegener Institute, Helmholtz Centre for Polar &amp; Marine Research; UK Research &amp; Innovation (UKRI); Natural Environment Research Council (NERC); NERC British Antarctic Survey; University of Cambridge</t>
  </si>
  <si>
    <t>Rickaby, REM (corresponding author), Univ Oxford, Dept Earth Sci, Parks Rd, Oxford OX1 3PR, England.</t>
  </si>
  <si>
    <t>rosr@earth.ox.ac.uk</t>
  </si>
  <si>
    <t>Mackensen, Andreas/J-8600-2013</t>
  </si>
  <si>
    <t>Mackensen, Andreas/0000-0002-5024-4455; Rickaby, Rosalind/0000-0002-6095-8419</t>
  </si>
  <si>
    <t>AFI [NER/G/S/2002/0018]; ERC [SP2-GA-2008-200915]; NERC [NE/F004966/1]; British Antarctic Survey; NERC [NE/F004966/1, bas010018] Funding Source: UKRI; Natural Environment Research Council [bas010018, NE/F004966/1] Funding Source: researchfish</t>
  </si>
  <si>
    <t>AFI; ERC(European Research Council (ERC)); NERC(UK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</si>
  <si>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Both Mervyn Greaves and Linda Booth were invaluable in assisting us with analysis and foram preparation, and Simon Crowhurst helped immensely with the age model development and plotting of the data. H. E. and R. R. are grateful to AFI grant NER/G/S/2002/0018, R. R. is grateful for ERC grant SP2-GA-2008-200915, and H. E. is grateful for NERC grant NE/F004966/1 for financial support. C.-D.H. was supported by the GRADES-QWAD and Palaeo-ice Sheets projects of the British Antarctic Survey. We thank the officers, crew, and scientists participating in cruise ANT-V/4 and are also grateful for insightful discussions with Nick McCave, Alex Piotrowski, and Andy Ridgwell. Robbie Toggweiler, Tom Marchitto, and Richard Zeebe all provided invaluable and thoughtful comments which greatly improved this manuscript during review.</t>
  </si>
  <si>
    <t>1944-9186</t>
  </si>
  <si>
    <t>PA1209</t>
  </si>
  <si>
    <t>10.1029/2009PA001762</t>
  </si>
  <si>
    <t>568CM</t>
  </si>
  <si>
    <t>WOS:000275499400001</t>
  </si>
  <si>
    <t>Nielsen, C</t>
  </si>
  <si>
    <t>Nielsen, Claus</t>
  </si>
  <si>
    <t>A review of the taxa of solitary entoprocts (Loxosomatidae)</t>
  </si>
  <si>
    <t>Entoprocta; Loxosomatidae; Loxosoma; Loxosomella; Loxocorone; Loxomitra; Loxomespilon; types</t>
  </si>
  <si>
    <t>RYUKYU ARCHIPELAGO; LOXOSOMELLA ENTOPROCTA; ANTARCTIC ENTOPROCTA; OKINAWA ISLAND</t>
  </si>
  <si>
    <t>All taxa of solitary entoprocts (Loxosomatidae) are listed, along with information concerning the original description and also the type material for species where the depositories are mentioned in the descriptions or where type material has been found in various museums. The species belonging to Loxosoma (with 25 described species) are illustrated. It is recommended that the genus Loxosomella (with 118 described species) should be used in its wide sense to include Loxocorone, Loxomitra and Loxomespilon as subgenera. This move will make it possible to refer species to the correct genus even when the diagnostic details of the attachment organ are undescribed.</t>
  </si>
  <si>
    <t>Univ Copenhagen, Zool Museum, Nat Hist Museum Denmark, DK-2100 Copenhagen, Denmark</t>
  </si>
  <si>
    <t>University of Copenhagen</t>
  </si>
  <si>
    <t>Nielsen, C (corresponding author), Univ Copenhagen, Zool Museum, Nat Hist Museum Denmark, Univ Pk 15, DK-2100 Copenhagen, Denmark.</t>
  </si>
  <si>
    <t>cnielsen@snm.ku.dk</t>
  </si>
  <si>
    <t>Nielsen, Claus/A-4794-2013</t>
  </si>
  <si>
    <t>Nielsen, Claus/0000-0001-6898-7655</t>
  </si>
  <si>
    <t>MAR 10</t>
  </si>
  <si>
    <t>10.11646/zootaxa.2395.1.4</t>
  </si>
  <si>
    <t>566KW</t>
  </si>
  <si>
    <t>WOS:000275370100004</t>
  </si>
  <si>
    <t>Guenthner, WR; Barbeau, DL; Reiners, PW; Thomson, SN</t>
  </si>
  <si>
    <t>Guenthner, William R.; Barbeau, David L., Jr.; Reiners, Peter W.; Thomson, Stuart N.</t>
  </si>
  <si>
    <t>Slab window migration and terrane accretion preserved by low-temperature thermochronology of a magmatic arc, northern Antarctic Peninsula</t>
  </si>
  <si>
    <t>ridge subduction; He dating; fission track dating; uplift; exhumation</t>
  </si>
  <si>
    <t>MENDOCINO TRIPLE JUNCTION; LAND SHEAR ZONE; RIDGE SUBDUCTION; PALMER-LAND; (U-TH)/HE THERMOCHRONOMETRY; TECTONIC IMPLICATIONS; ICE-SHEET; VOLCANISM; EVOLUTION; DEFORMATION</t>
  </si>
  <si>
    <t>Existing paleogeographic reconstructions indicate that the northern Antarctic Peninsula was central toseveral Mesozoic and Cenozoic tectonic events that have implications for ocean circulation and continental margin evolution. To evaluate the exhumational record of these processes, we collected new samples and measured fission track and (U-Th)/He cooling ages of apatite and zircon from 13 Jurassic and Cretaceous granitoids in western Graham Land between the northern tip of the peninsula and the Antarctic Circle. Apatite He data reveal distinct ages and systematic age patterns north and south of Anvers Island, near the midpoint of the study area: To the south, apatite He ages range from 16 to 8 Ma and young northward, whereas to the north they range between 65 and 24 Ma (with one exception at 11 Ma) and young southward. Thermal histories inferred from the ages and closure temperatures of multiple thermochronometers in single samples indicate distinct histories for northern and southern Graham Land. Northern sites reveal a Late Cretaceous pulse of rapid cooling (&gt;7 degrees C/Myr) followed by very slow cooling (similar to 1 degrees C/Myr) to the Recent, whereas southern sites record either a pulse of rapid mid-Miocene cooling (similar to 8 degrees C/Myr) or steady and moderate cooling (similar to 3 degrees C/Myr) from the Late Cretaceous to the Recent. We interpret the Late Cretaceous rapid cooling in the northern part of the study area as a possible manifestation of terrane accretion associated with the Palmer Land event. We interpret the systematic spatial trends in apatite He ages and contrasting thermal histories along the peninsula as recording progressive Late Cenozoic northward opening of a slab window south of Anvers Island. This is consistent with a time transgressive pulse of similar to 2-3 km of rock uplift and exhumation in the upper plate following ridge-trench collision, cessation of subduction, and opening of the slab window, presumably caused by increased asthenospheric upwelling beneath the overriding plate.</t>
  </si>
  <si>
    <t>[Guenthner, William R.; Reiners, Peter W.; Thomson, Stuart N.] Univ Arizona, Dept Geosci, Tucson, AZ 85721 USA; [Barbeau, David L., Jr.] Univ S Carolina, Dept Earth &amp; Ocean Sci, Columbia, SC 29208 USA</t>
  </si>
  <si>
    <t>University of Arizona; University of South Carolina System; University of South Carolina Columbia</t>
  </si>
  <si>
    <t>Guenthner, WR (corresponding author), Univ Arizona, Dept Geosci, Tucson, AZ 85721 USA.</t>
  </si>
  <si>
    <t>wrg@email.arizona.edu</t>
  </si>
  <si>
    <t>Thomson, Stuart N/A-1222-2009; Thomson, Stuart N/IZE-4354-2023</t>
  </si>
  <si>
    <t>Thomson, Stuart N/0000-0003-4331-5654; Guenthner, William/0000-0003-0895-3351</t>
  </si>
  <si>
    <t>International Polar Year [ANT-0732995]; National Science Foundation Office of Polar Programs; Directorate For Geosciences; Division Of Earth Sciences [0732380] Funding Source: National Science Foundation</t>
  </si>
  <si>
    <t>International Polar Year; National Science Foundation Office of Polar Programs(National Science Foundation (NSF)NSF - Directorate for Geosciences (GEO)); Directorate For Geosciences; Division Of Earth Sciences(National Science Foundation (NSF)NSF - Directorate for Geosciences (GEO))</t>
  </si>
  <si>
    <t>This research was primarily supported by International Polar Year grant ANT-0732995 to D. L. B. from the National Science Foundation Office of Polar Programs. The United States Antarctic Program, Edison Choest Offshore, and Raytheon Polar Services Company provided logistical support under the direction of J. Evans, S. Flanagan, and H. Baker. D. Gombosi, K. Murray, B. Kliesen, D. Ellsberg, and C. Denker provided field assistance. S. Nicolescu provided laboratory assistance. We appreciate constructive reviews by Trevor Dumitru and an anonymous reviewer.</t>
  </si>
  <si>
    <t>MAR 6</t>
  </si>
  <si>
    <t>Q03001</t>
  </si>
  <si>
    <t>10.1029/2009GC002765</t>
  </si>
  <si>
    <t>565OA</t>
  </si>
  <si>
    <t>WOS:000275302200001</t>
  </si>
  <si>
    <t>Obana, Y; Menk, FW; Yoshikawa, I</t>
  </si>
  <si>
    <t>Obana, Yuki; Menk, Frederick W.; Yoshikawa, Ichiro</t>
  </si>
  <si>
    <t>Plasma refilling rates for L=2.3-3.8 flux tubes</t>
  </si>
  <si>
    <t>MAGNETOSPHERIC ELECTRON-DENSITY; SATELLITE BEACON MEASUREMENTS; IN-SITU; IONOSPHERE; MODEL; PULSATIONS; DEPENDENCE; FIELDS; IONS</t>
  </si>
  <si>
    <t>Measurements of the eigenfrequency of geomagnetic field lines can provide information on the plasma mass density near the equatorial plane of the magnetosphere. Data from an extended meridional array of ground magnetometers therefore allow the radial density distribution, and its temporal variation, to be remotely monitored. Using cross-phase analysis of magnetometer array data, we determined the equatorial mass density during three moderate geomagnetic storms in March 2004 and June and April 2001. In each case the field line eigenfrequency increased markedly, corresponding to reductions in mass density and indicating that the plasmapause moved earthward and these flux tubes were depleted. We then measured the rate at which these flux tubes were refilled to prestorm levels. This took 2-3 days for L = 2.3 flux tubes, 3 days at L = 2.6, and over 4 days for L &gt; 3.3. Plasmaspheric refilling progressed with a clear diurnal variation associated with linearly increasing plasma density in the daytime and decreasing plasma density at nighttime. The daytime increases in plasma mass density related to refilling rates ranging from similar to 250 to similar to 13 amu cm(-3) h(-1) over L = 2.3-3.8. The resultant upward plasma flux at the 1000 km level was in the range 0.9-5.2 x 10(8) amu cm(-2) s(-1). We also determined the daily averaged refilling rate to be similar to 420 amu cm(-3) d(-1) at L = 2.9-3.1, including the nighttime downward flux. By comparison with Imager for Magnetopause-to Aurora Global Exploration-EUV and VLF whistler data we were able to estimate the plasma composition and found the O+ proportion was of order 3%-7% at L = 2.3 and 6% 13% at L = 3.0.</t>
  </si>
  <si>
    <t>[Obana, Yuki; Menk, Frederick W.] Univ Newcastle, Sch Math &amp; Phys Sci, Newcastle, NSW 2308, Australia; [Obana, Yuki; Yoshikawa, Ichiro] Univ Tokyo, Dept Earth &amp; Planetary Sci, Tokyo 1130033, Japan</t>
  </si>
  <si>
    <t>University of Newcastle; University of Tokyo</t>
  </si>
  <si>
    <t>Obana, Y (corresponding author), Univ Newcastle, Sch Math &amp; Phys Sci, Newcastle, NSW 2308, Australia.</t>
  </si>
  <si>
    <t>obana@eps.s.u-tokyo.ac.jp</t>
  </si>
  <si>
    <t>YOSHIKAWA, ICHIRO/G-4966-2014; Menk, Frederick/A-2640-2009</t>
  </si>
  <si>
    <t>Menk, Frederick/0000-0002-1154-6223; Obana, Yuki/0000-0002-7291-3648</t>
  </si>
  <si>
    <t>Science and Technology Facilities Council (STFC)</t>
  </si>
  <si>
    <t>Science and Technology Facilities Council (STFC)(UK Research &amp; Innovation (UKRI)Science &amp; Technology Facilities Council (STFC)Science and Technology Development Fund (STDF))</t>
  </si>
  <si>
    <t>We thank the SAMNET, BGS, IMAGE, MEASURE, and CANMOS teams for magnetometer data. SAMNET is operated by the Department of Communications Systems at Lancaster University (U.K.) and has been funded by the Science and Technology Facilities Council (STFC). Data from the IMAGE stations were provided courtesy of the Finnish Meteorological Institute, the University of Oulu, and the Geological Survey of Sweden. The data from BGS stations were provided courtesy of the British Geological Survey. MEASURE is operated by IGPP, University of California, Los Angeles, and the Florida Institute of Technology, Melbourne, Florida. CNMOS is operated by the Geological Survey of Canada, part of Natural Resources Canada. We thank B. R. Sandel (University of Arizona) for IMAGE-EUV data and M. Clilverd (British Antarctic Survey) for Rothera VLF data. We thank the ACE spacecraft, ACE MAG instrument, and ACE SWEPAM instrument teams and N. Ness and D. J. McComas for the ACE MAG and SWEPAM data provided through the CDA Web site, respectively. We also thank the groups of SPIDR and WDC for Geomagnetism, Kyoto, for providing foF2 data and final Dst index, respectively. Finally, we thank the DMSP team for providing DMSP/SSJ data.</t>
  </si>
  <si>
    <t>A03204</t>
  </si>
  <si>
    <t>10.1029/2009JA014191</t>
  </si>
  <si>
    <t>565UV</t>
  </si>
  <si>
    <t>WOS:000275321200001</t>
  </si>
  <si>
    <t>Genthon, C; Town, MS; Six, D; Favier, V; Argentini, S; Pellegrini, A</t>
  </si>
  <si>
    <t>Genthon, Christophe; Town, Michael S.; Six, Delphine; Favier, Vincent; Argentini, Stefania; Pellegrini, Andrea</t>
  </si>
  <si>
    <t>Meteorological atmospheric boundary layer measurements and ECMWF analyses during summer at Dome C, Antarctica</t>
  </si>
  <si>
    <t>SURFACE-ENERGY BALANCE; TEMPERATURE-MEASUREMENTS; CLIMATE; HUMIDITY; VALIDATION; RADIOSONDE; RADIATION; TURBULENCE; SITE</t>
  </si>
  <si>
    <t>Six levels of meteorological sensors have been deployed along a 45 m tower at the French-Italian Concordia station, Dome C, Antarctic. We present measurements of vertical profiles, the diurnal cycle, and interdiurnal variability of temperature, humidity, and wind speed and direction for 3 weeks during the southern summer of 2008. These measurements are compared to 6-hourly European Center for Medium-Range Forecasts (ECMWF) analyses and daily radiosoundings. The ECMWF analyses show a 3-4 degrees C warm bias relative to the tower observations. They reproduce the diurnal cycle of temperature with slightly weaker amplitude and weaker vertical gradients. The amplitude of the diurnal cycle of relative humidity is overestimated by ECMWF because the amplitude of the absolute humidity diurnal cycle is too small. The nighttime surface-based wind shear and Ekman spiral is also not reproduced in the ECMWF analyses. Radiosonde temperatures are biased low relative to the tower observations in the lowest 30 m but approach agreement at the top of the tower. Prior to bias correction for age-related contamination, radiosonde relative humidities are biased low relative to the tower observations in the lowest 10 m but agree with tower observations above this height. After correction for the age-related bias, the radiosonde relative humidity agrees with tower observations below 10 m but is biased high above this height. Tower temperature observations may also be biased by solar heating, despite radiation shielding and natural ventilation.</t>
  </si>
  <si>
    <t>[Genthon, Christophe; Town, Michael S.; Six, Delphine; Favier, Vincent] Lab Glaciol &amp; Geophys Environm, UMR 5183, F-38402 St Martin Dheres, France; [Argentini, Stefania] CNR, Ist Sci Atmosfera &amp; Clima, Area Ric Roma Tor Vergata, I-00133 Rome, Italy; [Pellegrini, Andrea] ENEA, Programma Nazl Ric Antartide, I-00123 Rome, Italy</t>
  </si>
  <si>
    <t>University of Rome Tor Vergata; Consiglio Nazionale delle Ricerche (CNR); Istituto di Scienze dell'Atmosfera e del Clima (ISAC-CNR); Italian National Agency New Technical Energy &amp; Sustainable Economics Development</t>
  </si>
  <si>
    <t>Genthon, C (corresponding author), Lab Glaciol &amp; Geophys Environm, UMR 5183, 54 Rue Moliere,BP96, F-38402 St Martin Dheres, France.</t>
  </si>
  <si>
    <t>genthon@lgge.obs.ujf-grenoble.fr</t>
  </si>
  <si>
    <t>Favier, Vincent/T-1936-2017; Pellegrini, Andrea/O-3094-2015</t>
  </si>
  <si>
    <t>Favier, Vincent/0000-0001-6024-9498; ARGENTINI, STEFANIA/0000-0002-7939-0309; Pellegrini, Andrea/0000-0001-5577-7472</t>
  </si>
  <si>
    <t>French Institut National des Sciences de l'Univers</t>
  </si>
  <si>
    <t>The Concordia station is jointly operated by IPEV and PNRA. Meteorological instruments were funded by the French Institut National des Sciences de l'Univers program 'Equipement-Troposphere-Concordia.'' Data analysis was carried out as part of the LEFE-CHAT-SOUFRE'' and LEFE-EVE-CHARMANT'' projects and as part of the THORPEX/IPY CONCORDIASI Program. Radiation data were provided by the Baseline Surface Radiation Network.</t>
  </si>
  <si>
    <t>MAR 5</t>
  </si>
  <si>
    <t>D05104</t>
  </si>
  <si>
    <t>10.1029/2009JD012741</t>
  </si>
  <si>
    <t>565OY</t>
  </si>
  <si>
    <t>WOS:000275304900002</t>
  </si>
  <si>
    <t>Bächler, E; Hahn, S; Schaub, M; Arlettaz, R; Jenni, L; Fox, JW; Afanasyev, V; Liechti, F</t>
  </si>
  <si>
    <t>Baechler, Erich; Hahn, Steffen; Schaub, Michael; Arlettaz, Raphael; Jenni, Lukas; Fox, James W.; Afanasyev, Vsevolod; Liechti, Felix</t>
  </si>
  <si>
    <t>Year-Round Tracking of Small Trans-Saharan Migrants Using Light-Level Geolocators</t>
  </si>
  <si>
    <t>MIGRATION; BIRDS; ACCURACY</t>
  </si>
  <si>
    <t>Since 1899 ringing (or banding) remained the most important source of information about migration routes, stopover sites and wintering grounds for birds that are too small to carry satellite-based tracking systems. Despite the large quantity of migrating birds ringed in their breeding areas in Europe, the number of ring recoveries from sub-Saharan Africa is very low and therefore the whereabouts of most small bird species outside the breeding season remain a mystery. With new miniaturized light-level geolocators it is now possible to look beyond the limits of ring recovery data. Here we show for the first time year round tracks of a near passerine trans-Saharan migrant, the European Hoopoe (Upupa epops epops). Three birds wintered in the Sahel zone of Western Africa where they remained stationary for most of the time. One bird chose a south-easterly route following the Italian peninsula. Birds from the same breeding population used different migration routes and wintering sites, suggesting a low level of migratory connectivity between breeding and wintering areas. Our tracking of a near passerine bird, the European Hoopoe, with light-level geolocators opens a new chapter in the research of Palaearctic-African bird migration as this new tool revolutionizes our ability to discover migration routes, stopover sites and wintering grounds of small birds.</t>
  </si>
  <si>
    <t>[Baechler, Erich; Hahn, Steffen; Schaub, Michael; Arlettaz, Raphael; Jenni, Lukas; Liechti, Felix] Swiss Ornithol Inst, Sempach, Switzerland; [Schaub, Michael; Arlettaz, Raphael] Univ Bern, Inst Ecol &amp; Evolut, Bern, Switzerland; [Fox, James W.; Afanasyev, Vsevolod] British Antarctic Survey, Nat Environm Res Council, Cambridge CB3 0ET, England</t>
  </si>
  <si>
    <t>Swiss Ornithological Institute; University of Bern; UK Research &amp; Innovation (UKRI); Natural Environment Research Council (NERC); NERC British Antarctic Survey</t>
  </si>
  <si>
    <t>Bächler, E (corresponding author), Swiss Ornithol Inst, Sempach, Switzerland.</t>
  </si>
  <si>
    <t>erich.baechler@vogelwarte.ch</t>
  </si>
  <si>
    <t>; Arlettaz, Raphael/O-2182-2016</t>
  </si>
  <si>
    <t>Fox, James W./0000-0002-3107-696X; Schaub, Michael/0000-0003-2745-0557; Hahn, Steffen/0000-0002-4924-495X; Arlettaz, Raphael/0000-0001-6360-5339</t>
  </si>
  <si>
    <t>Swiss Ornithological Institute; NERC [bas0100025, bas010011] Funding Source: UKRI; Natural Environment Research Council [bas010011, bas0100025] Funding Source: researchfish</t>
  </si>
  <si>
    <t>Swiss Ornithological Institute; NERC(UK Research &amp; Innovation (UKRI)Natural Environment Research Council (NERC)); Natural Environment Research Council(UK Research &amp; Innovation (UKRI)Natural Environment Research Council (NERC))</t>
  </si>
  <si>
    <t>This work was funded by the Swiss Ornithological Institute. The funders had no role in study design, data collection and analysis, decision to publish, or preparation of the manuscript.</t>
  </si>
  <si>
    <t>185 BERRY ST, STE 1300, SAN FRANCISCO, CA 94107 USA</t>
  </si>
  <si>
    <t>e9566</t>
  </si>
  <si>
    <t>10.1371/journal.pone.0009566</t>
  </si>
  <si>
    <t>564EX</t>
  </si>
  <si>
    <t>WOS:000275197200015</t>
  </si>
  <si>
    <t>Bard, E; Hamelin, B; Delanghe-Sabatier, D</t>
  </si>
  <si>
    <t>Bard, Edouard; Hamelin, Bruno; Delanghe-Sabatier, Doriane</t>
  </si>
  <si>
    <t>Deglacial Meltwater Pulse 1B and Younger Dryas Sea Levels Revisited with Boreholes at Tahiti</t>
  </si>
  <si>
    <t>SCIENCE</t>
  </si>
  <si>
    <t>ANTARCTIC ICE-SHEET; U-TH AGES; LAST DEGLACIATION; MASS-SPECTROMETRY; REEF GROWTH; RECORD; BARBADOS; CALIBRATION; CLIMATE; CORALS</t>
  </si>
  <si>
    <t>Reconstructing sea-level changes during the last deglaciation provides a way of understanding the ice dynamics that can perturb large continental ice sheets. The resolution of the few sea-level records covering the critical time interval between 14,000 and 9,000 calendar years before the present is still insufficient to draw conclusions about sea-level changes associated with the Younger Dryas cold event and the meltwater pulse 1B (MWP-1B). We used the uranium-thorium method to date shallow-living corals from three new cores drilled onshore in the Tahiti barrier reef. No significant discontinuity can be detected in the sea-level rise during the MWP-1B period. The new Tahiti sea-level record shows that the sea-level rise slowed down during the Younger Dryas before accelerating again during the Holocene.</t>
  </si>
  <si>
    <t>[Bard, Edouard; Hamelin, Bruno; Delanghe-Sabatier, Doriane] Univ Aix Marseille, Inst Rech Dev, Coll France, CEREGE,UMR 6635,CNRS, F-13545 Aix En Provence 4, France</t>
  </si>
  <si>
    <t>Universite PSL; College de France; Aix-Marseille Universite; Centre National de la Recherche Scientifique (CNRS); Institut de Recherche pour le Developpement (IRD)</t>
  </si>
  <si>
    <t>Bard, E (corresponding author), Univ Aix Marseille, Inst Rech Dev, Coll France, CEREGE,UMR 6635,CNRS, BP 80, F-13545 Aix En Provence 4, France.</t>
  </si>
  <si>
    <t>bard@cerege.fr</t>
  </si>
  <si>
    <t>Bard, Edouard/G-7717-2014; delanghe, doriane/AAN-3167-2020</t>
  </si>
  <si>
    <t>delanghe, doriane/0000-0001-6050-4823</t>
  </si>
  <si>
    <t>Gary Comer Foundation for Science and Education; European Science Foundation (EuroMARC); CNRS; College de France</t>
  </si>
  <si>
    <t>Gary Comer Foundation for Science and Education; European Science Foundation (EuroMARC)(European Science Foundation (ESF)); CNRS(Centre National de la Recherche Scientifique (CNRS)); College de France</t>
  </si>
  <si>
    <t>The authors thank G. Cabioch for help with coring and sampling; G. Menot and W. Barthelemy for help with U-Th analyses; D. Borschneck for help with x-ray diffraction analyses; P. Deschamps for age calculations and drafting Fig. 1; P. Dussouillez and J.-J. Motte for help with maps; and F. Antonioli, G. Cabioch, P. Clark, P. Deschamps, and F. Taylor for useful technical and scientific discussions. Numerical data are available in table S1 and also at the National Oceanic and Atmospheric Administration's National Geophysical Data Center public data repository. Paleoclimate work at CEREGE is supported by grants from the Gary Comer Foundation for Science and Education, the European Science Foundation (EuroMARC), the CNRS, and the College de France.</t>
  </si>
  <si>
    <t>AMER ASSOC ADVANCEMENT SCIENCE</t>
  </si>
  <si>
    <t>1200 NEW YORK AVE, NW, WASHINGTON, DC 20005 USA</t>
  </si>
  <si>
    <t>0036-8075</t>
  </si>
  <si>
    <t>1095-9203</t>
  </si>
  <si>
    <t>Science</t>
  </si>
  <si>
    <t>10.1126/science.1180557</t>
  </si>
  <si>
    <t>563VD</t>
  </si>
  <si>
    <t>WOS:000275162100033</t>
  </si>
  <si>
    <t>McGifford, RW; Seen, AJ; Haddad, PR</t>
  </si>
  <si>
    <t>McGifford, Russell W.; Seen, Andrew J.; Haddad, Paul R.</t>
  </si>
  <si>
    <t>Direct colorimetric detection of copper(II) ions in sampling using diffusive gradients in thin-films</t>
  </si>
  <si>
    <t>ANALYTICA CHIMICA ACTA</t>
  </si>
  <si>
    <t>Passive sampling; Binding phase; Colorimetry; Computer imaging densitometry; Copper; Methylthymol blue</t>
  </si>
  <si>
    <t>MEMBRANE DEVICES; PASSIVE SAMPLERS; IN-SITU; CONTAMINANTS; WATER; DGT; POLLUTANTS; SULFIDE; FLUXES; ZN</t>
  </si>
  <si>
    <t>A novel binding phase was developed for use in diffusive gradients in thin-film (DGT) sampling for Cu(II) by employing methylthymol blue as a chelating and chromogenic agent. Methylthymol blue was adsorbed onto beads of Dowex 1 x 8 resin (200-400 mesh) and the resin beads were then immobilised onto an adhesive disc. Analysis of exposed binding discs by either UV-vis spectrophotometry or computer imaging densitometry provided robust quantification of adsorbed Cu(II) in the 0.2-1 mu g cm(-2) range, allowing detection at mu g L-1 concentrations in the test solution (ca. 17 mu g L-1 for a 24 h deployment), and in good agreement with established DGT theory. The method was shown to be a potential replacement for binding phases based on Chelex 100 where a colorimetric response to a specific metal is desired. (C) 2010 Elsevier B.V. All rights reserved.</t>
  </si>
  <si>
    <t>[McGifford, Russell W.; Seen, Andrew J.] Univ Tasmania, Sch Chem, Launceston, Tas 7250, Australia; [Haddad, Paul R.] Univ Tasmania, ACROSS, Sch Chem, Hobart, Tas 7001, Australia</t>
  </si>
  <si>
    <t>Seen, AJ (corresponding author), Univ Tasmania, Sch Chem, Locked Bag 1371, Launceston, Tas 7250, Australia.</t>
  </si>
  <si>
    <t>Andrew.Seen@utas.edu.au</t>
  </si>
  <si>
    <t>Seen, Andrew/0000-0001-7788-579X; Haddad, Paul/0000-0001-9579-7363</t>
  </si>
  <si>
    <t>DEH/Australian Antarctic Science [2665]</t>
  </si>
  <si>
    <t>DEH/Australian Antarctic Science</t>
  </si>
  <si>
    <t>The support of DEH/Australian Antarctic Science (Project Number 2665) is acknowledged, along with our appreciation to Dr. Ashley Townsend of the University of Tasmania Central Science Laboratory for undertaking ICP-MS analyses. Our thanks also go to Associate Professor Dominic Geraghty from the UTas School of Human Life Sciences for use of, and assistance with, the IX71 microscope.</t>
  </si>
  <si>
    <t>0003-2670</t>
  </si>
  <si>
    <t>1873-4324</t>
  </si>
  <si>
    <t>ANAL CHIM ACTA</t>
  </si>
  <si>
    <t>Anal. Chim. Acta</t>
  </si>
  <si>
    <t>MAR 3</t>
  </si>
  <si>
    <t>10.1016/j.aca.2009.12.041</t>
  </si>
  <si>
    <t>Chemistry, Analytical</t>
  </si>
  <si>
    <t>564SC</t>
  </si>
  <si>
    <t>WOS:000275236200007</t>
  </si>
  <si>
    <t>Winckler, G; Newton, R; Schlosser, P; Crone, TJ</t>
  </si>
  <si>
    <t>Winckler, Gisela; Newton, Robert; Schlosser, Peter; Crone, Timothy J.</t>
  </si>
  <si>
    <t>Mantle helium reveals Southern Ocean hydrothermal venting</t>
  </si>
  <si>
    <t>GEOPHYSICAL RESEARCH LETTERS</t>
  </si>
  <si>
    <t>EAST PACIFIC RISE; ANTARCTIC RIDGE; FRACTURE-ZONE; HE-3; CIRCULATION; CONSTRAINTS; EVOLUTION; SPRINGS; FLUXES; GASES</t>
  </si>
  <si>
    <t>Hydrothermal venting along the global mid-ocean ridge system plays a major role in cycling elements and energy between the Earth's interior and surface. We use the distribution of helium isotopes along an oceanic transect at 67 S to identify previously unobserved hydrothermal activity in the Pacific sector of the Southern Ocean. Combining the geochemical information provided by the helium isotope anomaly with independent hydrographic information from the Southern Ocean, we trace the source of the hydrothermal input to the Pacific Antarctic Ridge south of 55 S, one of the major global mid-ocean ridge systems, which has until now been a 'blank spot' on the global map of hydrothermal venting. We identify three complete ridge segments, a portion of a fourth segment and two isolated locations on the Pacific Antarctic Ridge between 145 W and 175 W ( representing similar to 540 km of ridge in total) as the potential source of the newly observed plume. Citation: Winckler, G., R. Newton, P. Schlosser, and T. J. Crone ( 2010), Mantle helium reveals Southern Ocean hydrothermal venting, Geophys. Res. Lett., 37, L05601, doi:10.1029/2009GL042093.</t>
  </si>
  <si>
    <t>[Winckler, Gisela; Newton, Robert; Schlosser, Peter; Crone, Timothy J.] Columbia Univ, Lamont Doherty Earth Observ, Earth Inst, Palisades, NY 10964 USA; [Winckler, Gisela; Schlosser, Peter] Columbia Univ, Dept Earth &amp; Environm Sci, Palisades, NY 10964 USA; [Schlosser, Peter] Columbia Univ, Dept Earth &amp; Environm Engn, Palisades, NY 10964 USA</t>
  </si>
  <si>
    <t>Columbia University; Columbia University; Columbia University</t>
  </si>
  <si>
    <t>Winckler, G (corresponding author), Columbia Univ, Lamont Doherty Earth Observ, Earth Inst, 61 Rt 9W, Palisades, NY 10964 USA.</t>
  </si>
  <si>
    <t>winckler@ldeo.columbia.edu</t>
  </si>
  <si>
    <t>Schlosser, Peter/C-6416-2012; Crone, Timothy/A-9360-2009</t>
  </si>
  <si>
    <t>Crone, Timothy/0000-0002-8100-5633</t>
  </si>
  <si>
    <t>NSF [OCE 98-20130]; NOAA-CICAR [NA03OAR4320179 I PRJ 2, NA008OAR4320912]</t>
  </si>
  <si>
    <t>NSF(National Science Foundation (NSF)); NOAA-CICAR</t>
  </si>
  <si>
    <t>G. W. thanks Trevor Williams for his generous help with GMT. We thank Helen Ondreas, Celine Cordier and Louis Geli from Ifremer ( Brest, France) for providing the swath bathymetry data from the PANANTARCTIC cruise, and two anonymous reviewers for their helpful comments. This research was supported by NSF grant OCE 98-20130 and NOAA-CICAR grants NA03OAR4320179 I PRJ 2 and NA008OAR4320912.</t>
  </si>
  <si>
    <t>0094-8276</t>
  </si>
  <si>
    <t>GEOPHYS RES LETT</t>
  </si>
  <si>
    <t>Geophys. Res. Lett.</t>
  </si>
  <si>
    <t>MAR 2</t>
  </si>
  <si>
    <t>L05601</t>
  </si>
  <si>
    <t>10.1029/2009GL042093</t>
  </si>
  <si>
    <t>565OD</t>
  </si>
  <si>
    <t>WOS:000275302500003</t>
  </si>
  <si>
    <t>Hauck, J; Hoppema, M; Bellerby, RGJ; Völker, C; Wolf-Gladrow, D</t>
  </si>
  <si>
    <t>Hauck, J.; Hoppema, M.; Bellerby, R. G. J.; Voelker, C.; Wolf-Gladrow, D.</t>
  </si>
  <si>
    <t>Data-based estimation of anthropogenic carbon and acidification in the Weddell Sea on a decadal timescale</t>
  </si>
  <si>
    <t>ANTARCTIC BOTTOM WATER; OCEAN ACIDIFICATION; SOUTHERN-OCEAN; CO2 INVENTORY; DISSOCIATION-CONSTANTS; ATLANTIC-OCEAN; NORTH-ATLANTIC; DEEP; DIOXIDE; ACID</t>
  </si>
  <si>
    <t>The amount of anthropogenic CO2 (C-ant) that entered the Weddell Sea between 1992 and 2008 (C-ant(1992-2008)) was assessed using the extended multiple linear regression (eMLR) method. In the Warm Deep Water (WDW) and the Weddell Sea Bottom Water (WSBW), C-ant(1992-2008) values were insignificant, whereas values as high as 8 mu mol kg(-1) were observed over the shelf. C-ant(1992-2008) concentrations in the surface layer varied with latitude between 2 and 11 mu mol kg(-1). Weak intrusion of anthropogenic CO2 into Weddell Sea Deep Water (WSDW) was demonstrated (C-ant(1992-2008) yields 1.5-2 mu mol kg(-1)). That more C-ant(1992-2008) was found in the WSDW than in the WSBW is surprising, but can be explained by intense ventilation of the WSDW originating from east of the Weddell Gyre. The invasion of C-ant(1992-2008) provokes a shift in the equilibria of the carbonate system, resulting in acidification and reduction of CO32- concentration. The mean decrease of pH in the upper 200 m layer was 0.016. The largest decrease of calcite and aragonite saturation states was observed at the surface. This implies that surface waters might become undersaturated with respect to aragonite in the future while the underlying WDW is still saturated. Results of this analysis suggest that complete undersaturation of surface waters in the Weddell Sea will be reached after the 21st century.</t>
  </si>
  <si>
    <t>[Hauck, J.; Hoppema, M.; Voelker, C.; Wolf-Gladrow, D.] Alfred Wegener Inst Polar &amp; Marine Res, D-27515 Bremerhaven, Germany; [Bellerby, R. G. J.] Univ Bergen, Bjerknes Ctr Climate Res, N-5007 Bergen, Norway; [Bellerby, R. G. J.] Univ Bergen, Inst Geophys, N-5007 Bergen, Norway</t>
  </si>
  <si>
    <t>Helmholtz Association; Alfred Wegener Institute, Helmholtz Centre for Polar &amp; Marine Research; University of Bergen; Bjerknes Centre for Climate Research; University of Bergen</t>
  </si>
  <si>
    <t>Hauck, J (corresponding author), Alfred Wegener Inst Polar &amp; Marine Res, Postfach 12 01 61, D-27515 Bremerhaven, Germany.</t>
  </si>
  <si>
    <t>judith.hauck@awi.de; mario.hoppema@awi.de; richard.bellerby@bjerknes.uib.no; christoph.voelker@awi.de; dieter.wolf-gladrow@awi.de</t>
  </si>
  <si>
    <t>Bellerby, Richard/B-5277-2012; Bellerby, Richard/ABD-6590-2021; Voelker, Christoph/I-7891-2012; Hauck, Judith/AAC-3967-2019; Wolf-Gladrow, Dieter A/E-7666-2010; Hoppema, Mario/I-6286-2013</t>
  </si>
  <si>
    <t>Bellerby, Richard/0000-0003-3598-4006; Voelker, Christoph/0000-0003-3032-114X; Hauck, Judith/0000-0003-4723-9652; Hoppema, Mario/0000-0002-2326-619X; Wolf-Gladrow, Dieter/0000-0001-9531-8668</t>
  </si>
  <si>
    <t>Norwegian Research Council; Bipolar Atlantic Thermohaline Circulation (BIAC, IPY) [23]; Southern Ocean Biogeochemistry and Education [180328/S50]; EU [511176]</t>
  </si>
  <si>
    <t>Norwegian Research Council(Research Council of Norway); Bipolar Atlantic Thermohaline Circulation (BIAC, IPY); Southern Ocean Biogeochemistry and Education; EU(European Union (EU))</t>
  </si>
  <si>
    <t>The support of captain and crew of FS Polarstern is greatly appreciated. We are indebted to Craig Neill for strong technical support and performing parts of the CT and AT analyses and to Kelly Brown for the oxygen measurements. We are grateful to Volker Strass for providing hydrographic data. This research was supported by two Norwegian Research Council Projects: Bipolar Atlantic Thermohaline Circulation (BIAC, IPY cluster 23) and Southern Ocean Biogeochemistry and Education Project 180328/S50. Additional support came from the EU project CARBOOCEAN (511176; GOCE).</t>
  </si>
  <si>
    <t>C03004</t>
  </si>
  <si>
    <t>10.1029/2009JC005479</t>
  </si>
  <si>
    <t>565UJ</t>
  </si>
  <si>
    <t>WOS:000275320000004</t>
  </si>
  <si>
    <t>Swart, S; Speich, S</t>
  </si>
  <si>
    <t>Swart, Sebastiaan; Speich, Sabrina</t>
  </si>
  <si>
    <t>An altimetry-based gravest empirical mode south of Africa: 2. Dynamic nature of the Antarctic Circumpolar Current fronts</t>
  </si>
  <si>
    <t>SEA-SURFACE TEMPERATURE; EDDY KINETIC-ENERGY; POLAR FRONT; MEAN FLOW; OCEAN; VARIABILITY; ATLANTIC; OSCILLATION; CIRCULATION; HEMISPHERE</t>
  </si>
  <si>
    <t>Swart et al. (2010) applied altimetry data to the gravest empirical mode south of Africa to yield a 16 year time series of temperature and salinity sections. In this study we use these thermohaline sections to derive weekly estimates of heat content (HC) and salt content (SC) at the GoodHope meridional transect of the Antarctic Circumpolar Current (ACC). These estimates compare favorably to observed data. The resulting 16 year time series of HC and SC estimates are used to explain the subsurface thermohaline variability at each ACC front and frontal zone. The variability at the Subantarctic Zone (SAZ) is principally driven by the presence of Agulhas Rings, which occur in this region approximately 2.7 times per annum and are responsible for the longest and highest scales of observed variability. The variability of the SAZ is responsible for over 50% and 60% of the total ACC HC and SC variability, respectively. Poleward of the SAZ, the variability is largely determined by the influence of the local topography on the fronts of the region and can be explained by the conservation of potential vorticity. Wavelet analysis is conducted on the time series of meridionally integrated HC and SC in each ACC front and frontal zone, revealing a consistent seasonal mode that becomes more dominant toward the southern limit of the ACC. The lower-frequency signals are compared with two dominant modes of variability in the Southern Ocean. The Southern Annular Mode correlates well with the HC and SC anomaly estimates at the Antarctic Polar Front, while the Southern Oscillation Index appears to have connections to the variability found in the very southern domains of the ACC.</t>
  </si>
  <si>
    <t>[Swart, Sebastiaan] Univ Cape Town, Dept Oceanog, ZA-7701 Rondebosch, South Africa; [Speich, Sabrina] Univ Bretagne Occidentale, CNRS, IFREMER, Lab Phys Oceans,UMR 6523, F-29238 Brest, France</t>
  </si>
  <si>
    <t>University of Cape Town; Centre National de la Recherche Scientifique (CNRS); CNRS - National Institute for Earth Sciences &amp; Astronomy (INSU); Universite de Bretagne Occidentale; Ifremer; Institut de Recherche pour le Developpement (IRD)</t>
  </si>
  <si>
    <t>Swart, S (corresponding author), Univ Cape Town, Dept Oceanog, ZA-7701 Rondebosch, South Africa.</t>
  </si>
  <si>
    <t>sebastiaan.swart@uct.ac.za</t>
  </si>
  <si>
    <t>Speich, Sabrina/L-3780-2014; Swart, Sebastiaan/U-5498-2017</t>
  </si>
  <si>
    <t>Speich, Sabrina/0000-0002-5452-8287; Swart, Sebastiaan/0000-0002-2251-8826</t>
  </si>
  <si>
    <t>NRF; SANAP; CLIVAR GoodHope; University of Brest; IRD; National French Research Programme (LEFE)</t>
  </si>
  <si>
    <t>This research forms part of the first author's Ph. D., completed at the University of Cape Town, and funded by the NRF and SANAP. This work is part of the international CLIVAR GoodHope project. S. Speich has been supported by the University of Brest, IRD, and the National French Research Programme (LEFE). Thanks go to I. J. Ansorge and J. R. E. Lutjeharms for helpful comment and guidance during this research. S. Swart thanks A. Naveira-Garabato and W. P. M. de Ruijter for a stay at the National Oceanography Centre, Southampton, United Kingdom, and IMAU, Universiteit van Utrecht, Netherlands, respectively. The wavelet analysis MatLab tools were obtained from Torrence and Compo [1998] and adapted by B. Backeberg. The monthly time series of the SAM and SOI indexes were obtained from KNMI climate explorer website (http://climexp.knmi.nl). Thanks are extended to R. Blamey and N. Hart for helpful comments during the writing of this manuscript. The authors would like to thank two anonymous reviewers for their time in reviewing this paper.</t>
  </si>
  <si>
    <t>C03003</t>
  </si>
  <si>
    <t>10.1029/2009JC005300</t>
  </si>
  <si>
    <t>WOS:000275320000002</t>
  </si>
  <si>
    <t>Swart, S; Speich, S; Ansorge, IJ; Lutjeharms, JRE</t>
  </si>
  <si>
    <t>Swart, Sebastiaan; Speich, Sabrina; Ansorge, Isabelle J.; Lutjeharms, Johann R. E.</t>
  </si>
  <si>
    <t>An altimetry-based gravest empirical mode south of Africa: 1. Development and validation</t>
  </si>
  <si>
    <t>ANTARCTIC CIRCUMPOLAR CURRENT; OCEAN FRONTS; TRANSPORT; TOPEX/POSEIDON; CONVERGENCE; CIRCULATION; LOCATION; DYNAMICS; WATER; RINGS</t>
  </si>
  <si>
    <t>Hydrographic transects of the Antarctic Circumpolar Current (ACC) south of Africa are projected into baroclinic stream function space parameterized by pressure and dynamic height. This produces a two-dimensional gravest empirical mode (GEM) that captures more than 97% of the total density and temperature variance in the ACC domain. Weekly maps of absolute dynamic topography data, derived from satellite altimetry, are combined with the GEM to obtain a 16 year time series of temperature and salinity fields. The time series of thermohaline fields are compared with independent in situ observations. The residuals decrease sharply below the thermocline and through the entire water column the mean root-mean-square (RMS) error is 0.15 degrees C, 0.02, and 0.02 kg m(-3) for temperature, salinity, and density, respectively. The positions of ACC fronts are followed in time using satellite altimetry data. These locations correspond to both the observed and GEM-based positions. The available temperature and salinity information allow one to calculate the baroclinic zonal velocity field between the surface and 2500 dbar. This is compared with velocity measurements from repeat hydrographic transects at the GoodHope line. The net accumulated transports of the ACC, derived from these different methods are within 1-3 Sv of each other. Similarly, GEM-produced cross-sectional velocities at 300 dbar compare closely to the observed data, with the RMS difference not exceeding 0.03 m s(-1). The continuous time series of thermohaline fields, described here, are further exploited to understand the dynamic nature of the ACC fronts in the region, and which is given by Swart and Speich (2010).</t>
  </si>
  <si>
    <t>[Swart, Sebastiaan; Ansorge, Isabelle J.; Lutjeharms, Johann R. E.] Univ Cape Town, Dept Oceanog, ZA-7701 Rondebosch, South Africa; [Speich, Sabrina] Univ Bretagne Occidentale, CNRS, IFREMER, Lab Phys Oceans,UMR 6523, F-29238 Brest, France</t>
  </si>
  <si>
    <t>University of Cape Town; Centre National de la Recherche Scientifique (CNRS); CNRS - National Institute for Earth Sciences &amp; Astronomy (INSU); Ifremer; Institut de Recherche pour le Developpement (IRD); Universite de Bretagne Occidentale</t>
  </si>
  <si>
    <t>Speich, Sabrina/L-3780-2014; ANSORGE, ISABELLE/AAY-7396-2020; Swart, Sebastiaan/U-5498-2017</t>
  </si>
  <si>
    <t>Speich, Sabrina/0000-0002-5452-8287; Ansorge, Isabelle/0000-0001-7071-8147; Swart, Sebastiaan/0000-0002-2251-8826</t>
  </si>
  <si>
    <t>South African National Antarctic Program (SANAP); INSU-CNRS, France; CNRS; STIAS (Stellenbosch Institute for Advanced Study)</t>
  </si>
  <si>
    <t>South African National Antarctic Program (SANAP); INSU-CNRS, France(Centre National de la Recherche Scientifique (CNRS)); CNRS(Centre National de la Recherche Scientifique (CNRS)); STIAS (Stellenbosch Institute for Advanced Study)</t>
  </si>
  <si>
    <t>This research forms part of the first author's Ph. D., completed at the University of Cape Town, and was supported by the South African National Antarctic Program (SANAP) and INSU-CNRS, France. We are grateful to C. Kermabon for her help with data processing and to A. Prigent for preparing the Argo float data, which were supplied by the Coriolis Operational Oceanography Center, France. S. Swart thanks CNRS in funding research visits to the Laboratoire de Physique des Oceans (LPO), Universite de Bretagne Occidentale, France. Thanks are extended to S. Gladyshev and A. Sokov for their efforts in implementing the GH CTD sections. J. R. E. Lutjeharms thanks the STIAS (Stellenbosch Institute for Advanced Study) for a fellowship during which his contribution was finalized. The altimetry products are supplied by the CLS Space Oceanography Division, Toulouse, France. The authors would like to thank two anonymous reviewers for their time in reviewing this paper.</t>
  </si>
  <si>
    <t>C03002</t>
  </si>
  <si>
    <t>10.1029/2009JC005299</t>
  </si>
  <si>
    <t>WOS:000275320000001</t>
  </si>
  <si>
    <t>Moulin, H</t>
  </si>
  <si>
    <t>Moulin, Herve</t>
  </si>
  <si>
    <t>The International Geophysical Year: Its influence on the beginning of the French space program</t>
  </si>
  <si>
    <t>ACTA ASTRONAUTICA</t>
  </si>
  <si>
    <t>International Geophysical Year; IGY; France; Space history</t>
  </si>
  <si>
    <t>In 1957-1958, the International Geophysical Year (IGY) was the most important scientific cooperation programme in the World, after the Second World War. Thousands of scientists from 67 countries were involved in this large operation, among them a lot of French scientists. IGY was previously called the IPY (international Polar Year) and France, as many other countries, has been involved in the Arctic and Antarctic regions researches. Everybody knows that the IGY is at the origin of Sputnik and the first launch of Russian and American satellites. But, we know less about the IGY rockets programme itself in which France had intended to participate. This paper will discuss this programme with a special highlight on some aspects of the French participation and their relationship with the IGY programme. This approach arises several questions, such as: Which French scientists have been involved? What was the attitude of the French Government about this program, etc. We focus our analysis on the interrogation: did the IGY have any real influence on the origin of the French space research activities? (C) 2009 Elsevier Ltd. All rights reserved.</t>
  </si>
  <si>
    <t>herve.moulin-hmi@wanadoo.fr</t>
  </si>
  <si>
    <t>0094-5765</t>
  </si>
  <si>
    <t>ACTA ASTRONAUT</t>
  </si>
  <si>
    <t>Acta Astronaut.</t>
  </si>
  <si>
    <t>MAR-APR</t>
  </si>
  <si>
    <t>10.1016/j.actaastro.2009.08.003</t>
  </si>
  <si>
    <t>Engineering, Aerospace</t>
  </si>
  <si>
    <t>Engineering</t>
  </si>
  <si>
    <t>547UZ</t>
  </si>
  <si>
    <t>WOS:000273916300008</t>
  </si>
  <si>
    <t>Varikoden, H; Samah, AA; Babu, CA</t>
  </si>
  <si>
    <t>Varikoden, Hamza; Samah, A. A.; Babu, C. A.</t>
  </si>
  <si>
    <t>The cold tongue in the South China Sea during boreal winter and its interaction with the atmosphere</t>
  </si>
  <si>
    <t>ADVANCES IN ATMOSPHERIC SCIENCES</t>
  </si>
  <si>
    <t>cold tongue; SST gradient; wind; precipitation</t>
  </si>
  <si>
    <t>ASIAN SUMMER MONSOON; SURFACE THERMAL STRUCTURE; TROPICAL INDIAN-OCEAN; BIENNIAL OSCILLATION; MIXED-LAYER; ARABIAN SEA; HEAT-BUDGET; TEMPERATURE; SATELLITE; RESOLUTION</t>
  </si>
  <si>
    <t>A distinct cold tongue has recently been noticed in the South China Sea during the winter monsoon, with the cold tongue temperature minimum occurring in the January or February. This cold tongue shows significant links with the Maritime Continent's rainfall during the winter period. The cold tongue and its interaction with the Maritime Continent's weather were studied using Reynolds SST data, wind fields from the NCEP-NCAR reanalysis dataset and the quikSCAT dataset. In addition, rainfall from the GOES Precipitation Index (GPI) for the periods 2000 to 2008 was also used. The propagation of the cold tongue towards the south is explained using wind dynamics and the western boundary current. During the period of strong cold tongue, the surface wind is strong and the western boundary current advects the cold tongue to the south. During the period of strong winds the zonal gradient of SST is high [0.5A degrees C (25 km)(-1)]. The cold tongue plays an important role in regulating the climate over the Maritime Continent. It creates a zonal/meridional SST gradient and this gradient ultimately leads in the formation of convection. Hence, two maximum precipitation zones are found in the Maritime Continent, with a zone of relatively lower precipitation between, which coincides with the cold tongue's regions. It was found that the precipitation zones have strong links with the intensity of the cold tongue. During stronger cold tongue periods the precipitation on either side of the cold tongue is considerably greater than during weaker cold tongue periods. The features of convection on the eastern and western sides of the cold tongue behave differently. On the eastern side convection is preceded by one day with SST gradient, while on the western side it is four days.</t>
  </si>
  <si>
    <t>[Varikoden, Hamza; Samah, A. A.; Babu, C. A.] Univ Malaya, Natl Antarctic Res Ctr, Kuala Lumpur 50603, Malaysia</t>
  </si>
  <si>
    <t>Universiti Malaya</t>
  </si>
  <si>
    <t>Varikoden, H (corresponding author), Indian Inst Trop Meteorol, Climatol &amp; Hydrometeorol Div, Pune 411008, Maharashtra, India.</t>
  </si>
  <si>
    <t>hamzavarikoden@gmail.com</t>
  </si>
  <si>
    <t>ABU SAMAH, AZIZAN HJ/B-8295-2010</t>
  </si>
  <si>
    <t>eScience Fund Project [04-01-03-SF0410]</t>
  </si>
  <si>
    <t>eScience Fund Project</t>
  </si>
  <si>
    <t>The second author is thankful to the eScience Fund Project (No. 04-01-03-SF0410) for the financial support and all authors are grateful to the University of Malaya for providing facilities. Comments from two reviewers have helped to improve the manuscript. The first author is grateful to the Director, Indian Institute of Tropical Meteorology for providing facilities and other required support to do the revision of this manuscript.</t>
  </si>
  <si>
    <t>0256-1530</t>
  </si>
  <si>
    <t>ADV ATMOS SCI</t>
  </si>
  <si>
    <t>Adv. Atmos. Sci.</t>
  </si>
  <si>
    <t>MAR</t>
  </si>
  <si>
    <t>10.1007/s00376-009-8141-4</t>
  </si>
  <si>
    <t>555UY</t>
  </si>
  <si>
    <t>WOS:000274542800006</t>
  </si>
  <si>
    <t>Ma, H; Wu, LX; Li, C</t>
  </si>
  <si>
    <t>Ma Hao; Wu Lixin; Li Chun</t>
  </si>
  <si>
    <t>The role of southern high latitude wind stress in global climate</t>
  </si>
  <si>
    <t>Antarctic Circumpolar Current; wind stress; SST; thermohaline circulation</t>
  </si>
  <si>
    <t>ANTARCTIC CIRCUMPOLAR CURRENT; ATLANTIC DEEP-WATER; NORTH-ATLANTIC; DECADAL VARIABILITY; OCEAN CIRCULATION; DRAKE PASSAGE; TRANSPORT; MELTWATER; MODEL</t>
  </si>
  <si>
    <t>In this paper, the role of westerly winds at southern high latitudes in global climate is investigated in a fully coupled ocean-atmosphere general circulation model. In the model, the wind stress south of 40A degrees S is turned off with ocean and atmosphere fully coupled both locally and elsewhere. The coupled model explicitly demonstrates that a shutdown of southern high latitude wind stress induces a general cooling over the Antarctic Circumpolar Current (ACC) region, with surface Ekman flow and vertical mixing playing competitive roles. This cooling leads to an equatorward expansion of sea ice and triggers an equivalent barotropic response in the atmosphere to accelerate westerly anomalies. The shutdown of southern high latitude wind stress also significantly reduces global meridional overturning circulation (MOC). The Antarctic MOC (AnMOC) nearly disappears while the Atlantic MOC (AMOC) is weakened by 50%, suggesting a strong control of the southern high latitude winds over the thermohaline circulation (THC). In spite of a substantial weakening of the AMOC, the interhemispheric SST seesaw appears to be not significant due to an equatorward extension of the southern extratropical cooling through coupled wind-evaporation-SST (WES) feedback. In addition, it is found that the weakening of Atlantic MOC by as much as 50% is capable of cooling the time mean subpolar Atlantic temperature by only about 1A degrees C.</t>
  </si>
  <si>
    <t>[Ma Hao; Wu Lixin; Li Chun] Ocean Univ China, Phys Oceanog Lab, Qingdao 266100, Peoples R China</t>
  </si>
  <si>
    <t>Ocean University of China</t>
  </si>
  <si>
    <t>Ma, H (corresponding author), Ocean Univ China, Phys Oceanog Lab, Qingdao 266100, Peoples R China.</t>
  </si>
  <si>
    <t>mahao20032003@yahoo.com.cn</t>
  </si>
  <si>
    <t>National Science Fund for Distinguished Young Scholars (NSFC) [40788002]; National Key Basic Research Program [2007CB411800]</t>
  </si>
  <si>
    <t>National Science Fund for Distinguished Young Scholars (NSFC)(National Natural Science Foundation of China (NSFC)National Science Fund for Distinguished Young Scholars); National Key Basic Research Program(National Basic Research Program of China)</t>
  </si>
  <si>
    <t>This work is supported by the National Science Fund for Distinguished Young Scholars (NSFC 40788002) and the National Key Basic Research Program (2007CB411800). We are indebted to both reviewers for their constructive comments, which greatly improved this paper in many aspects. All numerical modeling experiments were carried out on Computers of the Data and Simulation Center at Ocean University of China.</t>
  </si>
  <si>
    <t>1861-9533</t>
  </si>
  <si>
    <t>10.1007/s00376-009-9047-x</t>
  </si>
  <si>
    <t>WOS:000274542800015</t>
  </si>
  <si>
    <t>Fantle, MS</t>
  </si>
  <si>
    <t>Fantle, Matthew S.</t>
  </si>
  <si>
    <t>EVALUATING THE Ca ISOTOPE PROXY</t>
  </si>
  <si>
    <t>AMERICAN JOURNAL OF SCIENCE</t>
  </si>
  <si>
    <t>Ca isotope geochemistry; Global Ca cycle; Cenozoic ocean evolution; Geochemical proxy; Ocean Drilling Program</t>
  </si>
  <si>
    <t>CALCITE RECRYSTALLIZATION RATES; SEAWATER CHEMISTRY; SEA-LEVEL; TEMPERATURE-DEPENDENCE; ANTARCTIC GLACIATION; DOLOMITE ABUNDANCE; CHEMICAL EVOLUTION; CARBONATE SEDIMENT; WEATHERING FLUXES; HIMALAYAN RIVERS</t>
  </si>
  <si>
    <t>The use of Ca isotopes as a proxy for mass flux imbalances in the Ca cycle is evaluated critically. A compiled Ca isotope record for the last 45 Ma, derived from bulk nannofossil ooze and with a temporal resolution of similar to 0.5 Ma, and an interpretation of the record are presented in the context of the global Ca cycle. This analysis, which assumes that nannofossil ooze records isotopic variations in seawater, indicates a dynamic Ca cycle in the Cenozoic. Such dynamic behavior has serious implications for the C cycle and suggests feedbacks between the Ca and C cycles to stabilize, or buffer, the oceanic carbon reservoir. Alternative applications of the Ca isotope proxy are investigated, using numerical models to determine the extent to which Ca isotopes are sensitive to other aspects of the Ca cycle; the results of the simulations are applied to specific cases in the Cenozoic. The simulations illustrate how variations in the global fractionation factor between calcium carbonate and seawater can produce trends similar to those observed when comparing previously published Ca isotopic compositions of marine barite to the nannofossil ooze record. The large drop in the delta Ca-44 value of bulk nannofossil ooze near the Eocene-Oligocene boundary can be reconciled in two ways, either as a substantial increase in weathering relative to sedimentation or as an indicator of changing depositional mode within the ocean. Though the preferred interpretation is not clear at present, it is evident that Ca isotopes stand to be a unique proxy for Ca cycling once the isotope systematics are elucidated.</t>
  </si>
  <si>
    <t>Penn State Univ, Dept Geosci, University Pk, PA 16802 USA</t>
  </si>
  <si>
    <t>Pennsylvania Commonwealth System of Higher Education (PCSHE); Pennsylvania State University; Pennsylvania State University - University Park</t>
  </si>
  <si>
    <t>Fantle, MS (corresponding author), Penn State Univ, Dept Geosci, University Pk, PA 16802 USA.</t>
  </si>
  <si>
    <t>mfantle@psu.edu</t>
  </si>
  <si>
    <t>Fantle, Matthew/0000-0002-3102-5222</t>
  </si>
  <si>
    <t>U.S. National Science Foundation (NSF)</t>
  </si>
  <si>
    <t>U.S. National Science Foundation (NSF)(National Science Foundation (NSF))</t>
  </si>
  <si>
    <t>The author thanks J. M. McArthur and J. Zachos for generously sharing data. The manuscript was greatly improved by excellent critical reviews by Elizabeth Griffith, John Higgins, Jonathan Payne, and Edward Tipper. The Ocean Drilling Program (ODP) supplied the pore fluids and carbonate sediments whose isotopic compositions are discussed in this paper. ODP was sponsored by the U.S. National Science Foundation (NSF) and participating countries under management of Joint Oceanographic Institutions (JOI), Inc.</t>
  </si>
  <si>
    <t>AMER JOURNAL SCIENCE</t>
  </si>
  <si>
    <t>NEW HAVEN</t>
  </si>
  <si>
    <t>YALE UNIV, PO BOX 208109, NEW HAVEN, CT 06520-8109 USA</t>
  </si>
  <si>
    <t>0002-9599</t>
  </si>
  <si>
    <t>1945-452X</t>
  </si>
  <si>
    <t>AM J SCI</t>
  </si>
  <si>
    <t>Am. J. Sci.</t>
  </si>
  <si>
    <t>10.2475/03.2010.03</t>
  </si>
  <si>
    <t>606GJ</t>
  </si>
  <si>
    <t>WOS:000278410300003</t>
  </si>
  <si>
    <t>Panicker, G; Mojib, N; Aislabie, J; Bej, AK</t>
  </si>
  <si>
    <t>Panicker, Gitika; Mojib, Nazia; Aislabie, Jackie; Bej, Asim K.</t>
  </si>
  <si>
    <t>Detection, expression and quantitation of the biodegradative genes in Antarctic microorganisms using PCR</t>
  </si>
  <si>
    <t>ANTONIE VAN LEEUWENHOEK INTERNATIONAL JOURNAL OF GENERAL AND MOLECULAR MICROBIOLOGY</t>
  </si>
  <si>
    <t>Antarctica; Biodegradation; cPCR; PCR; RT-PCR</t>
  </si>
  <si>
    <t>POLYCYCLIC AROMATIC-HYDROCARBONS; ALKANE HYDROXYLASE; PETROLEUM-HYDROCARBONS; NUCLEOTIDE-SEQUENCE; NAPHTHALENE DIOXYGENASE; HORIZONTAL TRANSFER; MARINE-BACTERIA; LOW-TEMPERATURE; SCOTT BASE; SOIL</t>
  </si>
  <si>
    <t>In this study, 28 hydrocarbon-degrading bacterial isolates from oil-contaminated Antarctic soils were screened for the presence of biodegradative genes such as alkane hydroxylase (alks), the ISP alpha subunit of naphthalene dioxygenase (ndoB), catechol 2,3-dioxygenase (C23DO) and toluene/biphenyl dioxygenase (todC1/bphA1) by using polymerase chain reaction (PCR) methods. All naphthalene degrading bacterial isolates exhibited the presence of a 648 bp amplicon that shared 97% identity to a known ndoB sequence from Pseudomonas putida. Twenty-two out of the twenty-eight isolates screened were positive for one, two or all three different regions of the C23DO gene. For alkane hydroxylase, all 6 Rhodococcus isolates were PCR-positive for a 194 bp and a 552 bp segment of the alkB gene, but exhibited variable results with primers located at different segments of this gene. Three Pseudomonas spp. 4/101, 19/1, 30/3 amplified 552 bp segment of alkB. Only two Pseudomonas sp. 7/156 and 4/101 amplified a segment of alkB exhibiting 89-94% nucleotide sequence identity with the existing sequence of alkB in the GenBank sequence database. Transcripts of three genes, alkB2, C23DO and ndoB, that were amplified by DNA-PCR in three different bacterial isolates also exhibited positive amplification by reverse transcriptase PCR (RT-PCR) method confirming that these genes are functional. A competitive PCR (cPCR) method was developed for a quantitative estimation of ndoB from pure cultures of the naphthalene-degrading Pseudomonas sp. 30/2. A minimum of 1x10(7) copies of the ndoB gene was detected based on the comparison of the intensities of the competitor and target DNA bands. It is expected that the identification and characterization of the biodegradative genes will provide a better understanding of the catabolic pathways in Antarctic psychrotolerant bacteria, and thereby help support bioremediation strategies for oil-contaminated Antarctic soils.</t>
  </si>
  <si>
    <t>[Panicker, Gitika; Mojib, Nazia; Bej, Asim K.] Univ Alabama Birmingham, Dept Biol, Birmingham, AL 35294 USA; [Aislabie, Jackie] Landcare Res, Hamilton, New Zealand</t>
  </si>
  <si>
    <t>University of Alabama System; University of Alabama Birmingham; Landcare Research - New Zealand</t>
  </si>
  <si>
    <t>Bej, AK (corresponding author), Univ Alabama Birmingham, Dept Biol, 1300 Univ Blvd, Birmingham, AL 35294 USA.</t>
  </si>
  <si>
    <t>abej@uab.edu</t>
  </si>
  <si>
    <t>/0000-0003-3060-1088; MOJIB, NAZIA/0000-0003-4924-5538</t>
  </si>
  <si>
    <t>Foundation of Research, Science and Technology, New Zealand [C09X0018]; Faculty Development Award; University of Alabama at Birmingham, Alabama, USA</t>
  </si>
  <si>
    <t>Foundation of Research, Science and Technology, New Zealand(New Zealand Foundation for Research, Science and Technology); Faculty Development Award; University of Alabama at Birmingham, Alabama, USA</t>
  </si>
  <si>
    <t>This work was supported in part by funding from the Foundation of Research, Science and Technology, New Zealand (C09X0018) and the Faculty Development Award to A. Bej, University of Alabama at Birmingham, Alabama, USA. Logistic support was provided by Antarctic New Zealand.</t>
  </si>
  <si>
    <t>0003-6072</t>
  </si>
  <si>
    <t>1572-9699</t>
  </si>
  <si>
    <t>ANTON LEEUW INT J G</t>
  </si>
  <si>
    <t>Antonie Van Leeuwenhoek</t>
  </si>
  <si>
    <t>10.1007/s10482-009-9408-6</t>
  </si>
  <si>
    <t>551IA</t>
  </si>
  <si>
    <t>WOS:000274199300007</t>
  </si>
  <si>
    <t>Harasti, D; Glasby, TM; Martin-Smith, KM</t>
  </si>
  <si>
    <t>Harasti, David; Glasby, Tim M.; Martin-Smith, Keith M.</t>
  </si>
  <si>
    <t>Striking a balance between retaining populations of protected seahorses and maintaining swimming nets</t>
  </si>
  <si>
    <t>AQUATIC CONSERVATION-MARINE AND FRESHWATER ECOSYSTEMS</t>
  </si>
  <si>
    <t>artificial structures; habitat; seahorses; epibiota; Hippocampus abdominalis; Hippocampus whitei; Sydney</t>
  </si>
  <si>
    <t>HIPPOCAMPUS-WHITEI; URBAN STRUCTURES; PAIR BONDS; HABITAT ASSOCIATIONS; AUSTRALIAN SEAHORSE; SUBTIDAL EPIBIOTA; ARTIFICIAL REEFS; WILD POPULATION; MARINE HABITATS; SYDNEY HARBOR</t>
  </si>
  <si>
    <t>1. The fish family Syngnathidae (seahorses, pipe. sh, pipehorses and seadragons) is fully protected in New South Wales, Australia, but in some countries certain species are threatened by unsustainable collecting, capture as incidental bycatch, and habitat degradation. 2. Within Sydney Harbour, two species of seahorses (Hippocampus abdominalis and Hippocampus whitei) have been found to colonize artificial structures such as jetty pylons and protective netted swimming enclosures. These protective nets are subject to fouling from epibiotic growth (algae, ascidians, bryozoans, etc.) and rubbish, which causes the nets to collapse from the additional weight. Local authorities employ diving contractors on an ad hoc basis to remove the epibiota from nets. 3. Surveys showed a significant decline in the numbers of both seahorse species at one site following the replacement of a net, and recovery of the H. whitei population took more than 15 months. 4. A manipulative experiment tested the importance of epibiotic growth for seahorses. H. whitei, tagged with individual marks, were allocated to sections of a net that had undergone different cleaning procedures. Seahorse size, position on the net and total population abundance were recorded every 2 weeks over a 3 month period. It was demonstrated that seahorses have a signi. cant positive association with epibiotic growth and proximity to the sea floor. Seahorse populations also showed seasonal variation in abundance with increased numbers on the net during the breeding season (spring-summer). 5. This project has led to the development of best practice net cleaning procedures for local authorities in Sydney Harbour to manage growth on the nets while minimizing impacts on seahorse populations. Copyright (C) 2009 John Wiley &amp; Sons, Ltd.</t>
  </si>
  <si>
    <t>[Harasti, David; Glasby, Tim M.] NSW Dept Primary Ind, Nelson Bay, NSW 2315, Australia; [Martin-Smith, Keith M.] Australian Antarctic Div, Kingston, Tas 7050, Australia</t>
  </si>
  <si>
    <t>NSW Department of Primary Industries; Australian Antarctic Division</t>
  </si>
  <si>
    <t>Harasti, D (corresponding author), NSW Marine Pk Author, Locked Bag 800, Nelson Bay, NSW 2315, Australia.</t>
  </si>
  <si>
    <t>david.harasti@environment.nsw.gov.au</t>
  </si>
  <si>
    <t>Harasti, David/I-1266-2019; Glasby, Tim/AGR-1689-2022</t>
  </si>
  <si>
    <t>Harasti, David/0000-0002-2851-9838; Glasby, Tim/0000-0001-5011-7731</t>
  </si>
  <si>
    <t>Sydney Aquarium Conservation Fund; Project Seahorse for KMS; Tim McDonald from Manly Council</t>
  </si>
  <si>
    <t>The Manly study was supported by a grant from the Sydney Aquarium Conservation Fund and we wish to thank them for their support. Survey work at Clifton Gardens was supported by Project Seahorse for KMS and through the extremely generous donation of time, effort and enthusiasm by Jonathan Clark-Jones. We are extremely grateful to the assistance provided by Dave Thomas who helped with each Manly survey in some incredibly poor diving conditions, and to the other volunteer divers from Eco-Divers who provided help we are grateful. Peter Gibson and Chris Gallen (NSW DPI) provided support in setting up the manipulative experiment by helping out with the cleaning process and Tim McDonald from Manly Council has been supportive of this project. We thank Associate Professor William Gladstone, Dr Michael Lowry and two anonymous reviewers for their comments on the manuscript.</t>
  </si>
  <si>
    <t>1052-7613</t>
  </si>
  <si>
    <t>AQUAT CONSERV</t>
  </si>
  <si>
    <t>Aquat. Conserv.-Mar. Freshw. Ecosyst.</t>
  </si>
  <si>
    <t>10.1002/aqc.1066</t>
  </si>
  <si>
    <t>Environmental Sciences; Marine &amp; Freshwater Biology; Water Resources</t>
  </si>
  <si>
    <t>Environmental Sciences &amp; Ecology; Marine &amp; Freshwater Biology; Water Resources</t>
  </si>
  <si>
    <t>580QP</t>
  </si>
  <si>
    <t>WOS:000276464600005</t>
  </si>
  <si>
    <t>Schüttler, E; Ibarra, JT; Gruber, B; Rozzi, R; Jax, K</t>
  </si>
  <si>
    <t>Schuettler, Elke; Tomas Ibarra, Jose; Gruber, Bernd; Rozzi, Ricardo; Jax, Kurt</t>
  </si>
  <si>
    <t>Abundance and habitat preferences of the southernmost population of mink: implications for managing a recent island invasion</t>
  </si>
  <si>
    <t>BIODIVERSITY AND CONSERVATION</t>
  </si>
  <si>
    <t>Capture-mark-recapture; Castor canadensis; Chile; Exotic species; Management; Neovison vison; Population size; Sign surveys; Trapping; Wetlands</t>
  </si>
  <si>
    <t>NORTH-AMERICAN BEAVERS; TIERRA-DEL-FUEGO; MUSTELA-VISON; RELATIVE ABUNDANCE; RIVER OTTER; CAPE-HORN; COMMUNITIES; IMPACT; DIET; ARCHIPELAGO</t>
  </si>
  <si>
    <t>Since 2001 invasive American mink has been known to populate Navarino Island, an island located in the pristine wilderness of the Cape Horn Biosphere Reserve, Chile, lacking native carnivorous mammals. As requested by scientists and managers, our study aims at understanding the population ecology of mink in order to respond to conservation concerns. We studied the abundance of mink in different semi-aquatic habitats using live trapping (n = 1,320 trap nights) and sign surveys (n = 68 sites). With generalized linear models we evaluated mink abundance in relation to small-scale habitat features including habitats engineered by invasive beavers (Castor canadensis). Mink have colonized the entire island and signs were found in 79% of the surveys in all types of semi-aquatic habitats. Yet, relative population abundance (0.75 mink/km of coastline) was still below densities measured in other invaded or native areas. The habitat model accuracies indicated that mink were generally less specific in habitat use, probably due to the missing limitations normally imposed by predators or competitors. The selected models predicted that mink prefer to use shrubland instead of open habitat, coastal areas with heterogeneous shores instead of flat beaches, and interestingly, that mink avoid habitats strongly modified by beavers. Our results indicate need for immediate mink control on Navarino Island. For this future management we suggest that rocky coastal shores should be considered as priority sites deserving special conservation efforts. Further research is needed with respect to the immigration of mink from adjacent islands and to examine facilitating or hampering relationships between the different invasive species present, especially if integrative management is sought.</t>
  </si>
  <si>
    <t>[Schuettler, Elke; Jax, Kurt] Tech Univ Munchen Weihenstephan, Lehrstuhl Landschaftsokol, D-85350 Freising Weihenstephan, Germany; [Schuettler, Elke; Jax, Kurt] UFZ Helmholtz Ctr Environm Res, Dept Conservat Biol, D-04318 Leipzig, Germany; [Schuettler, Elke; Tomas Ibarra, Jose; Rozzi, Ricardo; Jax, Kurt] Univ Magallanes, IEB, Puerto Williams, Antarctic Prov, Chile; [Schuettler, Elke; Tomas Ibarra, Jose; Rozzi, Ricardo; Jax, Kurt] Omora Fdn, Puerto Williams, Antarctic Prov, Chile; [Tomas Ibarra, Jose] Pontificia Univ Catolica Chile, Fauna Australis Wildlife Lab, Nat Resources Program, Sch Agr &amp; Forestry Sci, Santiago, Chile; [Gruber, Bernd] UFZ Helmholtz Ctr Environm Res, Dept Computat Landscape Ecol, D-04318 Leipzig, Germany; [Rozzi, Ricardo] Univ N Texas, Dept Philosophy, Denton, TX 76201 USA</t>
  </si>
  <si>
    <t>Technical University of Munich; Helmholtz Association; Helmholtz Center for Environmental Research (UFZ); Universidad de Magallanes; Pontificia Universidad Catolica de Chile; Helmholtz Association; Helmholtz Center for Environmental Research (UFZ); University of North Texas System; University of North Texas Denton</t>
  </si>
  <si>
    <t>Schüttler, E (corresponding author), Tech Univ Munchen Weihenstephan, Lehrstuhl Landschaftsokol, Hochanger 6, D-85350 Freising Weihenstephan, Germany.</t>
  </si>
  <si>
    <t>eschuttler@gmx.de</t>
  </si>
  <si>
    <t>Rozzi, Ricardo/G-1047-2012</t>
  </si>
  <si>
    <t>Rozzi, Ricardo/0000-0001-5265-8726; Schuttler, Elke/0000-0001-9143-6237; Ibarra, Jose Tomas/0000-0002-7705-3974; Jax, Kurt/0000-0002-1052-0195; Gruber, Bernd/0000-0003-0078-8179</t>
  </si>
  <si>
    <t>German Academic Exchange Service ( DAAD); Chilean Millennium Institute of Ecology and Biodiversity [PO2-051-F]; Magallanes University; Omora Foundation; German Ministry of Education and Research [FKZ 01LM0208]</t>
  </si>
  <si>
    <t>German Academic Exchange Service ( DAAD)(Deutscher Akademischer Austausch Dienst (DAAD)); Chilean Millennium Institute of Ecology and Biodiversity; Magallanes University; Omora Foundation; German Ministry of Education and Research(Federal Ministry of Education &amp; Research (BMBF))</t>
  </si>
  <si>
    <t>We thank all the field assistants and in particular Melisa Ganan, Jose Llaipen, Julia and German Gonzales, and Francesca Pischedda. We are grateful to Fidel and Patricio Quelin for their hospitality during field work. Reinhard Klenke supported our project with scientific advice. We thank Tina Heger, who made valuable comments on the manuscript. We also appreciate the advice of two anonymous reviewers to improve an earlier version of this paper. This research was conducted under trapping permit N degrees 1,192 (16 March 2005) issued by the Chilean Agriculture and Livestock Service (SAG). Concar S. A. kindly sponsored the fish bait for our traps. Financial support was provided by the German Academic Exchange Service ( DAAD), the Chilean Millennium Institute of Ecology and Biodiversity Contract (ICM, PO2-051-F), the Magallanes University, the Omora Foundation, and by the German-Chilean Research Project BIOKONCHIL funded by the German Ministry of Education and Research (FKZ 01LM0208).</t>
  </si>
  <si>
    <t>0960-3115</t>
  </si>
  <si>
    <t>1572-9710</t>
  </si>
  <si>
    <t>BIODIVERS CONSERV</t>
  </si>
  <si>
    <t>Biodivers. Conserv.</t>
  </si>
  <si>
    <t>10.1007/s10531-009-9730-3</t>
  </si>
  <si>
    <t>Biodiversity Conservation; Ecology; Environmental Sciences</t>
  </si>
  <si>
    <t>552YI</t>
  </si>
  <si>
    <t>WOS:000274330800008</t>
  </si>
  <si>
    <t>Russi, M; Febrer, JM; Linares, MPP</t>
  </si>
  <si>
    <t>Russi, M.; Febrer, J. M.; Linares, M. P. Plasencia</t>
  </si>
  <si>
    <t>The Antarctic Seismographic Argentinean-Italian Network: technical development and scientific research from 1992 to 2009</t>
  </si>
  <si>
    <t>BOLLETTINO DI GEOFISICA TEORICA ED APPLICATA</t>
  </si>
  <si>
    <t>SCOTIA SEA REGION; GROUP-VELOCITY TOMOGRAPHY; SURFACE-WAVE TOMOGRAPHY; MOMENT TENSOR RETRIEVAL; SOUTH SHETLAND ISLANDS; BRANSFIELD STRAIT; STRUCTURE BENEATH; WEDDELL SEA; TECTONICS; INVERSION</t>
  </si>
  <si>
    <t>For several decades a variety of geophysical surveys have been carried out in the Scotia Sea, but earthquake seismology began to be widely employed only during the 1990s when some instruments were installed in the area following the activation of a temporary broadband seismographic station (ESPZ) by a team of Italian and Argentinean researchers; of the Istituto Nazionale di Oceanografia e Geofisica Sperimentale (OGS) and of the Instituto Antartico Argentino (IAA) respectively, at the Antarctic Argentinean permanent base, Base Esperanza. At the beginning of 1995 ESPZ became the first permanent observatory of the Antarctic Seismographic Argentinean-Italian Network (ASAIN). In this paper, we describe the chronological and technical evolution of the ASAIN, that is financially supported by the Italian Programma Nazionale di Ricerche in Antartide (PNRA) and by the Argentinean Direccion Nacional del Antartico (DNA) and that consists today of five stations installed in Antarctica (ESPZ, JUBA, ORCD, SMAI, BELA) and two in the Argentinean Tierra del Fuego (DSPA, TRVA). The SMAI and BELA stations, both located beyond the Antarctic Polar Circle, were activated between February 2007 and January 2009 as a PNRA/OGS - DNA/IAA contribution to Antarctic Seismology during the International Polar Year. A resume of the scientific results obtained using ASAIN data is also included.</t>
  </si>
  <si>
    <t>[Russi, M.; Linares, M. P. Plasencia] Ist Nazl Oceanog &amp; Geofis Sperimentale, I-34010 Trieste, Italy; [Febrer, J. M.] Inst Antartico Argentino, Buenos Aires, DF, Argentina</t>
  </si>
  <si>
    <t>Istituto Nazionale di Oceanografia e di Geofisica Sperimentale; Instituto Antartico Argentino</t>
  </si>
  <si>
    <t>Russi, M (corresponding author), Ist Nazl Oceanog &amp; Geofis Sperimentale, Borgo Grotta Gigante 42-C, I-34010 Trieste, Italy.</t>
  </si>
  <si>
    <t>PLASENCIA LINARES, Milton Percy/0000-0002-6218-8411</t>
  </si>
  <si>
    <t>Italian Programma Nazionale di Ricerche in Antartide (PNRA); DNA/IAA</t>
  </si>
  <si>
    <t>This research has been funded by the Italian Programma Nazionale di Ricerche in Antartide (PNRA), Research Area 2 Geodesy and Observatories project Broadband seismology, lithospheric structure and geodynamics in the Scotia Sea region and by the DNA/IAA in the framework of the Red Sismologica Antartica We acknowledge the fundamental role of the IAA, the Armada, Ejercito and Fuerza Aerea Argentina personnel in creating and maintaining the conditions for the proper operating conditions for the ASAIN stations in the Antarctic bases. We are grateful to the Centro Austral de Investigaciones Cienrificas (CADIC), the EARG and the UNLP who have been cooperating with the OGS and the PNRA since 1992 in the installation, maintenance and data recovery of the ASAIN stations Special thanks goes to Giuliano F Panza, for helping to further capitalize the work of the personnel in Antarctica through the results of research work conducted in Italy by the Universita di Trieste Dipartimento di Scienze della Terra seismological group and to Claudio Cravos for his contribution in the field and in the management of the ASAIN database.</t>
  </si>
  <si>
    <t>ISTITUTO NAZIONALE DI OCEANOGRAFIA E DI GEOFISICA</t>
  </si>
  <si>
    <t>SGONICO</t>
  </si>
  <si>
    <t>BORGO GROTTA GIGANTE, 42-C, SGONICO, TRIESTE 34010, ITALY</t>
  </si>
  <si>
    <t>0006-6729</t>
  </si>
  <si>
    <t>B GEOFIS TEOR APPL</t>
  </si>
  <si>
    <t>Boll. Geofis. Teor. Appl.</t>
  </si>
  <si>
    <t>609NQ</t>
  </si>
  <si>
    <t>WOS:000278663900002</t>
  </si>
  <si>
    <t>Portner, RA; Daczko, NR; Dickinson, JA</t>
  </si>
  <si>
    <t>Portner, Ryan A.; Daczko, Nathan R.; Dickinson, Julie A.</t>
  </si>
  <si>
    <t>Vitriclastic lithofacies from Macquarie Island (Southern Ocean): compositional influence on abyssal eruption explosivity in a dying Miocene spreading ridge</t>
  </si>
  <si>
    <t>Mid-ocean ridge; Deep-marine; Volcaniclastic; Hyaloclastite; Pyroclastic; Macquarie Island; Explosive</t>
  </si>
  <si>
    <t>GLASSY FRAGMENTAL ROCKS; MID-ATLANTIC RIDGE; VOLCANICLASTIC DEPOSITS; MAGMA; WATER; SEDIMENT; PACIFIC; ORIGIN; FLOWS; LAVA</t>
  </si>
  <si>
    <t>Macquarie Island is composed of a complete section of oceanic crust that formed in a slow-spreading mid-ocean ridge 2.0 to 3.5 km below sea level. Vitriclastic facies preserved on the island have both pyroclastic and hyaloclastic characteristics. Monomict hyaloclastic breccia facies are widespread across the island and are predominantly composed of near-primitive (similar to 7.9 wt% MgO) subalkaline/transitional (similar to 0.7 wt% K2O) sideromelane shards and crystalline basalt clasts with low vesicularity (LV, &lt; 15% vesicles). Breccias are thick bedded and structureless with matrix-supported angular pillow fragments, bomb-sized fluidal mini-pillows, and globular glass lapilli. Clasts are lithologically similar to interbedded pillow basalts and laterally grade into fine-grained sandstone facies. These sandstones are normal-graded, well-laminated, thin bedded, and interstratified with red pelagic mudstone. Lithofacies associations indicate that the hyaloclastic breccias were formed proximal to a source vent via quench-fragmentation, and subsequently reworked by ocean-bottom currents into distal epiclastic sandstone facies. During eruption, co-genetic pillow lava and hypabyssal intrusions mingled with the breccia, forming fluidal peperite. Rare polymict pyroclastic facies only occur in the highest stratigraphic levels and are mostly composed of highly vesicular (HV, 15-50% vesicles) sideromelane shards and crystalline basalt clasts with alkaline (similar to 1.0 wt% K2O) fractionated (similar to 6.8% MgO) compositions. Minor lithic grains are composed of subalkaline (similar to 0.7 wt% K2O) to very highly alkaline (similar to 1.7 wt% K2O) LV sideromelane shards, and amphibole-bearing diabase. The pyroclastic facies contains medium to thick beds of lapilli-tuff that exhibit both reverse and normal grading, diffuse lamination, and planar-grain fabric. These beds are locally overlain by thin fine-grained tuff beds entirely composed of cuspate to very thin elongate bubble-wall shards. These characteristics indicate that explosive deep-marine eruptions produced high-density coarse-grained gravity flows that were covered by slower suspension settle-out of delicate bubble-wall shards. Stratigraphic relationships suggest that explosive eruptions started during the waning stages of more alkaline volcanism along the proto-Macquarie spreading center.</t>
  </si>
  <si>
    <t>[Portner, Ryan A.; Daczko, Nathan R.; Dickinson, Julie A.] Macquarie Univ, GEMOC ARC Natl Key Ctr, Dept Earth &amp; Planetary Sci, Sydney, NSW 2109, Australia</t>
  </si>
  <si>
    <t>Macquarie University</t>
  </si>
  <si>
    <t>Portner, RA (corresponding author), Macquarie Univ, GEMOC ARC Natl Key Ctr, Dept Earth &amp; Planetary Sci, Sydney, NSW 2109, Australia.</t>
  </si>
  <si>
    <t>rportner@els.mq.edu.au</t>
  </si>
  <si>
    <t>GAU, geochemist/H-1985-2016</t>
  </si>
  <si>
    <t>Daczko, Nathan/0000-0002-3737-3818; Portner, Ryan/0000-0003-4821-8204</t>
  </si>
  <si>
    <t>Australian Antarctic Division (AAD); Tasmanian Parks and Wildlife Service; ARC discovery [DP0663373]; Australian Research Council [DP0663373] Funding Source: Australian Research Council</t>
  </si>
  <si>
    <t>Australian Antarctic Division (AAD); Tasmanian Parks and Wildlife Service; ARC discovery(Australian Research Council); Australian Research Council(Australian Research Council)</t>
  </si>
  <si>
    <t>The authors would like to acknowledge I. Skilling, D. Maicher, and JDL White for providing comments that greatly improved this manuscript. We thank the Australian Antarctic Division (AAD project number 2515) and the Tasmanian Parks and Wildlife Service for providing support and access to our remote field locations on Macquarie Island during summer field seasons of 2006 and 2007. We thank the crews of the Marina Svateava (summer 2006) and the Spirit of Enderby (summer 2007) along with Aurora and Heritage expeditions for providing transport to Macquarie Island. N. Pearson provided numerous insights and instrumentation support for the geochemical aspect of the study. This project was supported by an ARC discovery grant to NRD and JAD (DP0663373). This is contribution number 581 from the ARC GEMOC National Key Centre (www.es.mq.edu.au/GEMOC/).</t>
  </si>
  <si>
    <t>10.1007/s00445-009-0312-8</t>
  </si>
  <si>
    <t>557FP</t>
  </si>
  <si>
    <t>WOS:000274655300003</t>
  </si>
  <si>
    <t>Lekien, F; Ross, SD</t>
  </si>
  <si>
    <t>Lekien, Francois; Ross, Shane D.</t>
  </si>
  <si>
    <t>The computation of finite-time Lyapunov exponents on unstructured meshes and for non-Euclidean manifolds</t>
  </si>
  <si>
    <t>CHAOS</t>
  </si>
  <si>
    <t>atmospheric movements; convection; Lyapunov methods; mesh generation; nonlinear dynamical systems; vortices</t>
  </si>
  <si>
    <t>LAGRANGIAN COHERENT STRUCTURES; N-VORTEX PROBLEM; INVARIANT-MANIFOLDS; CHAOTIC ADVECTION; ROTATING SPHERE; TRANSPORT; VISUALIZATION</t>
  </si>
  <si>
    <t>We generalize the concepts of finite-time Lyapunov exponent (FTLE) and Lagrangian coherent structures to arbitrary Riemannian manifolds. The methods are illustrated for convection cells on cylinders and Moumlbius strips, as well as for the splitting of the Antarctic polar vortex in the spherical stratosphere and a related point vortex model. We modify the FTLE computational method and accommodate unstructured meshes of triangles and tetrahedra to fit manifolds of arbitrary shape, as well as to facilitate dynamic refinement of the FTLE mesh.</t>
  </si>
  <si>
    <t>[Lekien, Francois] Univ Libre Bruxelles, Ecole Polytech, B-1050 Brussels, Belgium; [Ross, Shane D.] Virginia Tech, Blacksburg, VA 24061 USA</t>
  </si>
  <si>
    <t>Universite Libre de Bruxelles; Virginia Polytechnic Institute &amp; State University</t>
  </si>
  <si>
    <t>Lekien, F (corresponding author), Univ Libre Bruxelles, Ecole Polytech, B-1050 Brussels, Belgium.</t>
  </si>
  <si>
    <t>lekien@ulb.ac.be; sdross@vt.edu</t>
  </si>
  <si>
    <t>Ross, Shane D/B-7237-2009</t>
  </si>
  <si>
    <t>Ross, Shane D/0000-0001-5523-2376</t>
  </si>
  <si>
    <t>AMER INST PHYSICS</t>
  </si>
  <si>
    <t>MELVILLE</t>
  </si>
  <si>
    <t>1305 WALT WHITMAN RD, STE 300, MELVILLE, NY 11747-4501 USA</t>
  </si>
  <si>
    <t>1054-1500</t>
  </si>
  <si>
    <t>1089-7682</t>
  </si>
  <si>
    <t>Chaos</t>
  </si>
  <si>
    <t>10.1063/1.3278516</t>
  </si>
  <si>
    <t>Mathematics, Applied; Physics, Mathematical</t>
  </si>
  <si>
    <t>Mathematics; Physics</t>
  </si>
  <si>
    <t>577GV</t>
  </si>
  <si>
    <t>WOS:000276211400040</t>
  </si>
  <si>
    <t>Russell, A; McGregor, GR</t>
  </si>
  <si>
    <t>Russell, Andrew; McGregor, Glenn R.</t>
  </si>
  <si>
    <t>Southern hemisphere atmospheric circulation: impacts on Antarctic climate and reconstructions from Antarctic ice core data</t>
  </si>
  <si>
    <t>SEA-LEVEL PRESSURE; PRECIPITATION DELIVERY MECHANISMS; EXTRATROPICAL CYCLONE BEHAVIOR; DRONNING MAUD LAND; EAST ANTARCTICA; SPATIAL VARIABILITY; LAW DOME; SEMIANNUAL OSCILLATION; ANNULAR MODES; SURFACE SNOW</t>
  </si>
  <si>
    <t>The atmospheric circulation patterns in the Southern Hemisphere have had a significant impact on the climate of the Antarctic and there is much evidence that these circulation patterns have changed in the recent past. This change is thought to have contributed to the warming trend observed at the Antarctic Peninsula over the last 50 years-one of the largest trends observed in this period on the planet. The trends associated with the continental Antarctic climate are less clear but are likely to be impacted less directly by atmospheric circulation changes. The circulation changes can be put into the context of longer timescales by considering atmospheric circulation reconstructions that have been performed using data from Antarctic ice cores. In this review paper we look at the main body of work examining: Antarctic climate trends; the understanding and impact of atmospheric circulation of the mid- to high-latitudes of the Southern Hemisphere; and the usefulness and reliability of atmospheric circulation reconstructions from Antarctic ice core data. Finally, beyond several of the more quantitative reconstructions, it is deemed that an assessment of their consistency is not possible due to the variety of circulation characteristics that the various reconstructions consider.</t>
  </si>
  <si>
    <t>[Russell, Andrew] Univ Manchester, Sch Earth Atmospher &amp; Environm Sci, Manchester M13 9PL, Lancs, England; [McGregor, Glenn R.] Univ Auckland, Sch Geog Geol &amp; Environm Sci, Auckland 1, New Zealand</t>
  </si>
  <si>
    <t>University of Manchester; University of Auckland</t>
  </si>
  <si>
    <t>Russell, A (corresponding author), Univ Manchester, Sch Earth Atmospher &amp; Environm Sci, Manchester M13 9PL, Lancs, England.</t>
  </si>
  <si>
    <t>andrew.russell-2@manchester.ac.uk</t>
  </si>
  <si>
    <t>Russell, Andrew/B-2260-2008</t>
  </si>
  <si>
    <t>Russell, Andrew/0000-0001-7120-8499; McGregor, Glenn/0000-0001-8487-2081</t>
  </si>
  <si>
    <t>Natural Environment Research Council's (NERC) British Antarctic Survey (BAS); University of Birmingham via a School of Geography, Earth and Environmental Sciences</t>
  </si>
  <si>
    <t>Natural Environment Research Council's (NERC) British Antarctic Survey (BAS)(UK Research &amp; Innovation (UKRI)Natural Environment Research Council (NERC)); University of Birmingham via a School of Geography, Earth and Environmental Sciences</t>
  </si>
  <si>
    <t>We are grateful to the Natural Environment Research Council's (NERC) British Antarctic Survey (BAS) who provided some financial and computational support for this work. Dr. Gareth J. Marshall and Dr. Rob Mulvaney (BAS) are acknowledged for their helpful comments on earlier drafts of this paper. The anonymous reviewers of this paper also require acknowledgement for their constructive comments. Some of this work was supported by the University of Birmingham via a School of Geography, Earth and Environmental Sciences PhD studentship.</t>
  </si>
  <si>
    <t>10.1007/s10584-009-9673-4</t>
  </si>
  <si>
    <t>559SD</t>
  </si>
  <si>
    <t>WOS:000274846100010</t>
  </si>
  <si>
    <t>Bory, A; Wolff, E; Mulvaney, R; Jagoutz, E; Wegner, A; Ruth, U; Elderfield, H</t>
  </si>
  <si>
    <t>Bory, Aloys; Wolff, Eric; Mulvaney, Robert; Jagoutz, Emil; Wegner, Anna; Ruth, Urs; Elderfield, Harry</t>
  </si>
  <si>
    <t>Multiple sources supply eolian mineral dust to the Atlantic sector of coastal Antarctica: Evidence from recent snow layers at the top of Berkner Island ice sheet</t>
  </si>
  <si>
    <t>Antarctica; Berkner Island; snow; dust; Sr; Nd; isotopes</t>
  </si>
  <si>
    <t>EPICA DOME-C; EAST ANTARCTICA; ATMOSPHERIC CIRCULATION; CORE DUST; ISOTOPIC CONSTRAINTS; SEASONAL VARIABILITY; SOUTHERN AFRICA; AEOLIAN DUST; TALOS DOME; PROVENANCE</t>
  </si>
  <si>
    <t>The Sr and Nd isotopic composition of dust extracted from recent snow layers at the top of Berkner island ice sheet (located within the Filchner-Ronne Ice Shelf at the southern end of the Weddell Sea) enables us, for the first time, to document dust provenance in Antarctica outside the East Antarctic Plateau (EAP) where all previous studies based on isotopic fingerprinting were carried out. Berkner dust displays an overall crust-like isotopic signature, characterized by more radiogenic Sr-87/Sr-86 and much less radiogenic Nd-143/Nd-144 compared to dust deposited on the EAP during glacial periods. Differences with EAP interglacial dust are not as marked but still significant, indicating that present-day Berkner dust provenance is distinct, at least to some extent, from that of the dust reaching the EAR The fourteen snow-pit sub-seasonal samples that were obtained span a two-year period (2002-2003) and their dust Sr and Nd isotopic composition reveals that multiple sources are at play over a yearly time period. Southern South America, Patagonia in particular, likely accounts for part of the observed spring/summer dust deposition maxima, when isotopic composition is shifted towards younger isotopic signatures. In the spring, possible additional inputs from Australian sources would also be supported by the data. Most of the year, however, the measured isotopic signatures would be best explained by a sustained background supply from putative local sources in East Antarctica, which carry old-crust-like isotopic fingerprints. Whether the restricted East Antarctic ice-free areas produce sufficient eolian material has yet to be substantiated however. The fact that large (&gt; 5 mu m) particles represent a significant fraction of the samples throughout the entire time-series supports scenarios that involve contributions from proximal sources, either in Patagonia and/or Antarctica (possibly including snow-free areas in the Antarctic Peninsula and other areas as well). This also indicates that additional dust transport, which does not reach the EAR must occur at low-tropospheric levels to this coastal sector of Antarctica. (c) 2010 Elsevier FLV. All rights reserved.</t>
  </si>
  <si>
    <t>[Bory, Aloys; Wolff, Eric; Mulvaney, Robert] British Antarctic Survey, Cambridge CB3 0ET, England; [Jagoutz, Emil] Max Planck Inst Chem, D-55122 Mainz, Germany; [Wegner, Anna; Ruth, Urs] Alfred Wegener Inst Polar &amp; Marine Res, D-27568 Bremerhaven, Germany; [Elderfield, Harry] Univ Cambridge, Dept Earth Sci, Cambridge CB2 3EQ, England</t>
  </si>
  <si>
    <t>UK Research &amp; Innovation (UKRI); Natural Environment Research Council (NERC); NERC British Antarctic Survey; Max Planck Society; Helmholtz Association; Alfred Wegener Institute, Helmholtz Centre for Polar &amp; Marine Research; University of Cambridge</t>
  </si>
  <si>
    <t>Bory, A (corresponding author), Univ Sci &amp; Technol Lille, CNRS, UMR 8157, F-59655 Villeneuve Dascq, France.</t>
  </si>
  <si>
    <t>aloys.bory@univ-lille1.fr</t>
  </si>
  <si>
    <t>Wolff, Eric W/D-7925-2014; Mulvaney, Robert/K-3929-2012</t>
  </si>
  <si>
    <t>Wolff, Eric W/0000-0002-5914-8531; BORY, Aloys/0000-0002-0251-6372; Mulvaney, Robert/0000-0002-5372-8148</t>
  </si>
  <si>
    <t>European Commission [HPMF-CT-2001-01262]; UK Natural Research Environment Council; NERC [bas0100024] Funding Source: UKRI; Natural Environment Research Council [bas0100024] Funding Source: researchfish</t>
  </si>
  <si>
    <t>European Commission(European Union (EU)European Commission Joint Research Centre); UK Natural Research Environment Council; NERC(UK Research &amp; Innovation (UKRI)Natural Environment Research Council (NERC)); Natural Environment Research Council(UK Research &amp; Innovation (UKRI)Natural Environment Research Council (NERC))</t>
  </si>
  <si>
    <t>This work was supported through a European Commission Marie Curie fellowship (contract HPMF-CT-2001-01262), and by the UK Natural Research Environment Council. We gratefully thank Sue Foord (BAS.), Mervyn Greaves (Univ. Cambridge), Stephane Bauguitte (B.A.S.), Rebecca Brodie (Univ. Cambridge), Antje Sorowka (M.P.I.), Reimund Jotter (M.P.I.), Genevieve Littot (B.A.S.), Hans Oerter (A.W.I), Hans-Joachim Voss (M.P.I.) for their laboratory support; Dominic Hodgson (B.A.S.) for the geological samples; Barbara Delmonte (Univ. Milano-Bicocca, Italy) for discussions on the analytical protocol: Wafa Abouchami and Stephen Galer (M.P.I.) for their assistance with TIMS measurements: the British Atmospheric Data Center for providing access to calculated trajectories using data from the European Centre for Medium-Range Weather Forecast; Guillaume Chevalier and Viviane Bout-Roumazeilles (Univ. Lille) for helping with air-mass back-trajectories production and analyses, respectively; John Turner and Gareth Marshall (B.A.S.) for the mean winds maps; Michel Dubois (Univ. Lille) for bibliographic references, and Peter Fretwell (BAS.) for the Antarctic maps. The manuscript benefited from the helpful editorial advices of M.L. Delaney and the thorough reviews of Barbara Delmonte and Diego Gaiero.</t>
  </si>
  <si>
    <t>MAR 1</t>
  </si>
  <si>
    <t>10.1016/j.epsl.2010.01.006</t>
  </si>
  <si>
    <t>568RB</t>
  </si>
  <si>
    <t>WOS:000275539100014</t>
  </si>
  <si>
    <t>Tracy, CR; Streten-Joyce, C; Dalton, R; Nussear, KE; Gibb, KS; Christian, KA</t>
  </si>
  <si>
    <t>Tracy, Christopher R.; Streten-Joyce, Claire; Dalton, Robert; Nussear, Kenneth E.; Gibb, Karen S.; Christian, Keith A.</t>
  </si>
  <si>
    <t>Microclimate and limits to photosynthesis in a diverse community of hypolithic cyanobacteria in northern Australia</t>
  </si>
  <si>
    <t>ENVIRONMENTAL MICROBIOLOGY</t>
  </si>
  <si>
    <t>RIBOSOMAL-RNA; ENDOLITHIC CYANOBACTERIA; CHLOROPHYLL FLUORESCENCE; ENVIRONMENTAL GRADIENTS; SOIL CRUSTS; CHINA HOT; DESERT; ECOLOGY; LICHENS; ALGAE</t>
  </si>
  <si>
    <t>P&gt;Hypolithic microbes, primarily cyanobacteria, inhabit the highly specialized microhabitats under translucent rocks in extreme environments. Here we report findings from hypolithic cyanobacteria found under three types of translucent rocks (quartz, prehnite, agate) in a semiarid region of tropical Australia. We investigated the photosynthetic responses of the cyanobacterial communities to light, temperature and moisture in the laboratory, and we measured the microclimatic variables of temperature and soil moisture under rocks in the field over an annual cycle. We also used molecular techniques to explore the diversity of hypolithic cyanobacteria in this community and their phylogenetic relationships within the context of hypolithic cyanobacteria from other continents. Based on the laboratory experiments, photosynthetic activity required a minimum soil moisture of 15% (by mass). Peak photosynthetic activity occurred between approximately 8 degrees C and 42 degrees C, though some photosynthesis occurred between -1 degrees C and 51 degrees C. Maximum photosynthesis rates also occurred at light levels of approximately 150-550 mu mol m-2 s-1. We used the field microclimatic data in conjunction with these measurements of photosynthetic efficiency to estimate the amount of time the hypolithic cyanobacteria could be photosynthetically active in the field. Based on these data, we estimated that conditions were appropriate for photosynthetic activity for approximately 942 h (similar to 75 days) during the year. The hypolithic cyanobacteria community under quartz, prehnite and agate rocks was quite diverse both within and between rock types. We identified 115 operational taxonomic units (OTUs), with each rock hosting 8-24 OTUs. A third of the cyanobacteria OTUs from northern Australia grouped with Chroococcidiopsis, a genus that has been identified from hypolithic and endolithic communities from the Gobi, Mojave, Atacama and Antarctic deserts. Several OTUs identified from northern Australia have not been reported to be associated with hypolithic communities previously.</t>
  </si>
  <si>
    <t>[Tracy, Christopher R.; Streten-Joyce, Claire; Dalton, Robert; Gibb, Karen S.; Christian, Keith A.] Charles Darwin Univ, Sch Environm &amp; Life Sci, Darwin, NT 0909, Australia; [Nussear, Kenneth E.] US Geol Survey, Western Ecol Res Ctr, Las Vegas Field Stn, Henderson, NV 89074 USA</t>
  </si>
  <si>
    <t>Charles Darwin University; United States Department of the Interior; United States Geological Survey</t>
  </si>
  <si>
    <t>Tracy, CR (corresponding author), Charles Darwin Univ, Sch Environm &amp; Life Sci, Darwin, NT 0909, Australia.</t>
  </si>
  <si>
    <t>chris.tracy@cdu.edu.au</t>
  </si>
  <si>
    <t>Nussear, Ken/AAF-6723-2020; Streten, Claire/J-5268-2012; Tracy, Christopher R/E-5619-2011</t>
  </si>
  <si>
    <t>Streten, Claire/0000-0003-2803-1995; Nussear, Ken/0000-0002-3849-8911; Christian, Keith/0000-0001-6135-1670</t>
  </si>
  <si>
    <t>Charles Darwin University; Australian Research Council [A00001380, DP 0559093]</t>
  </si>
  <si>
    <t>Charles Darwin University; Australian Research Council(Australian Research Council)</t>
  </si>
  <si>
    <t>Thanks to L. Hutley (photosynthesis physiology and helpful comments on an earlier version of the manuscript), J. Christian (rock collection), S. Reynolds (rock collection, datalogger replacement), S. Smith (rock temperatures), S. Schmidt (for use of the MINI PAM), M. Ripcke (German translation), B. Budel (German translation and helpful comments on earlier drafts), and the Top Springs Hotel staff (accommodation in the field). This project was partially funded by Charles Darwin University, and the Australian Research Council (ARC A00001380 and DP 0559093 to KAC and CRT). Any use of trade names or specific products is for descriptive purposes only and does not imply endorsement by the US Government.</t>
  </si>
  <si>
    <t>1462-2912</t>
  </si>
  <si>
    <t>1462-2920</t>
  </si>
  <si>
    <t>ENVIRON MICROBIOL</t>
  </si>
  <si>
    <t>Environ. Microbiol.</t>
  </si>
  <si>
    <t>10.1111/j.1462-2920.2009.02098.x</t>
  </si>
  <si>
    <t>560YR</t>
  </si>
  <si>
    <t>WOS:000274942300004</t>
  </si>
  <si>
    <t>Ayton, J; Aislabie, J; Barker, GM; Saul, D; Turner, S</t>
  </si>
  <si>
    <t>Ayton, J.; Aislabie, J.; Barker, G. M.; Saul, D.; Turner, S.</t>
  </si>
  <si>
    <t>Crenarchaeota affiliated with group 1.1b are prevalent in coastal mineral soils of the Ross Sea region of Antarctica</t>
  </si>
  <si>
    <t>IN-SITU HYBRIDIZATION; PHYLOGENETIC ANALYSIS; BACTERIAL DIVERSITY; BOREAL FOREST; VICTORIA LAND; KINGDOM CRENARCHAEOTA; MICROBIAL COMMUNITIES; ARCHAEAL ASSEMBLAGES; PLANT-ROOTS; ABUNDANCE</t>
  </si>
  <si>
    <t>P&gt;The objective of this study was to examine the presence and diversity of Archaea within mineral and ornithogenic soils from 12 locations across the Ross Sea region. Archaea were not abundant but DNA sufficient for producing 16S rRNA gene clone libraries was extracted from 18 of 51 soil samples, from four locations. A total of 1452 clones were analysed by restriction fragment length polymorphism and assigned to 43 operational taxonomic units from which representatives were sequenced. Archaea were primarily restricted to coastal mineral soils which showed a predominance of Crenarchaeota belonging to group 1.1b (&gt; 99% of clones). These clones were assigned to six clusters (A through F), based on shared identity to sequences in the GenBank database. Ordination indicated that soil chemistry and water content determined archaeal community structure. This is the first comprehensive study of the archaeal community in Antarctic soils and as such provides a reference point for further investigation of microbial function in this environment.</t>
  </si>
  <si>
    <t>[Aislabie, J.; Barker, G. M.] Landcare Res, Hamilton, New Zealand; [Ayton, J.; Saul, D.; Turner, S.] Univ Auckland, Sch Biol Sci, Auckland 1, New Zealand</t>
  </si>
  <si>
    <t>Landcare Research - New Zealand; University of Auckland</t>
  </si>
  <si>
    <t>Aislabie, J (corresponding author), Landcare Res, Private Bag 3127, Hamilton, New Zealand.</t>
  </si>
  <si>
    <t>aislabiej@landcareresearch.co.nz</t>
  </si>
  <si>
    <t>Barker, Gary M/C-9974-2011</t>
  </si>
  <si>
    <t>Foundation of Research, Science and Technology, New Zealand [C09X0307]</t>
  </si>
  <si>
    <t>Foundation of Research, Science and Technology, New Zealand(New Zealand Foundation for Research, Science and Technology)</t>
  </si>
  <si>
    <t>This research was supported by funding from the Foundation of Research, Science and Technology, New Zealand (C09X0307). Antarctica New Zealand provided logistic support. Soil analyses were carried out in the Environmental Chemistry Laboratory, Landcare Research, New Zealand.</t>
  </si>
  <si>
    <t>10.1111/j.1462-2920.2009.02111.x</t>
  </si>
  <si>
    <t>WOS:000274942300013</t>
  </si>
  <si>
    <t>Lappalainen, NM; Huttunen, S; Suokanerva, H; Lakkala, K</t>
  </si>
  <si>
    <t>Lappalainen, Niina M.; Huttunen, Satu; Suokanerva, Hanne; Lakkala, Kaisa</t>
  </si>
  <si>
    <t>Seasonal acclimation of the moss Polytrichum juniperinum Hedw. to natural and enhanced ultraviolet radiation</t>
  </si>
  <si>
    <t>ENVIRONMENTAL POLLUTION</t>
  </si>
  <si>
    <t>Biomass; Long-term; Methanol-extractable UV-absorbing compounds; Overwintering; Specific leaf area</t>
  </si>
  <si>
    <t>UV-B RADIATION; PLEUROZIUM-SCHREBERI; OZONE DEPLETION; ANTARCTIC MOSS; PLANT; TEMPERATURE; BRYOPHYTES; BIOSYNTHESIS; TOLERANCE; RESPONSES</t>
  </si>
  <si>
    <t>Short- and long-term changes in the methanol-extractable UV-absorbing compounds anti biomass of the pioneer moss Polytrichum juniperinum in response to natural and enhanced UV radiation were studied Under natural conditions, the compounds were found to fluctuate seasonally In summer these compounds correlated negatively with irradiation. The concentration was low ill July after a period of simultaneous heat, drought and high irradiation. Transient positive correlation between daily concentration and UV was seen in June The concentration increased towards autumn and was relatively high tinder snow. Two enhanced UV experiments were performed. Seasonality in the compounds was again observed, with negative correlations with irradiation During the first weeks, a transient inhibition of compound production was observed after the daily UV-B treatment. After six years of modulated UV-treatment in situ, photosynthesising biomass decreased tinder UV-B and increased under UV-A. A larger variation in the UV-absorbing compounds was observed under UV-B treatment. (C) 2009 Elsevier Ltd All rights reserved.</t>
  </si>
  <si>
    <t>[Lappalainen, Niina M.; Huttunen, Satu] Univ Oulu, Dept Biol, FIN-90014 Oulu, Finland; [Suokanerva, Hanne; Lakkala, Kaisa] Finnish Meteorol Inst, Arctic Res Ctr, FIN-99600 Sodankyla, Finland</t>
  </si>
  <si>
    <t>University of Oulu; Finnish Meteorological Institute</t>
  </si>
  <si>
    <t>Lappalainen, NM (corresponding author), Univ Oulu, Dept Biol, POB 3000, FIN-90014 Oulu, Finland.</t>
  </si>
  <si>
    <t>Lakkala, Kaisa/AAN-4342-2020</t>
  </si>
  <si>
    <t>Lakkala, Kaisa/0000-0003-2840-1132</t>
  </si>
  <si>
    <t>University of Oulu; Finnish Cultural Foundation; FUVIRC facility at Sodankyla; Finnish Meteorological Institute; Arctic Research Centre; Academy of Finland</t>
  </si>
  <si>
    <t>University of Oulu; Finnish Cultural Foundation(Finnish Cultural FoundationFinnish IT center for science); FUVIRC facility at Sodankyla; Finnish Meteorological Institute; Arctic Research Centre; Academy of Finland(Research Council of Finland)</t>
  </si>
  <si>
    <t>We wish to thank the personnel of the Department of Biology in the University of Oulu and the Finnish Meteorological Institute, Arctic Research Centre in Sodankyla for technical and laboratory assistance, and the Botanical Garden of University of Oulu. We wish to thank Dr. Ken Ryan and the anonymous reviewer for the valuable comments they gave us, Ph.D. Kirsi Latola for comments, and Ph.D. Mary Metzler and M.Sc. Sally Ulich for checking the language This study was funded by the NorNet graduate school of the University of Oulu and the Finnish Cultural Foundation, the FUVIRC facility at Sodankyla, the Finnish Meteorological Institute, the Arctic Research Centre and the Academy of Finland (project UV-Acclimation in evergreens - mosses as model plants).</t>
  </si>
  <si>
    <t>0269-7491</t>
  </si>
  <si>
    <t>1873-6424</t>
  </si>
  <si>
    <t>ENVIRON POLLUT</t>
  </si>
  <si>
    <t>Environ. Pollut.</t>
  </si>
  <si>
    <t>10.1016/j.envpol.2009.09.017</t>
  </si>
  <si>
    <t>Environmental Sciences</t>
  </si>
  <si>
    <t>561TU</t>
  </si>
  <si>
    <t>WOS:000275002900031</t>
  </si>
  <si>
    <t>Abakumov, EV</t>
  </si>
  <si>
    <t>Abakumov, E. V.</t>
  </si>
  <si>
    <t>Particle-size distribution in soils of West Antarctica</t>
  </si>
  <si>
    <t>EURASIAN SOIL SCIENCE</t>
  </si>
  <si>
    <t>KING-GEORGE-ISLAND; PERMAFROST; CRYOSOLS</t>
  </si>
  <si>
    <t>The particle-size distribution in soils sampled near Russian polar stations in West Antarctica has been studied. It is shown that the soils of the Subantarctic zone (the Bellingshausen Station on King George Island) are characterized by a higher content of silt and clay in the fine earth fraction and by a higher content of the fine earth fraction in comparison with the soils of the proper Antarctic tundra barrens near the Lenin-gradskaya Station and the Antarctic cold desert near the Russkaya Station. In the latter soils, the content of rock fragments is higher than that in the soils of the Antarctic tundra barrens. In the soils of the tundra barrens, a considerable accumulation of fine earth may take place in large cavities (hollows) on the stony bedrock surface. Desert pavements are formed in both types of Antarctic landscapes.</t>
  </si>
  <si>
    <t>St Petersburg State Univ, St Petersburg 199178, Russia</t>
  </si>
  <si>
    <t>Saint Petersburg State University</t>
  </si>
  <si>
    <t>Abakumov, EV (corresponding author), St Petersburg State Univ, Shestnadtsataya Liniya 29, St Petersburg 199178, Russia.</t>
  </si>
  <si>
    <t>Abakumov, Evgeny/AAO-8580-2020; Abakumov, e_abakumov@mail.ru/ADJ-1297-2022</t>
  </si>
  <si>
    <t>Abakumov, Evgeny/0000-0002-5248-9018; Abakumov, e_abakumov@mail.ru/0000-0002-5248-9018</t>
  </si>
  <si>
    <t>PLEIADES PUBLISHING INC</t>
  </si>
  <si>
    <t>MOSCOW</t>
  </si>
  <si>
    <t>PLEIADES PUBLISHING INC, MOSCOW, 00000, RUSSIA</t>
  </si>
  <si>
    <t>1064-2293</t>
  </si>
  <si>
    <t>1556-195X</t>
  </si>
  <si>
    <t>EURASIAN SOIL SCI+</t>
  </si>
  <si>
    <t>Eurasian Soil Sci.</t>
  </si>
  <si>
    <t>10.1134/S1064229310030075</t>
  </si>
  <si>
    <t>573YK</t>
  </si>
  <si>
    <t>WOS:000275953800007</t>
  </si>
  <si>
    <t>Pearce, DA; Hughes, KA; Lachlan-Cope, T; Harangozo, SA; Jones, AE</t>
  </si>
  <si>
    <t>Pearce, David A.; Hughes, K. A.; Lachlan-Cope, T.; Harangozo, S. A.; Jones, A. E.</t>
  </si>
  <si>
    <t>Biodiversity of air-borne microorganisms at Halley station, Antarctica</t>
  </si>
  <si>
    <t>EXTREMOPHILES</t>
  </si>
  <si>
    <t>Aerial; Air-borne; Antarctic; Biodiversity; Colonisation; Bacteria; 16S rRNA; Non-indigenous</t>
  </si>
  <si>
    <t>SP NOV.; BACTERIAL DIVERSITY; AIRBORNE BACTERIA; VICTORIA LAND; POPULATION; SNOW; SPHINGOMONAS; AEROSOL; CULTIVATION; DISPERSAL</t>
  </si>
  <si>
    <t>A study of air-borne microbial biodiversity over an isolated scientific research station on an ice-shelf in continental Antarctica was undertaken to establish the potential source of microbial colonists. The study aimed to assess: (1) whether microorganisms were likely to have a local (research station) or distant (marine or terrestrial) origin, (2) the effect of changes in sea ice extent on microbial biodiversity and (3) the potential human impact on the environment. Air samples were taken above Halley Research Station during the austral summer and austral winter over a 2-week period. Overall, a low microbial biodiversity was detected, which included many sequence replicates. No significant patterns were detected in the aerial biodiversity between the austral summer and the austral winter. In common with other environmental studies, particularly in the polar regions, many of the sequences obtained were from as yet uncultivated organisms. Very few marine sequences were detected irrespective of the distance to open water, and around one-third of sequences detected were similar to those identified in human studies, though both of these might reflect prevailing wind conditions. The detected aerial microorganisms were markedly different from those obtained in earlier studies over the Antarctic Peninsula in the maritime Antarctic.</t>
  </si>
  <si>
    <t>[Pearce, David A.; Hughes, K. A.; Lachlan-Cope, T.; Harangozo, S. A.; Jones, A. E.] British Antarctic Survey, NERC, Cambridge CB3 0ET, England</t>
  </si>
  <si>
    <t>Pearce, DA (corresponding author), British Antarctic Survey, NERC, High Cross,Madingley Rd, Cambridge CB3 0ET, England.</t>
  </si>
  <si>
    <t>dpearce@bas.ac.uk</t>
  </si>
  <si>
    <t>Hughes, Kevin/JVZ-0793-2024</t>
  </si>
  <si>
    <t>Pearce, David/0000-0001-5292-4596</t>
  </si>
  <si>
    <t>LTMS-B task 7; Environment and Information Division (EID) Environment Office LTMS; Natural Environment Research Council [bas010020] Funding Source: researchfish; NERC [bas010020] Funding Source: UKRI</t>
  </si>
  <si>
    <t>LTMS-B task 7; Environment and Information Division (EID) Environment Office LTMS; Natural Environment Research Council(UK Research &amp; Innovation (UKRI)Natural Environment Research Council (NERC)); NERC(UK Research &amp; Innovation (UKRI)Natural Environment Research Council (NERC))</t>
  </si>
  <si>
    <t>The authors acknowledge the staff of Halley Research Station Antarctica, and in particular Vanessa O'Brien. This research was supported by the LTMS-B task 7 microbial metagenomics project at BAS, and the Environment and Information Division (EID) Environment Office LTMS project.</t>
  </si>
  <si>
    <t>SPRINGER JAPAN KK</t>
  </si>
  <si>
    <t>TOKYO</t>
  </si>
  <si>
    <t>SHIROYAMA TRUST TOWER 5F, 4-3-1 TORANOMON, MINATO-KU, TOKYO, 105-6005, JAPAN</t>
  </si>
  <si>
    <t>1431-0651</t>
  </si>
  <si>
    <t>1433-4909</t>
  </si>
  <si>
    <t>Extremophiles</t>
  </si>
  <si>
    <t>10.1007/s00792-009-0293-8</t>
  </si>
  <si>
    <t>567AO</t>
  </si>
  <si>
    <t>WOS:000275414800001</t>
  </si>
  <si>
    <t>Panicker, G; Mojib, N; Nakatsuji, T; Aislabie, J; Bej, AK</t>
  </si>
  <si>
    <t>Panicker, Gitika; Mojib, Nazia; Nakatsuji, Teruaki; Aislabie, Jackie; Bej, Asim K.</t>
  </si>
  <si>
    <t>Occurrence and distribution of capB in Antarctic microorganisms and study of its structure and regulation in the Antarctic biodegradative Pseudomonas sp 30/3</t>
  </si>
  <si>
    <t>Cold adaptation; capB; Antarctic microorganism; Pseudomonas 30/3; Immunolocalization</t>
  </si>
  <si>
    <t>COLD-SHOCK PROTEINS; 5' UNTRANSLATED REGION; SOLUTION NMR STRUCTURE; CSPA MESSENGER-RNA; ESCHERICHIA-COLI; PSYCHROTROPHIC BACTERIUM; ACCLIMATION PROTEINS; BACILLUS-SUBTILIS; LOW-TEMPERATURE; CRYSTAL-STRUCTURE</t>
  </si>
  <si>
    <t>The analysis of the cold-shock domain (CSD)-encoding genes, capB and cspA, by PCR amplification showed presence of capB in all 18 Antarctic Pseudomonas isolates, but the absence of cspA. Nucleotide sequence analysis of capB ORF from a biodegradative Pseudomonas 30/3 and its regulatory sequences including the promoter and 5'-UTR was determined and compared with the other CSD-encoding genes. Expression analysis using translational gene fusion of the putative capB promoter and its flanking sequence from Pseudomonas sp. 30/3 with lacZ' exhibited a significant increase in beta-galactosidase activity at 15 and 6A degrees C. Unlike the expression of E. coli CspA, Pseudomonas sp. 30/3 showed a slow but steady increase of the CapB expression at 6A degrees C. Subcellular localization of CapB at 6A degrees C showed accumulation in and around the nucleoid whereas at 22 or 30A degrees C, it was identified around the nucleoid as well as in the cytosol. Our study attempts to elucidate the detailed structure of capB from Pseudomonas 30/3 and the role of 5'UTR in the transcriptional regulation along with the possible role of CapB in transcription and translation suited for the cold adaptation of this bacterium in Antarctic environment.</t>
  </si>
  <si>
    <t>[Panicker, Gitika; Mojib, Nazia; Nakatsuji, Teruaki; Bej, Asim K.] Univ Alabama Birmingham, Dept Biol, Birmingham, AL 35294 USA; [Aislabie, Jackie] Landcare Res, Hamilton, New Zealand</t>
  </si>
  <si>
    <t>Bej, AK (corresponding author), Univ Alabama Birmingham, Dept Biol, 1300 Univ Blvd,CH103, Birmingham, AL 35294 USA.</t>
  </si>
  <si>
    <t>Nakatsuji, Teruaki/O-6794-2014</t>
  </si>
  <si>
    <t>Nakatsuji, Teruaki/0000-0002-6187-2991; /0000-0003-3060-1088; MOJIB, NAZIA/0000-0003-4924-5538</t>
  </si>
  <si>
    <t>UAB Faculty Development; Department of Biology; Foundation of Research, Science and Technology, New Zealand [C09X0018]</t>
  </si>
  <si>
    <t>UAB Faculty Development; Department of Biology; Foundation of Research, Science and Technology, New Zealand(New Zealand Foundation for Research, Science and Technology)</t>
  </si>
  <si>
    <t>This study was supported in part the UAB Faculty Development award and the Department of Biology, and the Foundation of Research, Science and Technology, New Zealand (C09X0018). The logistic support was provided by Antarctica New Zealand; 2008 Tawani International Scientific Expedition (Tawani Foundation, Chicago, IL); and Antarctic Maitri (NCAOR, India) and Novolazarevskaya (Russia) stations. We thank Col (Ret) James Pritzker for supporting the Tawani Expedition; Rasik Ravindra (Director, NCAOR, India), Cdr. Arun Chaturvedi, Cdr. Pradip Malhotra and Ashit Swain for field support. We thank Edward Phillips at UAB High Resolution Imaging Shared Facility for the fluorescent microscopy study.</t>
  </si>
  <si>
    <t>10.1007/s00792-009-0296-5</t>
  </si>
  <si>
    <t>WOS:000275414800003</t>
  </si>
  <si>
    <t>Suárez, M; De La Cruz, R; Bell, M; Demant, A</t>
  </si>
  <si>
    <t>Suarez, Manuel; De La Cruz, Rita; Bell, Michael; Demant, Alain</t>
  </si>
  <si>
    <t>Cretaceous slab segmentation in. southwestern Gondwana</t>
  </si>
  <si>
    <t>GEOLOGICAL MAGAZINE</t>
  </si>
  <si>
    <t>slab; segmentation; Cretaceous; Patagonia; Chile; Gondwana</t>
  </si>
  <si>
    <t>MESOZOIC ISLAND ARC; PATAGONIAN-ANDES; SOUTHERN ANDES; ANTARCTIC PENINSULA; BACK-ARC; TECTONIC IMPLICATIONS; STRATIGRAPHIC RECORD; MAGALLANES BASIN; APELEG FORMATION; FORELAND BASIN</t>
  </si>
  <si>
    <t>The Mesozoic Austral Basin of Patagonia, in Southwestern Gondwana, experienced it major tectonic segmentation during Aptian miles Sometime between 121 and 118, Ma (Aptian). the northern part of the Austral Basin, known its the Aisen Basin or Rio Mayo Embayment, was inverted. with the sediments overlain by calc-alkaline subaerial volcanic rocks of Aptian to Maastrichtian age In the southern segment of the Austral Basin, known as the Magallanes Basin, predominantly marine sediments accumulated until Cenozoic times in a back-arc position, relative to a magmatic are located to the west The Rib(subduction-related N-S-trending volcanic chains of both segments were geographically displaced during Aptian to Late Cretaceous times In the Aisen segment north of similar to 49-50 degrees S, the volcanic chain wits located further cast than the coeval are fit the Magallanes segment. A transform fault connected the trenches of both segments, with the Aisen segment dipping at,I shallower an-le than the Magallanes segment.</t>
  </si>
  <si>
    <t>[Suarez, Manuel; De La Cruz, Rita] Serv Nacl Geol &amp; Mineria, Santiago, Chile; [Bell, Michael] Univ Gloucestershire, Cheltenham GL50 4AZ, Glos, England; [Demant, Alain] Univ Aix Marseille 3, F-13397 Marseille 20, France</t>
  </si>
  <si>
    <t>University of Gloucestershire; Aix-Marseille Universite</t>
  </si>
  <si>
    <t>Suárez, M (corresponding author), Serv Nacl Geol &amp; Mineria, Ave Santa Maria 0104, Santiago, Chile.</t>
  </si>
  <si>
    <t>Fondecyt [1030162, 1080516]; Servicio Nacional de Geologia y Mineria</t>
  </si>
  <si>
    <t>Fondecyt(Comision Nacional de Investigacion Cientifica y Tecnologica (CONICYT)CONICYT FONDECYT); Servicio Nacional de Geologia y Mineria</t>
  </si>
  <si>
    <t>This work was partially Funded by Fondecyt projects No 1030162 and No 1080516 and the Servicio Nacional de Geologia y Mineria We thank the field assistance and friendship given by Mr Leonardo Zunuga This manuscript has been improved by the constructive comments of R. Charrier and an anonymous referee</t>
  </si>
  <si>
    <t>0016-7568</t>
  </si>
  <si>
    <t>GEOL MAG</t>
  </si>
  <si>
    <t>Geol. Mag.</t>
  </si>
  <si>
    <t>10.1017/S0016756809990355</t>
  </si>
  <si>
    <t>561WZ</t>
  </si>
  <si>
    <t>WOS:000275012100004</t>
  </si>
  <si>
    <t>Hijma, MP; Cohen, KM</t>
  </si>
  <si>
    <t>Hijma, Marc P.; Cohen, Kim M.</t>
  </si>
  <si>
    <t>Timing and magnitude of the sea-level jump preluding the 8200 yr event</t>
  </si>
  <si>
    <t>GLACIAL LAKE AGASSIZ; SOUTHERN NORTH-SEA; CLIMATE-CHANGE; COLD EVENT; BP EVENT; HOLOCENE; MODEL; CALIBRATION; MOVEMENTS; GREENLAND</t>
  </si>
  <si>
    <t>Evidence from terrestrial, glacial, and global climate model reconstructions suggests that a sea-level jump caused by meltwater release was associated with the triggering of the 8.2 ka cooling event. However, there has been no direct measurement of this jump using precise sea-level data. In addition, the chronology of the meltwater pulse is based on marine data with limited dating accuracy. The most plausible mechanism for triggering the cooling event is the sudden, possibly multistaged drainage of the Laurentide proglacial Lakes Agassiz and Ojibway through the Hudson Strait into the North Atlantic ca. 8470 +/- 300 yr ago. Here we show with detailed sea-level data from Rotterdam, Netherlands, that the sea-level rise commenced 8450 +/- 44 yr ago. Our timing considerably narrows the existing age of this drainage event and provides support for the hypothesis of a double-staged lake drainage. The jump in sea level reached a local magnitude of 2.11 +/- 0.89 m within 200 yr, in addition to the ongoing background relative sea-level rise (1.95 +/- 0.74 m). This magnitude, observed at considerable distance from the release site, points to a global-averaged eustatic sea-level jump that is double the size of previous estimates (3.0 +/- 1.2 m versus 0.4-1.4 m). The discrepancy suggests either a coeval Antarctic contribution or, more likely, a previous underestimate of the total American lake drainage.</t>
  </si>
  <si>
    <t>[Hijma, Marc P.; Cohen, Kim M.] Univ Utrecht, Fac Geosci, Dept Phys Geog, NL-3508 TC Utrecht, Netherlands; [Hijma, Marc P.; Cohen, Kim M.] Geol Survey Netherlands, Deltares Subsurface &amp; Groundwater Syst TNO, NL-3508 TC Utrecht, Netherlands</t>
  </si>
  <si>
    <t>Utrecht University; Netherlands Organization Applied Science Research</t>
  </si>
  <si>
    <t>Hijma, MP (corresponding author), Leiden Univ, Fac Archaeol, Reuvensplaats 3, NL-2311 BE Leiden, Netherlands.</t>
  </si>
  <si>
    <t>m.p.hijma@umail.leidenuniv.nl</t>
  </si>
  <si>
    <t>Hijma, Marc/B-6393-2012; Hijma, Marc/AAQ-7774-2020; Cohen, Kim/B-5831-2008</t>
  </si>
  <si>
    <t>Hijma, Marc/0000-0002-2565-1331; Cohen, Kim/0000-0002-0095-3990</t>
  </si>
  <si>
    <t>Utrecht Centre of Geosciences</t>
  </si>
  <si>
    <t>This research was funded through the Utrecht Centre of Geosciences. We thank Hanneke Bos and Nelleke van Asch for identifying the macrofossils; the R.J. van de Graaff Laboratory, Utrecht University, for accelerator mass spectrometer dating; and Ad van der Spek for sharing the date of sample 19. We appreciate the cooperation of engineering and archaeological branches (BOOR) of the municipality of Rotterdam. We also thank Nanne Weber, Ane Wiersma, Piet Hoekstra, and three anonymous reviewers for comments on earlier manuscript versions; Bradley Opdyke and one anonymous reviewer for their constructive comments; and Antony Long for improving the English. This is a contribution to International Geological Correlation Programme Project 495, Quaternary Land-Ocean Interactions: Driving Mechanisms and Coastal Responses.</t>
  </si>
  <si>
    <t>10.1130/G30439.1</t>
  </si>
  <si>
    <t>562RL</t>
  </si>
  <si>
    <t>WOS:000275071400021</t>
  </si>
  <si>
    <t>Leykam, D; Tkalcic, H; Reading, AM</t>
  </si>
  <si>
    <t>Leykam, Daniel; Tkalcic, Hrvoje; Reading, Anya M.</t>
  </si>
  <si>
    <t>Core structure re-examined using new teleseismic data recorded in Antarctica: evidence for, at most, weak cylindrical seismic anisotropy in the inner core</t>
  </si>
  <si>
    <t>Composition of the core; Body waves; Seismic anisotropy; Antarctica</t>
  </si>
  <si>
    <t>BODY WAVE DATA; NORMAL-MODE; OUTER-CORE; MANTLE BOUNDARY; TRAVEL-TIMES; JOINT INVERSION; EARTHS CORE; P-VELOCITY; HETEROGENEITY; ATTENUATION</t>
  </si>
  <si>
    <t>We present a significant addition to the data set of traveltimes of seismic PKP waves that sample the Earth's lowermost mantle and core along the Earth's rotation axis. Recorded at permanent Global Seismic Network (GSN) and temporary SSCUA deployment broad-band seismographic stations in Antarctica, the new data improve the previously poor and biased coverage that underlies the seismic constraints on recent models of inner core structure and anisotropy. On the one hand, new differential PKP traveltime measurements improve the sampling of predominantly the eastern inner core hemisphere. PKPab-df and PKPbc-df differential traveltime residuals, with respect to the spherically symmetric model ak135, are consistently smaller than two seconds along the north-south paths sampled. Axially symmetric models of inner core seismic anisotropywith fast axis parallel to the Earth's rotation axis require a weak anisotropy of (0.7 +/- 0.1) per cent to be consistent with our PKPbc-df observations. PKPbc-df residuals from the quasi-eastern hemisphere indicate (0.4 +/- 0.1) per cent anisotropy. If only PKPbc-df observations from the top 200 km of this hemisphere are considered, this is reduced to (0.1 +/- 0.2) per cent, consistent with an isotropic layer. On the other hand, new absolute PKP traveltime measurements add to the sampling of both hemispheres of the inner core, but it is difficult to use them with more confidence to assess structure of the core since they are affected by crustal and mantle structure and source uncertainties. The newly collected data set also increases constraints on D '' structure beneath the South Pole. In contrast to previous inferences based on data from northern stations, we find no evidence of a velocity heterogeneity in the outer core near the inner core boundary associated with the cylinder tangent to the inner core in the southern hemisphere.</t>
  </si>
  <si>
    <t>[Leykam, Daniel; Tkalcic, Hrvoje] Australian Natl Univ, Res Sch Earth Sci, Canberra, ACT 0200, Australia; [Reading, Anya M.] Univ Tasmania, Sch Earth Sci, Hobart, Tas 7001, Australia</t>
  </si>
  <si>
    <t>Australian National University; University of Tasmania</t>
  </si>
  <si>
    <t>Leykam, D (corresponding author), Australian Natl Univ, Res Sch Earth Sci, Mills Rd, Canberra, ACT 0200, Australia.</t>
  </si>
  <si>
    <t>Hrvoje.Tkalcic@anu.edu.au</t>
  </si>
  <si>
    <t>Reading, Anya M/E-6728-2012; Tkalcic, Hrvoje/E-8465-2013</t>
  </si>
  <si>
    <t>Reading, Anya M/0000-0002-9316-7605; Tkalcic, Hrvoje/0000-0001-7072-490X</t>
  </si>
  <si>
    <t>National Science Foundation [EAR-0552316]</t>
  </si>
  <si>
    <t>Field logistic support of the temporary SSCUA stations was provided by the Australian Antarctic Division. The facilities of the IRIS Data Management System, and specifically the IRIS Data Management Center, were used for access to waveform and metadata required in this study. The IRIS DMS is funded through the National Science Foundation and specifically the GEO Directorate through the Instrumentation and Facilities Program of the National Science Foundation under Cooperative Agreement EAR-0552316. IRIS provided data from the permanent Antarctic stations SNAA, QSPA, SPA, SYO, MAW and VNDA. We thank two anonymous reviewers and Mike Kendall for their constructive comments.</t>
  </si>
  <si>
    <t>10.1111/j.1365-246X.2010.04488.x</t>
  </si>
  <si>
    <t>558AK</t>
  </si>
  <si>
    <t>WOS:000274712100029</t>
  </si>
  <si>
    <t>Levy, JS; MarchantB, DR; Head, JW</t>
  </si>
  <si>
    <t>Levy, Joseph S.; MarchantB, David R.; Head, James W.</t>
  </si>
  <si>
    <t>Thermal contraction crack polygons on Mars: A synthesis from HiRISE, Phoenix, and terrestrial analog studies</t>
  </si>
  <si>
    <t>ICARUS</t>
  </si>
  <si>
    <t>Mars; Ices; Mars, Polar Geology; Astrobiology; Mars, Surface</t>
  </si>
  <si>
    <t>MCMURDO DRY VALLEYS; ORBITER LASER ALTIMETER; SOUTHERN VICTORIA LAND; WESTERN ARCTIC COAST; LOBATE DEBRIS APRONS; MIOCENE GLACIER ICE; MARTIAN GROUND-ICE; NEAR-SURFACE; BEACON VALLEY; SAND WEDGES</t>
  </si>
  <si>
    <t>Thermal contraction crack polygons are complex landforms that have begun to be deciphered on Earth and Mars by the combined investigative efforts of geomorphology, environmental monitoring, physical models, paleoclimate reconstruction, and geochemistry. Thermal contraction crack polygons are excellent indicators of the current or past presence of ground ice, ranging in ice content from weakly cemented soils to debris-covered massive ice. Relative to larger topographic features, polygons may form rapidly, and reflect climate conditions at the time of formation-preserving climate information as relict landforms in the geological record. Polygon morphology and internal textural characteristics can be used to distinguish surfaces modified by the seasonal presence of a wet active layer or dry active layer, and to delimit subsurface ice conditions. Analysis of martian polygon morphology and distribution indicates that geologically-recent thermal contraction crack polygons on Mars form predominantly in an ice-rich latitude-dependent mantle, more likely composed of massive ice deposited by precipitation than by cyclical vapor diffusion into regolith. Regional and local heterogeneities in polygon morphology can be used to distinguish variations in ice content, deposition and modification history, and to assess microclimate variation on timescales of ka to Ma. Analyses of martian polygon morphology, guided by investigations of terrestrial analog thermal contraction crack polygons, strongly suggest the importance of excess ice in the formation and development of many martian thermal contraction crack polygons-implying the presence of an ice-rich substrate that was fractured during and subsequent to obliquity-driven depositional periods and continually modified by ongoing vapor equilibration processes. (C) 2009 Elsevier Inc. All rights reserved.</t>
  </si>
  <si>
    <t>[Levy, Joseph S.; Head, James W.] Brown Univ, Dept Geol Sci, Providence, RI 02912 USA; [MarchantB, David R.] Boston Univ, Dept Earth Sci, Boston, MA 02215 USA</t>
  </si>
  <si>
    <t>Brown University; Boston University</t>
  </si>
  <si>
    <t>Levy, JS (corresponding author), Portland State Univ, Dept Geol, Portland, OR 97201 USA.</t>
  </si>
  <si>
    <t>joseph_levy@brown.edu</t>
  </si>
  <si>
    <t>Levy, Joseph/0000-0002-6222-139X</t>
  </si>
  <si>
    <t>NSF [ANT-0338921]; NASA [NNG04GJ99G, NNX07AN95G, GC196412NGA, NNX06AE32G, NNG05GA61G]</t>
  </si>
  <si>
    <t>NSF(National Science Foundation (NSF)); NASA(National Aeronautics &amp; Space Administration (NASA))</t>
  </si>
  <si>
    <t>We greatly acknowledge financial assistance from NSF Grant ANT-0338921, the NASA Mars Data Analysis Program Grants NNG04GJ99G and NNX07AN95G, the NASA Mars Fundamental Research Program Grants GC196412NGA NNX06AE32G, and the NASA Applied Information Systems Research Program Grant NNG05GA61G. Special thanks to Dr. Caleb Fassett for assistance in processing and interpreting crater count information. Thanks also to James Dickson for coordination of image processing. Additional thanks to Dr. Alfred McEwen and the HiRISE team for high-resolution image data. Thanks also to Dr. Peter Smith and the Phoenix team for access to field images from the martian surface. Antarctic air photographs and LiDAR topography data kindly made possible in part through a joint effort from the NSF and USGS. This manuscript was significantly enhanced by the thoughtful reviews provided by Dr. Nicholas Mangold and Dr. Gordon Osinski.</t>
  </si>
  <si>
    <t>0019-1035</t>
  </si>
  <si>
    <t>1090-2643</t>
  </si>
  <si>
    <t>Icarus</t>
  </si>
  <si>
    <t>10.1016/j.icarus.2009.09.005</t>
  </si>
  <si>
    <t>560EH</t>
  </si>
  <si>
    <t>WOS:000274884300023</t>
  </si>
  <si>
    <t>Narvekar, PS; Heygster, G; Jackson, TJ; Bindlish, R; Macelloni, G; Notholt, J</t>
  </si>
  <si>
    <t>Narvekar, Parag S.; Heygster, Georg; Jackson, Thomas J.; Bindlish, Rajat; Macelloni, Giovanni; Notholt, Justus</t>
  </si>
  <si>
    <t>Passive Polarimetric Microwave Signatures Observed Over Antarctica</t>
  </si>
  <si>
    <t>IEEE TRANSACTIONS ON GEOSCIENCE AND REMOTE SENSING</t>
  </si>
  <si>
    <t>Ice; microwave radiometry; polarimetry; snow</t>
  </si>
  <si>
    <t>SNOW ACCUMULATION; SURFACE-PROPERTIES; SCATTEROMETER; RADIOMETER; BACKSCATTER; CALIBRATION; EMISSION; LAND</t>
  </si>
  <si>
    <t>WindSat fully polarimetric passive microwave observations, expressed in the form of the Stokes vector, were analyzed over the Antarctic ice sheet. The vertically and horizontally polarized brightness temperatures (first two Stokes components) from WindSat are shown to be consistent with previous studies. Azimuthal modulations in the third and fourth Stokes components were analyzed and related to surface topography, roughness, and snow morphology. A second harmonic sine function of the azimuth angle was used to estimate the orientation angle of snow features, such as topographic slope and sastrugi. The results show good agreement with the orientations derived in a previous study using scatterometer data at similar frequencies. Seasonal variability in the third and fourth Stokes components is discussed. A consistent pattern of response emerged for 10.7 GHz. Under winter conditions, the large contribution of multiple volume scattering causes a high and regionally varying 10.7-GHz fourth Stokes signal. Under summer conditions, surface scattering dominates and results in a high 10.7-GHz third Stokes signal. The third and fourth Stokes observations at 37 GHz were found to correspond to the smaller penetration depth at this higher frequency, resulting in a low difference between the amplitudes of summer and winter. The study demonstrates the potential of the spaceborne fully polarimetric passive microwave radiometers in monitoring the thermal and morphological properties of large ice sheets.</t>
  </si>
  <si>
    <t>[Narvekar, Parag S.; Heygster, Georg; Notholt, Justus] Univ Bremen, Inst Environm Phys, D-28334 Bremen, Germany; [Jackson, Thomas J.; Bindlish, Rajat] ARS, Hydrol &amp; Remote Sensing Lab, USDA, Beltsville, MD 20705 USA; [Bindlish, Rajat] Sci Syst &amp; Applicat Inc, Lanham, MD 20706 USA; [Macelloni, Giovanni] CNR, Ist Fis Applicata Nello Carrara, I-50019 Sesto Fiorentino, Italy</t>
  </si>
  <si>
    <t>University of Bremen; United States Department of Agriculture (USDA); Science Systems and Applications Inc; Consiglio Nazionale delle Ricerche (CNR); Istituto di Fisica Applicata Nello Carrara (IFAC-CNR)</t>
  </si>
  <si>
    <t>Narvekar, PS (corresponding author), CUNY, New York, NY 10075 USA.</t>
  </si>
  <si>
    <t>narvekar@iup.physik.uni-bremen.de; heygster@uni-bremen.de; tjackson@hydrolab.arsusda.gov; rajat.bindlish@ars.usda.gov; g.macelloni@ifac.cnr.it; jnotholt@iup.physik.uni-bremen.de</t>
  </si>
  <si>
    <t>Heygster, Georg C./B-4928-2014; Macelloni, Giovanni/B-7518-2015; Notholt, Justus/P-4520-2016</t>
  </si>
  <si>
    <t>MACELLONI, GIOVANNI/0000-0002-9738-7939; Heygster, Georg/0000-0003-2232-7429; Notholt, Justus/0000-0002-3324-885X; Bindlish, Rajat/0000-0002-1913-0353</t>
  </si>
  <si>
    <t>0196-2892</t>
  </si>
  <si>
    <t>1558-0644</t>
  </si>
  <si>
    <t>IEEE T GEOSCI REMOTE</t>
  </si>
  <si>
    <t>IEEE Trans. Geosci. Remote Sensing</t>
  </si>
  <si>
    <t>10.1109/TGRS.2009.2032295</t>
  </si>
  <si>
    <t>559BL</t>
  </si>
  <si>
    <t>WOS:000274794600007</t>
  </si>
  <si>
    <t>Shukla, RP; Mukherjee, S; Mittal, AK</t>
  </si>
  <si>
    <t>Shukla, Ravi Prakash; Mukherjee, Sandipan; Mittal, Ashok Kumar</t>
  </si>
  <si>
    <t>COMPARISON OF GENERALIZED COMPETITIVE MODES AND RETURN MAPS FOR CHARACTERIZING DIFFERENT TYPES OF CHAOTIC ATTRACTORS IN CHEN SYSTEM</t>
  </si>
  <si>
    <t>INTERNATIONAL JOURNAL OF BIFURCATION AND CHAOS</t>
  </si>
  <si>
    <t>Lorenz attractor; Lu attractor; Chen attractor; generalized competitive modes; return maps</t>
  </si>
  <si>
    <t>LORENZ MODEL; BIFURCATION-ANALYSIS; REGIME CHANGES; PREDICTION</t>
  </si>
  <si>
    <t>The Chen system of equations exhibits Lorenz, Transition, Chen and Transverse 8 type of chaotic attractors depending on the system parameters. Some authors have proposed a generalized competitive mode (GCM) technique to explain the topological difference between the Lorenz attractor and the Chen attractor. In this paper, we show a range of parameter values for which the nature of the topological attractor for the Chen system is not in accordance with that expected from GCM analysis. Instead, we find that return maps can be used to characterize the transition between different types of attractors more reliably.</t>
  </si>
  <si>
    <t>[Shukla, Ravi Prakash; Mukherjee, Sandipan] Univ Allahabad, Inst Interdisciplinary Studies, K Banerjee Ctr Atmospher &amp; Ocean Studies, Allahabad 211002, Uttar Pradesh, India; [Mittal, Ashok Kumar] Univ Allahabad, Dept Phys, K Banerjee Ctr Atmospher &amp; Ocean Studies, Allahabad 211002, Uttar Pradesh, India; [Mittal, Ashok Kumar] Univ Allahabad, Inst Interdisciplinary Studies, MN Saha Ctr Space Studies, Allahabad 211002, Uttar Pradesh, India</t>
  </si>
  <si>
    <t>University of Allahabad; University of Allahabad; University of Allahabad</t>
  </si>
  <si>
    <t>Shukla, RP (corresponding author), Univ Allahabad, Inst Interdisciplinary Studies, K Banerjee Ctr Atmospher &amp; Ocean Studies, Allahabad 211002, Uttar Pradesh, India.</t>
  </si>
  <si>
    <t>ravishuklaprakash@yahoo.com; mukherjee.sandipan@rediffmail.com; mittals79@hotmail.com</t>
  </si>
  <si>
    <t>Mukherjee, Sandipan/I-5970-2014; Shukla, Ravi Prakash/JVP-0271-2024</t>
  </si>
  <si>
    <t>Mukherjee, Sandipan/0000-0001-7299-0304; Shukla, Ravi Prakash/0000-0001-7492-5848</t>
  </si>
  <si>
    <t>National Center for Antarctic and Ocean Research (NCAOR), Goa, MoES, India</t>
  </si>
  <si>
    <t>The authors thank National Center for Antarctic and Ocean Research (NCAOR), Goa, MoES, India for financial support.</t>
  </si>
  <si>
    <t>WORLD SCIENTIFIC PUBL CO PTE LTD</t>
  </si>
  <si>
    <t>SINGAPORE</t>
  </si>
  <si>
    <t>5 TOH TUCK LINK, SINGAPORE 596224, SINGAPORE</t>
  </si>
  <si>
    <t>0218-1274</t>
  </si>
  <si>
    <t>INT J BIFURCAT CHAOS</t>
  </si>
  <si>
    <t>Int. J. Bifurcation Chaos</t>
  </si>
  <si>
    <t>10.1142/S0218127410026022</t>
  </si>
  <si>
    <t>Mathematics, Interdisciplinary Applications; Multidisciplinary Sciences</t>
  </si>
  <si>
    <t>Mathematics; Science &amp; Technology - Other Topics</t>
  </si>
  <si>
    <t>616VK</t>
  </si>
  <si>
    <t>WOS:000279238400014</t>
  </si>
  <si>
    <t>Roters, B; Henrich, R</t>
  </si>
  <si>
    <t>Roters, Bastian; Henrich, Ruediger</t>
  </si>
  <si>
    <t>The middle to late Miocene climatic development of Southwest Africa derived from the sedimentological record of ODP Site 1085A</t>
  </si>
  <si>
    <t>INTERNATIONAL JOURNAL OF EARTH SCIENCES</t>
  </si>
  <si>
    <t>South West Africa; Middle and late Miocene; Climate cooling; Aridification; Grain size analysis</t>
  </si>
  <si>
    <t>GLOBAL SEA-LEVEL; BENGUELA UPWELLING SYSTEM; GRAIN-SIZE DISTRIBUTIONS; SOUTHERN-OCEAN; WALVIS RIDGE; SEDIMENTS; ATLANTIC; CARBONATE; SITE-1085; FLUCTUATIONS</t>
  </si>
  <si>
    <t>Sediments from the ODP Site 1085A were studied to investigate the impacts of global cooling in the Middle and Late Miocene on the climate in Southwestern Africa. The size composition of the sediment was analysed emphasising the silt fraction. A comparison with the modern grain size distribution and suitable transport processes made it possible to assign specific transport processes to the grain size composition. Three processes are considered for transport of terrigeneous silt: while there was no evidence found for (1) transport by ocean currents, the analyses showed signals of (2) wind transport indicating dry conditions associated with a cool climate and (3) fluvial transport that points to humid and warm conditions. Three climatic phases were defined. The first phase from 13.8 to 11.8 Myr reveals a stable humid climate in Southwest Africa independent of the Antarctic glaciations. During the second phase from 11.8 to 10.4 Myr the regional climate cooled considerably but was not drier. Additionally, the climate during this phase reacted to the Antarctic glaciations. This cooling-trend continued during phase 3 from 10.4 to 9.0 Myr with a significant increase in dust input, pointing to overall drier conditions. However, fluvial transport still remained as the main source.</t>
  </si>
  <si>
    <t>[Roters, Bastian] Univ Bremen, MARUM, Ctr Marine Environm Sci, D-28334 Bremen, Germany; [Henrich, Ruediger] Univ Bremen, Dept Geosci, D-28334 Bremen, Germany</t>
  </si>
  <si>
    <t>University of Bremen; University of Bremen</t>
  </si>
  <si>
    <t>Roters, B (corresponding author), Fronterra Geosci GmbH, Landstrasser Hauptstr 101,3 Altstiege,TOP A6, A-1030 Vienna, Austria.</t>
  </si>
  <si>
    <t>b.roters@fronterrageo.com</t>
  </si>
  <si>
    <t>DFG Research Center/Excellence Cluster The Ocean in the Earth System</t>
  </si>
  <si>
    <t>DFG Research Center/Excellence Cluster The Ocean in the Earth System(German Research Foundation (DFG))</t>
  </si>
  <si>
    <t>We are thankful for various comments from the colleagues in the SedPal working group. David Heslop is thanked for additional comments and proofreading. Critical reviews by Dan Bosence and an anonymus reviewer improved the quality of this paper. Helga Heilmann and Brit Kockisch are thanked for laboratory assistance. Dorothee Koch is thanked for work on sample preparation. This research used samples and/or data provided by the International Ocean Drilling Program (IODP). This study was funded through the DFG Research Center/Excellence Cluster The Ocean in the Earth System''.</t>
  </si>
  <si>
    <t>1437-3254</t>
  </si>
  <si>
    <t>INT J EARTH SCI</t>
  </si>
  <si>
    <t>Int. J. Earth Sci.</t>
  </si>
  <si>
    <t>10.1007/s00531-008-0398-9</t>
  </si>
  <si>
    <t>553SA</t>
  </si>
  <si>
    <t>WOS:000274385900013</t>
  </si>
  <si>
    <t>Buzin, IV</t>
  </si>
  <si>
    <t>Buzin, Igor V.</t>
  </si>
  <si>
    <t>On the Spreading of Old Ice in the Barents Sea</t>
  </si>
  <si>
    <t>INTERNATIONAL JOURNAL OF OFFSHORE AND POLAR ENGINEERING</t>
  </si>
  <si>
    <t>Barents Sea; old ice; distribution; concentration; floe size</t>
  </si>
  <si>
    <t>EXTENT</t>
  </si>
  <si>
    <t>This article contains an analysis of the distribution of old ice in the Barents Sea for the 1955-2007 period. The archived, comprehensive ice charts, drawn on the basis of the results of ice air reconnaissance and satellite data, have been analyzed. Cases of intrusion of old ice southward of 78 degrees N have been examined, coordinates of boundaries of its distribution zones measured, and information on old-ice partial concentration and Hoe sizes obtained. These data were used to reflect old-ice spatial and temporal variations of concentration and floe sizes, and to get probability assessments of its distribution in the Barents Sea as well.</t>
  </si>
  <si>
    <t>Arctic &amp; Antarctic Res Inst, Arctic Shelf Lab, St Petersburg 199226, Russia</t>
  </si>
  <si>
    <t>Buzin, IV (corresponding author), Arctic &amp; Antarctic Res Inst, Arctic Shelf Lab, St Petersburg 199226, Russia.</t>
  </si>
  <si>
    <t>INT SOC OFFSHORE POLAR ENGINEERS</t>
  </si>
  <si>
    <t>CUPERTINO</t>
  </si>
  <si>
    <t>PO BOX 189, CUPERTINO, CA 95015-0189 USA</t>
  </si>
  <si>
    <t>1053-5381</t>
  </si>
  <si>
    <t>INT J OFFSHORE POLAR</t>
  </si>
  <si>
    <t>Int. J. Offshore Polar Eng.</t>
  </si>
  <si>
    <t>Engineering, Civil; Engineering, Ocean; Engineering, Mechanical</t>
  </si>
  <si>
    <t>568AC</t>
  </si>
  <si>
    <t>WOS:000275491800009</t>
  </si>
  <si>
    <t>Ross, T; Lavery, A</t>
  </si>
  <si>
    <t>Ross, Tetjana; Lavery, Andone</t>
  </si>
  <si>
    <t>Acoustic Detection of Oceanic Double-Diffusive Convection: A Feasibility Study</t>
  </si>
  <si>
    <t>JOURNAL OF ATMOSPHERIC AND OCEANIC TECHNOLOGY</t>
  </si>
  <si>
    <t>TEMPERATURE; SCATTERING; DISSIPATION; FREQUENCY; SOUND</t>
  </si>
  <si>
    <t>The feasibility of using high-frequency acoustic scattering techniques to map the extent and evolution of the diffusive regime of double-diffusive convection in the ocean is explored. A scattering model developed to describe acoustic scattering from double-diffusive interfaces in the laboratory, which accounted for much of the measured scattering in the frequency range from 200 to 600 kHz, is used in conjunction with published in situ observations of diffusive-convection interfaces to make predictions of acoustic scattering from oceanic double-diffusive interfaces. Detectable levels of acoustic scattering are predicted for a range of different locations in the world's oceans. To corroborate these results, thin acoustic layers detected near the western Antarctic Peninsula using a multifrequency acoustic backscattering system are shown to be consistent with scattering from diffusive-convection interfaces.</t>
  </si>
  <si>
    <t>[Ross, Tetjana] Dalhousie Univ, Dept Oceanog, Halifax, NS B3H 4J1, Canada; [Lavery, Andone] Woods Hole Oceanog Inst, Woods Hole, MA 02543 USA</t>
  </si>
  <si>
    <t>Dalhousie University; Woods Hole Oceanographic Institution</t>
  </si>
  <si>
    <t>Ross, T (corresponding author), Dalhousie Univ, Dept Oceanog, Halifax, NS B3H 4J1, Canada.</t>
  </si>
  <si>
    <t>tetjana@dal.ca</t>
  </si>
  <si>
    <t>Ross, Tetjana/E-4073-2010</t>
  </si>
  <si>
    <t>Ross, Tetjana/0000-0002-3351-2622</t>
  </si>
  <si>
    <t>Natural Sciences and Engineering Research Council of Canada; University Faculty Award</t>
  </si>
  <si>
    <t>Natural Sciences and Engineering Research Council of Canada(Natural Sciences and Engineering Research Council of Canada (NSERC)CGIAR); University Faculty Award</t>
  </si>
  <si>
    <t>Many thanks to the researchers in the Southern Ocean GLOBEC project for sharing their data and their time, most notably Peter Wiebe and Gareth Lawson (BIOMAPER-II), Laurie Padman (CMiPS), and Bob Beardsley (transmissometer). We are grateful to Max Li, a Woods Hole Oceanographic Institution (WHOI) Summer Student Fellow, who did the preliminary analysis of the Antarctic data, including the analysis of the MOCNESS net tows and some initial acoustic analysis. TR is grateful to the Natural Sciences and Engineering Research Council of Canada Discovery Grant and University Faculty Award Programs, which support her work at Dalhousie University.</t>
  </si>
  <si>
    <t>45 BEACON ST, BOSTON, MA 02108-3693 USA</t>
  </si>
  <si>
    <t>0739-0572</t>
  </si>
  <si>
    <t>1520-0426</t>
  </si>
  <si>
    <t>J ATMOS OCEAN TECH</t>
  </si>
  <si>
    <t>J. Atmos. Ocean. Technol.</t>
  </si>
  <si>
    <t>10.1175/2009JTECHO696.1</t>
  </si>
  <si>
    <t>Engineering, Ocean; Meteorology &amp; Atmospheric Sciences</t>
  </si>
  <si>
    <t>Engineering; Meteorology &amp; Atmospheric Sciences</t>
  </si>
  <si>
    <t>569DX</t>
  </si>
  <si>
    <t>WOS:000275577600011</t>
  </si>
  <si>
    <t>Van der Putten, N; Verbruggen, C; Ochyra, R; Verleyen, E; Frenot, Y</t>
  </si>
  <si>
    <t>Van der Putten, Nathalie; Verbruggen, Cyriel; Ochyra, Ryszard; Verleyen, Elie; Frenot, Yves</t>
  </si>
  <si>
    <t>Subantarctic flowering plants: pre-glacial survivors or post-glacial immigrants?</t>
  </si>
  <si>
    <t>Endemism; glacial refugia; LGM ice cover; palaeobotany; phanerogamic flora; post-glacial immigration; pre-LGM survivors; regionalism; subantarctic islands</t>
  </si>
  <si>
    <t>SOUTH-GEORGIA; MARION ISLAND; VEGETATION; EXTENT; DEGLACIATION; CALIBRATION; IMPACTS; HISTORY; RECORD; COVER</t>
  </si>
  <si>
    <t>Aim The aim here was to assess whether the present-day assemblage of subantarctic flowering plants is the result of a rapid post-Last Glacial Maximum (LGM) colonization or whether subantarctic flowering plants survived on the islands in glacial refugia throughout the LGM. Location The circumpolar subantarctic region, comprising six remote islands and island groups between latitudes 46 degrees and 55 degrees S, including South Georgia in the South Atlantic Ocean, the Prince Edward Islands, Iles Crozet, Iles Kerguelen, the Heard Island group in the South Indian Ocean and Macquarie Island in the South Pacific Ocean. Methods Floristic affinities between the subantarctic islands were assessed by cluster analysis applied to an up-to-date dataset of the phanerogamic flora in order to test for the existence of provincialism within the subantarctic. A review of the primary literature on the palaeobotany, geology and glacial history of the subantarctic islands was carried out and supplemented with additional palaeobotanical data and new field observations from South Georgia, Ile de la Possession (Iles Crozet) and Iles Kerguelen. Results First, a strong regionalism was observed, with different floras characterizing the islands in each of the ocean basins, and endemic species being present in the South Indian Ocean and South Pacific Ocean provinces. Second, the majority of the plant species were present at the onset of accumulation of post-glacial organic sediment and there is no evidence for the natural arrival of new immigrants during the subsequent period. Third, a review of geomorphological data suggested that the ice cover was incomplete during the LGM on the majority of the islands, and ice-free biological refugia were probably present even on the most glaciated islands. Main conclusions Several independent lines of evidence favour the survival of a native subantarctic phanerogamic flora in local refugia during the LGM rather than a post-LGM colonization from more distant temperate landmasses in the Southern Hemisphere.</t>
  </si>
  <si>
    <t>[Van der Putten, Nathalie; Verbruggen, Cyriel] Univ Ghent, Dept Geog, B-9000 Ghent, Belgium; [Van der Putten, Nathalie] Univ Paul Cezanne, IMEP, CNRS UMR 6116, F-13545 Aix En Provence 04, France; [Ochyra, Ryszard] Polish Acad Sci, Inst Bot, Lab Bryol, PL-31512 Krakow, Poland; [Verleyen, Elie] Univ Ghent, Dept Biol, Sect Protistol &amp; Aquat Ecol, B-9000 Ghent, Belgium; [Frenot, Yves] Univ Rennes 1, CNRS, UMR ECOBIO, F-29280 Plouzane, France; [Frenot, Yves] Inst Polaire Francais Paul Emile Victor IPEV, F-29280 Plouzane, France</t>
  </si>
  <si>
    <t>Ghent University; Aix-Marseille Universite; Polish Academy of Sciences; Ghent University; Centre National de la Recherche Scientifique (CNRS); Universite de Bretagne Occidentale; Universite de Rennes</t>
  </si>
  <si>
    <t>Van der Putten, N (corresponding author), Univ Ghent, Dept Geog, Krijgslaan 281 S8, B-9000 Ghent, Belgium.</t>
  </si>
  <si>
    <t>nathalie.vanderputten@ugent.be</t>
  </si>
  <si>
    <t>Frenot, Yves/0000-0003-2666-1272; Van der Putten, Nathalie/0000-0002-0271-9321; Ochyra, Ryszard/0000-0002-2541-0722</t>
  </si>
  <si>
    <t>British Antarctic Survey; French Polar Institute [IPEV 136]; CNRS; Ghent University [BOF-0111 2005]; Polish Ministry of Science and Higher Education [2 P04G 043 29]</t>
  </si>
  <si>
    <t>British Antarctic Survey; French Polar Institute; CNRS(Centre National de la Recherche Scientifique (CNRS)); Ghent University(Ghent University); Polish Ministry of Science and Higher Education(Ministry of Science and Higher Education, Poland)</t>
  </si>
  <si>
    <t>This research was made possible by the logistic support of the British Antarctic Survey, the French Polar Institute (programme IPEV 136) and the CNRS (Zone Atelier de Recherches sur l'Environnement Antarctique et Subantarctique). We would like to thank R.I. Lewis Smith and N. Gremmen for interesting discussions. D. Bergstrom (Macquarie and Heard Island) and H. Peat (South Georgia) are thanked for their help with building the flowering plant species dataset. Pim (W.O.) van der Knaap, Dominic A. Hodgson and John Birks provided very useful comments on previous versions of the manuscript. Funding was provided by Ghent University (BOF-0111 2005) and the Polish Ministry of Science and Higher Education (grant No. 2 P04G 043 29 for RO). E.V. is a post-doctoral research fellow with the Fund for Scientific Research Flanders, Belgium.</t>
  </si>
  <si>
    <t>10.1111/j.1365-2699.2009.02217.x</t>
  </si>
  <si>
    <t>548GZ</t>
  </si>
  <si>
    <t>WOS:000273949700018</t>
  </si>
  <si>
    <t>Pisias, NG; Clark, PU; Brook, EJ</t>
  </si>
  <si>
    <t>Pisias, Nicklas G.; Clark, Peter U.; Brook, Edward J.</t>
  </si>
  <si>
    <t>Modes of Global Climate Variability during Marine Isotope Stage 3 (60-26 ka)</t>
  </si>
  <si>
    <t>LAST GLACIAL PERIOD; GREENLAND ICE-CORES; FLUCTUATIONS; CIRCULATION; ANTARCTICA; RECORD; GISP2</t>
  </si>
  <si>
    <t>Recent analysis of 38 globally distributed paleoclimatic records covering Marine Isotope Stage 3 (MIS 3) 60-26 ka demonstrated that the two leading empirical orthogonal functions (EOFs) explaining the data are the Greenland ice-core signal (northern'' signal) and the Antarctic ice-core signal (southern'' signal). Here singular spectral analysis (SSA) is used to show that millennial-scale variability of each of these two leading EOFs is characterized by two independent modes. The two modes of each EOF share similar relative distributions of variance, identical spectra, and, where each mode has spectral power, coherency spectra, which are significantly above the null hypothesis level at 95% confidence. The only difference between the modes of the northern and southern signals is that they are phase shifted. The phasing and long response time of the low-frequency mode, combined with its relationship to atmospheric CO2 and sea level, are consistent with coupled changes in the ocean, ice sheets, atmosphere, and carbon cycle, whereas the phasing and short response time of the high-frequency mode are consistent with an atmospheric transmission likely induced by changes in hemispheric sea ice distributions and attendant feedbacks.</t>
  </si>
  <si>
    <t>[Pisias, Nicklas G.] Oregon State Univ, Coll Ocean &amp; Atmospher Sci, Corvallis, OR 97331 USA; [Clark, Peter U.; Brook, Edward J.] Oregon State Univ, Dept Geosci, Corvallis, OR 97331 USA</t>
  </si>
  <si>
    <t>Oregon State University; Oregon State University</t>
  </si>
  <si>
    <t>Pisias, NG (corresponding author), Oregon State Univ, Coll Ocean &amp; Atmospher Sci, Corvallis, OR 97331 USA.</t>
  </si>
  <si>
    <t>pisias@coas.oregonstate.edu</t>
  </si>
  <si>
    <t>Brook, Edward/AAB-7807-2021</t>
  </si>
  <si>
    <t>NSF</t>
  </si>
  <si>
    <t>We thank Carl Wunsch for helpful discussions, and Mark Siddall and two reviewers for reviews. The NSF Paleoclimate Program supported this research.</t>
  </si>
  <si>
    <t>10.1175/2009JCLI3416.1</t>
  </si>
  <si>
    <t>572KH</t>
  </si>
  <si>
    <t>WOS:000275830100019</t>
  </si>
  <si>
    <t>Charlier, RH</t>
  </si>
  <si>
    <t>Charlier, Roger H.</t>
  </si>
  <si>
    <t>Philatelic Panorama of Some Belgian Antarctic Marine Contributions, 19th-21st Centuries: From Belgica to Princess Elisabeth</t>
  </si>
  <si>
    <t>JOURNAL OF COASTAL RESEARCH</t>
  </si>
  <si>
    <t>Belgium has been interested in and involved in Antarctic studies for over a century. The name of Adrien de Gerlache is indelibly linked with that of his ship, the Belgica, the first vessel to ever spend a winter trapped in the ice of the southern continent. The former Norwegian sealer-whaler had a multinational crew of scientists and sailors. If it brought back a trove of information, it also did a tale of hardships and fears. The postal administration of Belgium and to a more modest extent that of Romania and Poland have illustrated the expedition, its anniversaries, and the further research carried out by Belgians in Antarctica. The Belgica was sunk by the German invasion forces in World War II. Efforts are underway to refloat the vessel and make it into a museum, as was done, e.g., for the Fram.</t>
  </si>
  <si>
    <t>[Charlier, Roger H.] Vrije Univ Brussel, B-1050 Brussels, Belgium; [Charlier, Roger H.] Florida Atlantic Univ, Dept Geosci, Boca Raton, FL 33431 USA</t>
  </si>
  <si>
    <t>Vrije Universiteit Brussel; State University System of Florida; Florida Atlantic University</t>
  </si>
  <si>
    <t>Charlier, RH (corresponding author), Vrije Univ Brussel, Pl Laan 2, B-1050 Brussels, Belgium.</t>
  </si>
  <si>
    <t>rocharli@vub.ac.be</t>
  </si>
  <si>
    <t>COASTAL EDUCATION &amp; RESEARCH FOUNDATION</t>
  </si>
  <si>
    <t>COCONUT CREEK</t>
  </si>
  <si>
    <t>5130 NW 54TH STREET, COCONUT CREEK, FL 33073 USA</t>
  </si>
  <si>
    <t>0749-0208</t>
  </si>
  <si>
    <t>1551-5036</t>
  </si>
  <si>
    <t>J COASTAL RES</t>
  </si>
  <si>
    <t>J. Coast. Res.</t>
  </si>
  <si>
    <t>10.2112/09A-0003.1</t>
  </si>
  <si>
    <t>578WV</t>
  </si>
  <si>
    <t>WOS:000276328400016</t>
  </si>
  <si>
    <t>Deigweiher, K; Hirse, T; Bock, C; Lucassen, M; Pörtner, HO</t>
  </si>
  <si>
    <t>Deigweiher, Katrin; Hirse, Timo; Bock, Christian; Lucassen, Magnus; Poertner, Hans O.</t>
  </si>
  <si>
    <t>Hypercapnia induced shifts in gill energy budgets of Antarctic notothenioids</t>
  </si>
  <si>
    <t>JOURNAL OF COMPARATIVE PHYSIOLOGY B-BIOCHEMICAL SYSTEMS AND ENVIRONMENTAL PHYSIOLOGY</t>
  </si>
  <si>
    <t>Isolated perfused gill respiration; Gobionotothen gibberifrons; Notothenia coriiceps; Ouabain; Cycloheximide; Actinomycin D</t>
  </si>
  <si>
    <t>INVERTEBRATE SIPUNCULUS-NUDUS; ATP-CONSUMING PROCESSES; TROUT SALMO-GAIRDNERI; ACID-BASE REGULATION; OXYGEN-CONSUMPTION; H+-ATPASE; ENVIRONMENTAL HYPERCAPNIA; METABOLIC-RATE; FISH GILL; ADENOSINE TRIPHOSPHATASE</t>
  </si>
  <si>
    <t>Mechanisms responsive to hypercapnia (elevated CO2 concentrations) and shaping branchial energy turnover were investigated in isolated perfused gills of two Antarctic Notothenioids (Gobionotothen gibberifrons, Notothenia coriiceps). Branchial oxygen consumption was measured under normo- versus hypercapnic conditions (10,000 ppm CO2) at high extracellular pH values. The fractional costs of ion regulation, protein and RNA synthesis in the energy budgets were determined using specific inhibitors. Overall gill energy turnover was maintained under pH compensated hypercapnia in both Antarctic species as well as in a temperate zoarcid (Zoarces viviparus). However, fractional energy consumption by the examined processes rose drastically in G. gibberifrons (100-180%), and to a lesser extent in N. coriiceps gills (7-56%). In conclusion, high CO2 concentrations under conditions of compensated acidosis induce cost increments in epithelial processes, however, at maintained overall rates of branchial energy turnover.</t>
  </si>
  <si>
    <t>[Deigweiher, Katrin; Hirse, Timo; Bock, Christian; Lucassen, Magnus; Poertner, Hans O.] Alfred Wegener Inst Polar &amp; Marine Res, D-27570 Bremerhaven, Germany</t>
  </si>
  <si>
    <t>Pörtner, HO (corresponding author), Alfred Wegener Inst Polar &amp; Marine Res, Handelshafen 12, D-27570 Bremerhaven, Germany.</t>
  </si>
  <si>
    <t>katrin.deigweiher@googlemail.com; Hans.Poertner@awi.de</t>
  </si>
  <si>
    <t>Pörtner, Hans-O./ISU-9397-2023; Lucassen, Magnus/E-8433-2011; Bock, Christian/B-4421-2017; Lucassen, Magnus/ABA-8396-2021; Pörtner, Hans-O./K-9429-2016</t>
  </si>
  <si>
    <t>Bock, Christian/0000-0003-0052-3090; Lucassen, Magnus/0000-0003-4276-4781; Pörtner, Hans-O./0000-0001-6535-6575</t>
  </si>
  <si>
    <t>European Community [FP7/2007-2013]; Alfred Wegener Institute; Federal Ministry of Research, Germany; University of Bremen</t>
  </si>
  <si>
    <t>European Community; Alfred Wegener Institute; Federal Ministry of Research, Germany; University of Bremen</t>
  </si>
  <si>
    <t>The authors would like to thank Zora Zittier, Olaf Heilmeyer, Karl- Hermann Kock and his group and the Crew of Jubany Station and RV 'Polarstern' during cruise ANTXXIII/8 for their unfailing and excellent help in fish catching, maintenance and preparation. Furthermore, we want to thank Erich Dunker for constructing the sophisticated respiration chambers and Gijs de Rue for expert support with the technical drawings. This work is a contribution to the European Project on Ocean Acidification'' (EPOCA) which received funding from the European Community's Seventh Framework Programme (FP7/2007-2013) under grant agreement no. 211384. It is also a contribution to the PACES research program of the Alfred Wegener Institute and the BIOACD program funded by the Federal Ministry of Research, Germany. The study was supported by a student grant of the University of Bremen.</t>
  </si>
  <si>
    <t>0174-1578</t>
  </si>
  <si>
    <t>1432-136X</t>
  </si>
  <si>
    <t>J COMP PHYSIOL B</t>
  </si>
  <si>
    <t>J. Comp. Physiol. B-Biochem. Syst. Environ. Physiol.</t>
  </si>
  <si>
    <t>10.1007/s00360-009-0413-x</t>
  </si>
  <si>
    <t>Physiology; Zoology</t>
  </si>
  <si>
    <t>554TM</t>
  </si>
  <si>
    <t>WOS:000274457300004</t>
  </si>
  <si>
    <t>Kang, NS; Jeong, HJ; Moestrup, O; Shin, W; Nam, SW; Park, JY; De Salas, MF; Kim, KW; Noh, JH</t>
  </si>
  <si>
    <t>Kang, Nam Seon; Jeong, Hae Jin; Moestrup, Ojvind; Shin, Woongghi; Nam, Seung Won; Park, Jae Yeon; De Salas, Miguel F.; Kim, Ki Woo; Noh, Jae Hoon</t>
  </si>
  <si>
    <t>Description of a New Planktonic Mixotrophic Dinoflagellate Paragymnodinium shiwhaense n. gen., n. sp from the Coastal Waters off Western Korea: Morphology, Pigments, and Ribosomal DNA Gene Sequence</t>
  </si>
  <si>
    <t>JOURNAL OF EUKARYOTIC MICROBIOLOGY</t>
  </si>
  <si>
    <t>Dinoflagellate taxonomy; LSU; nematocyst; peduncle; SSU</t>
  </si>
  <si>
    <t>SP-NOV GYMNODINIALES; ELECTRON-MICROSCOPIC OBSERVATIONS; LSU RDNA SEQUENCES; FLAGELLAR APPARATUS; LAKE TOVEL; COMB. NOV; AMPHIDINIUM DINOPHYCEAE; PHYLOGENETIC ANALYSES; GREEN DINOFLAGELLATE; FEEDING-BEHAVIOR</t>
  </si>
  <si>
    <t>The mixotrophic dinoflagellate Paragymnodinium shiwhaense n. gen., n. sp. is described from living cells and from cells prepared by light, scanning electron, and transmission electron microscopy. In addition, sequences of the small subunit (SSU) and large subunit (LSU) rDNA and photosynthetic pigments are reported. The episome is conical, while the hyposome is hemispherical. Cells are covered with polygonal amphiesmal vesicles arranged in 16 rows and containing a very thin plate-like component. There is neither an apical groove nor apical line of narrow plates. Instead, there is a sulcal extension-like furrow. The cingulum is as wide as 0.2-0.3 x cell length and displaced by 0.2-0.3 x cell length. Cell length and width of live cells fed Amphidinium carterae were 8.4-19.3 and 6.1-16.0 mu m, respectively. Paragymnodinium shiwhaense does not have a nuclear envelope chamber nor a nuclear fibrous connective (NFC). Cells contain chloroplasts, nematocysts, trichocysts, and peduncle, though eyespots, pyrenoids, and pusules are absent. The main accessory pigment is peridinin. The sequence of the SSU rDNA of this dinoflagellate (GenBank AM408889) is 4% different from that of Gymnodinium aureolum, Lepidodinium viride, and Gymnodinium catenatum, the three closest species, while the LSU rDNA was 17-18% different from that of G. catenatum, Lepidodinium chlorophorum, and Gymnodinium nolleri. The phylogenetic trees show that this dinoflagellate belongs within the Gymnodinium sensu stricto clade. However, in contrast to Gymnodinium spp., cells lack nuclear envelope chambers, NFC, and an apical groove. Unlike Polykrikos spp., which have a taeniocyst-nematocyst complex, P. shiwhaense has nematocysts without taeniocysts. In addition, P. shiwhaense does not have ocelloids in contrast to Warnowia spp. and Nematodinium spp. Therefore, based on morphological and molecular analyses, we suggest that this taxon is a new species, also within a new genus.</t>
  </si>
  <si>
    <t>[Kang, Nam Seon; Jeong, Hae Jin] Seoul Natl Univ, Coll Nat Sci, Sch Earth &amp; Environm Sci, Seoul 151747, South Korea; [Moestrup, Ojvind] Univ Copenhagen, Inst Biol, Sect Phycol, DK-1353 Copenhagen K, Denmark; [Shin, Woongghi; Nam, Seung Won] Chungnam Natl Univ, Dept Biol, Taejon 305764, South Korea; [Park, Jae Yeon] Seoul Natl Univ Gyeonggi Prov, Resource Inst, Adv Inst Convergence Technol, Suwon 443270, South Korea; [De Salas, Miguel F.] Australian Antarctic Div, Kingston, Tas 7050, Australia; [Kim, Ki Woo] Seoul Natl Univ, Natl Instrumentat Ctr Environm Management, Coll Agr &amp; Life Sci, Seoul 151921, South Korea; [Noh, Jae Hoon] KORDI, Marine Resources Res Dept, Gyeonggi Do 425600, South Korea</t>
  </si>
  <si>
    <t>Seoul National University (SNU); University of Copenhagen; Chungnam National University; Australian Antarctic Division; Seoul National University (SNU); Korea Institute of Ocean Science &amp; Technology (KIOST)</t>
  </si>
  <si>
    <t>Jeong, HJ (corresponding author), Seoul Natl Univ, Coll Nat Sci, Sch Earth &amp; Environm Sci, Seoul 151747, South Korea.</t>
  </si>
  <si>
    <t>hjjeong@snu.ac.kr</t>
  </si>
  <si>
    <t>Shin, Woongghi/D-5677-2013; Jeong, hae jin/B-8908-2009; Kim, Ki Woo/AAC-5623-2022</t>
  </si>
  <si>
    <t>Kim, Ki Woo/0000-0002-7010-0336; Jeong, Hae Jin/0000-0003-3310-4335; Nam, Seung Won/0000-0002-8722-5223; Shin, Woongghi/0000-0001-7926-732X; Moestrup, Ojvind/0000-0003-0965-8645</t>
  </si>
  <si>
    <t>NRF [2009-0058298]; KIMST/MLTM</t>
  </si>
  <si>
    <t>NRF; KIMST/MLTM</t>
  </si>
  <si>
    <t>We are grateful to Dr. Gert Hansen for valuable comments, Drs. Carolyn Bird and Jaewon Ahn for Latin diagnosis, and Jae Seong Kim, Yeung Du Yoo, and Seung Mok Rho for technical support. This paper was funded by grants from NRF (2009-0058298) and KIMST/MLTM award to H. J. Jeong.</t>
  </si>
  <si>
    <t>1066-5234</t>
  </si>
  <si>
    <t>1550-7408</t>
  </si>
  <si>
    <t>J EUKARYOT MICROBIOL</t>
  </si>
  <si>
    <t>J. Eukaryot. Microbiol.</t>
  </si>
  <si>
    <t>10.1111/j.1550-7408.2009.00462.x</t>
  </si>
  <si>
    <t>563AS</t>
  </si>
  <si>
    <t>WOS:000275098400003</t>
  </si>
  <si>
    <t>Chen, ZZ; Ye, H; Zhou, LH; Cheng, CHC; Chen, LBA</t>
  </si>
  <si>
    <t>Chen, Zuozhou; Ye, Hua; Zhou, Longhai; Cheng, Chi-Hing C.; Chen, Liangbiao</t>
  </si>
  <si>
    <t>A gene family-based method for interspecies comparisons of sequencing-based transcriptomes and its use in environmental adaptation analysis</t>
  </si>
  <si>
    <t>JOURNAL OF GENETICS AND GENOMICS</t>
  </si>
  <si>
    <t>transcriptome comparison; EST; protein family; reference gene set</t>
  </si>
  <si>
    <t>GENOMIC EVOLUTION; EXPRESSION LEVELS; DIVERGENCE; PROFILES; ONTOLOGY; NUMBER</t>
  </si>
  <si>
    <t>We describe a new method for sequencing-based cross-species transcriptome comparisons and define a new metric for evaluating gene expression across species using protein-coding families as units of comparison. Using this measure transcriptomes from different species were evaluated by mapping them to gene families and integrating the mapping results with expression data. Statistical tests were applied to the transcriptome evaluation results to identify differentially expressed families. A Perl program named Pro-Diff was compiled to implement this method. To evaluate the method and provide an example of its use, two liver EST transcriptomes from two closely related fish that live in different temperature zones were compared. One EST library was from a recent sequencing project of Dissosticus mawsoni, a fish that lives in cold Antarctic sea waters, while the other was newly sequenced data (available at: http://www.fishgenome.org/polarbank/) from Notothenia angustata, a species that lives in temperate near-shore water of southern New Zealand. Results from the comparison were consistent with results inferred from phenotype differences and also with our previously published Gene Ontology-based method. The Pro-Diff program and operation manual can be downloaded from: http://www.fishgenome.org/download/Prodiff.rar.</t>
  </si>
  <si>
    <t>[Chen, Zuozhou; Ye, Hua; Zhou, Longhai; Chen, Liangbiao] Chinese Acad Sci, Inst Genet &amp; Dev Biol, Key Lab Mol &amp; Dev Biol, Beijing 100101, Peoples R China; [Cheng, Chi-Hing C.] Univ Illinois, Dept Anim Biol, Urbana, IL 61801 USA</t>
  </si>
  <si>
    <t>Chinese Academy of Sciences; Institute of Genetics &amp; Developmental Biology, CAS; University of Illinois System; University of Illinois Urbana-Champaign</t>
  </si>
  <si>
    <t>Chen, LBA (corresponding author), Chinese Acad Sci, Inst Genet &amp; Dev Biol, Key Lab Mol &amp; Dev Biol, Beijing 100101, Peoples R China.</t>
  </si>
  <si>
    <t>lbchen@genetics.ac.cn</t>
  </si>
  <si>
    <t>, liangbiao/0000-0002-0717-8536</t>
  </si>
  <si>
    <t>Ministry of Science and Technology of China [2006AA02Z331, 2004CB117404]; Chinese Academy of Sciences [KSCX2-YW-N-020]; NSF [OPP 0636696]</t>
  </si>
  <si>
    <t>Ministry of Science and Technology of China(Ministry of Science and Technology, China); Chinese Academy of Sciences(Chinese Academy of Sciences); NSF(National Science Foundation (NSF))</t>
  </si>
  <si>
    <t>The work was supported by the grants from the Ministry of Science and Technology of China (No. 2006AA02Z331 and 2004CB117404), the Key Project of Chinese Academy of Sciences (No. KSCX2-YW-N-020) to Liangbiao Chen, and NSF OPP 0636696 to C-H CC.</t>
  </si>
  <si>
    <t>1673-8527</t>
  </si>
  <si>
    <t>1873-5533</t>
  </si>
  <si>
    <t>J GENET GENOMICS</t>
  </si>
  <si>
    <t>J. Genet. Genomics</t>
  </si>
  <si>
    <t>10.1016/S1673-8527(09)60039-4</t>
  </si>
  <si>
    <t>Biochemistry &amp; Molecular Biology; Genetics &amp; Heredity</t>
  </si>
  <si>
    <t>575TO</t>
  </si>
  <si>
    <t>WOS:000276091500006</t>
  </si>
  <si>
    <t>Diyabalanage, T; Iken, KB; McClintock, JB; Amsler, CD; Baker, BJ</t>
  </si>
  <si>
    <t>Diyabalanage, Thushara; Iken, Katrin B.; McClintock, James B.; Amsler, Charles D.; Baker, Bill J.</t>
  </si>
  <si>
    <t>Palmadorins A-C, Diterpene Glycerides from the Antarctic Nudibranch Austrodoris kerguelenensis</t>
  </si>
  <si>
    <t>CARBON SKELETON; ACID GLYCERIDES; REVISION; ECOLOGY</t>
  </si>
  <si>
    <t>The nudibranch Austrodoris kerguelenensis is distributed widely around the Antarctic coast and continental shelves. Earlier collections front McMurdo Sound and the Weddell Sea shelf have afforded it Suite of diterpene glyceride esters, a compound class implicated as a chemical defense in nudibranchs. The present chemical investigation of A. kerguelenensis collected near Palmer Station on the Western Antarctic Peninsula has revealed additional examples, palmadorins A-C (1-3), Lis the first three members of a new series of elerodane diterpenes. In this paper we describe their isolation, structure elucidation, and stereochemical analysis using a combination of one- and two-dimensional NMR spectroscopy and wet chemical methods.</t>
  </si>
  <si>
    <t>[Diyabalanage, Thushara; Baker, Bill J.] Univ S Florida, Dept Chem, Tampa, FL 33620 USA; [Baker, Bill J.] Univ S Florida, Ctr Mol Divers Drug Design Discovery &amp; Delivery, Tampa, FL 33620 USA; [Iken, Katrin B.; McClintock, James B.; Amsler, Charles D.] Univ Alabama Birmingham, Dept Biol, Birmingham, AL 35294 USA</t>
  </si>
  <si>
    <t>State University System of Florida; University of South Florida; State University System of Florida; University of South Florida; University of Alabama System; University of Alabama Birmingham</t>
  </si>
  <si>
    <t>Baker, BJ (corresponding author), Univ S Florida, Dept Chem, Tampa, FL 33620 USA.</t>
  </si>
  <si>
    <t>b.jbaker@cas.usf.edu</t>
  </si>
  <si>
    <t>Baker, Bill/N-4312-2019</t>
  </si>
  <si>
    <t>Amsler, Charles/0000-0002-4843-3759</t>
  </si>
  <si>
    <t>National Science Foundation [OPP-9814538, OPP-0125818, OPP-9901076, OPP-0125152]</t>
  </si>
  <si>
    <t>We are indebted to a number of S-022 divers for collecting specimens, including D. Marting, K. Peters, J. Hubbard, C. Petrie, and A. Mahon. We would like to acknowledge the assistance of the staff of Raytheon Polar Services Company and the Antarctic support services of the National Science Foundation for providing logistical support. This research was facilitated by funding from the Office of Polar Programs of the National Science Foundation (OPP-9814538 and -0125818 to C.D.A. and J.B.M. OPP-9901076 and -0125152 to B.J.B.).</t>
  </si>
  <si>
    <t>10.1021/np900617m</t>
  </si>
  <si>
    <t>573CC</t>
  </si>
  <si>
    <t>WOS:000275885000022</t>
  </si>
  <si>
    <t>Sallée, JB; Speer, K; Rintoul, S; Wijffels, S</t>
  </si>
  <si>
    <t>Sallee, Jean-Baptiste; Speer, Kevin; Rintoul, Steve; Wijffels, S.</t>
  </si>
  <si>
    <t>Southern Ocean Thermocline Ventilation</t>
  </si>
  <si>
    <t>JOURNAL OF PHYSICAL OCEANOGRAPHY</t>
  </si>
  <si>
    <t>ANTARCTIC CIRCUMPOLAR CURRENT; WATER-MASS TRANSFORMATION; NORTH-ATLANTIC; INTERMEDIATE WATER; SUBDUCTING WATER; EDDY DIFFUSIVITY; CIRCULATION; PACIFIC; EDDIES; MODEL</t>
  </si>
  <si>
    <t>An approximate mass (volume) budget in the surface layer of the Southern Ocean is used to investigate the intensity and regional variability of the ventilation process, discussed here in terms of subduction and up-welling. Ventilation resulting from Ekman pumping is estimated from satellite winds, the geostrophic mean component is assessed from a climatology strengthened with Argo data, and the eddy-induced advection is included via the parameterization of Gent and McWilliams, together with eddy mixing estimates. All three components contribute significantly to ventilation. Finally, the seasonal cycle of the upper ocean is resolved using Argo data. The circumpolar-averaged circulation shows an upwelling in the Antarctic Intermediate Water (AAIW) density classes, which is carried north into a zone of dense Subantarctic Mode Water (SAMW) subduction. Although no consistent net production is found in the light SAMW density classes, a large subduction of Subtropical Mode Water (STMW) is observed. The STMW area is fed by convergence of a southward and a northward residual meridional circulation. The eddy-induced contribution is important for the water mass transport in the vicinity of the Antartic Circumpolar Current. It balances the horizontal northward Ekman transport as well as the vertical Ekman pumping. While the circumpolar-averaged upper cell structure is consistent with the average surface fluxes, it hides strong longitudinal regional variations and does not represent any local regime. Subduction shows strong regional variability with bathymetrically constrained hotspots of large subduction. These hotspots are consistent with the interior potential vorticity structure and circulation in the thermocline. Pools of SAMW and AAIW of different densities are found along the circumpolar belt in association with the regional pattern of subduction and interior circulation.</t>
  </si>
  <si>
    <t>[Sallee, Jean-Baptiste; Rintoul, Steve] CSIRO, CMAR, CAWCR, ACE CRC, Hobart, Tas 7000, Australia; [Speer, Kevin] Florida State Univ, Dept Oceanog, Tallahassee, FL 32306 USA</t>
  </si>
  <si>
    <t>Antarctic Climate &amp; Ecosystems Cooperative Research Centre (ACE CRC); Commonwealth Scientific &amp; Industrial Research Organisation (CSIRO); State University System of Florida; Florida State University</t>
  </si>
  <si>
    <t>Sallée, JB (corresponding author), CSIRO, CMAR, CAWCR, ACE CRC, Hobart, Tas 7000, Australia.</t>
  </si>
  <si>
    <t>Wijffels, Susan E/I-8215-2012; SALLEE, Jean baptiste/HDO-5355-2022; sallée, jean-baptiste/A-5837-2010; Rintoul, Stephen R/A-1471-2012</t>
  </si>
  <si>
    <t>Rintoul, Stephen R/0000-0002-7055-9876; Wijffels, Susan/0000-0002-4717-0811</t>
  </si>
  <si>
    <t>NSF [OCE-0822075, OCE-0612167, OCE-0622670]; CSIRO Office of the Chief Executive (OCE) Postdoctoral Fellowship; Australian Government's Cooperative Research Centre's; CSIRO Wealth from Oceans National Research Flagship; Division Of Ocean Sciences; Directorate For Geosciences [0822075] Funding Source: National Science Foundation</t>
  </si>
  <si>
    <t>NSF(National Science Foundation (NSF)); CSIRO Office of the Chief Executive (OCE) Postdoctoral Fellowship; Australian Government's Cooperative Research Centre's(Australian GovernmentDepartment of Industry, Innovation and ScienceCooperative Research Centres (CRC) Programme); CSIRO Wealth from Oceans National Research Flagship; Division Of Ocean Sciences; Directorate For Geosciences(National Science Foundation (NSF)NSF - Directorate for Geosciences (GEO))</t>
  </si>
  <si>
    <t>Louise Bell kindly helped to draw the schematic showing the intense areas of subduction. KS received support from NSF OCE-0822075, OCE-0612167, and OCE-0622670. JBS was supported by a CSIRO Office of the Chief Executive (OCE) Postdoctoral Fellowship. SR was supported by the Australian Government's Cooperative Research Centre's Programme through the Antarctic Climate and Ecosystems Cooperative Research Centre (ACE-CRC). JBS, SR, and SW were also supported by the CSIRO Wealth from Oceans National Research Flagship.</t>
  </si>
  <si>
    <t>0022-3670</t>
  </si>
  <si>
    <t>1520-0485</t>
  </si>
  <si>
    <t>J PHYS OCEANOGR</t>
  </si>
  <si>
    <t>J. Phys. Oceanogr.</t>
  </si>
  <si>
    <t>10.1175/2009JPO4291.1</t>
  </si>
  <si>
    <t>570OF</t>
  </si>
  <si>
    <t>Green Submitted, hybrid</t>
  </si>
  <si>
    <t>WOS:000275686900004</t>
  </si>
  <si>
    <t>Ren, W; Tan, HC; Wu, J; Deng, YC; Wu, YB; Tang, YH; Cui, XY</t>
  </si>
  <si>
    <t>Ren, Wei; Tan, Hongchao; Wu, Jing; Deng, Yongcui; Wu, Yibo; Tang, Yanhong; Cui, Xiaoyong</t>
  </si>
  <si>
    <t>UV light spectral response of photosynthetic photochemical efficiency in alpine mosses</t>
  </si>
  <si>
    <t>JOURNAL OF PLANT ECOLOGY</t>
  </si>
  <si>
    <t>action spectrum; bryophyte; ozone; Tibetan Plateau; ultraviolet radiation</t>
  </si>
  <si>
    <t>ULTRAVIOLET-B RADIATION; CHLOROPHYLL FLUORESCENCE; DNA-DAMAGE; STRATOSPHERIC OZONE; WEIGHTING FUNCTION; XANTHOPHYLL CYCLE; ANTARCTIC MOSSES; PHOTOSYSTEM-II; LEAVES; INHIBITION</t>
  </si>
  <si>
    <t>Aims Bryophytes play an important role in primary production in harsh alpine environment As other alpine plants, the alpine bryophytes are often exposed to stronger UV radiation than lowland plants Plants growing under high UV radiation may differ from those from low UV regimes In their physiological response to UV radiation We were to (I) test the hypothesis and to address whether and/or how alpine bryophytes differ in photosynthetic photochemical characteristics in response to UV light and (II) understand the potential effects of UV radiation on photosynthetic photochemical process in alpine bryophytes Methods We examined the maximum quantum efficiency of photosystem II (PSII) photochemistry (F root F-m) for two alpine bryophyte species, Distichium inclinatum and Encalypta alpine, from a Kobresia humilis meadow and a Kobresia tibetica wetland, respectively, in Haibei, Qinghai (37 degrees 29'N, 101 degrees 12'E, altitude 3 250 ml), and for a lowland bryophyte, Polytrichum juniperinum, under different spectrum of UV light Biological spectral weighting function (BSWF) was obtained to evaluate the effect of UV light on the physiological response in these species Important Findings 1) The maximum quantum efficiency of photosystem II photochemistry (F root F-m) declined linearly with the increase of radiation dose in wavelenghts from 250 to 420 nm. The effect of UV radiation on F root F-m decreased with higher rate from 250 to 320 nm an from 400 to 420 nm than in UVA range 2) The three species from different ecosystems contrasting in altitudes showed similar pattern of UV effectiveness In comparison with other species reported so far, the moss BSWF was among those with the most modest decrease trend with spectrum effect of UV light 50 times higher at 250 than at 420 nm 3) Under the scenario of 16% reduction of stratospheric ozone, the integrated effectiveness from 290 to 345 nm increased only 5%, suggesting that the photochemical activity of the bryophyte PSII is likely to insensitive to O-3 depletion</t>
  </si>
  <si>
    <t>[Ren, Wei; Tan, Hongchao; Wu, Jing; Deng, Yongcui; Wu, Yibo; Cui, Xiaoyong] Chinese Acad Sci, Grad Univ, Coll Resources &amp; Environm, Beijing 100049, Peoples R China; [Tang, Yanhong] Natl Inst Environm Studies, Tsukuba, Ibaraki 3050053, Japan</t>
  </si>
  <si>
    <t>Chinese Academy of Sciences; University of Chinese Academy of Sciences, CAS; National Institute for Environmental Studies - Japan</t>
  </si>
  <si>
    <t>Cui, XY (corresponding author), Chinese Acad Sci, Grad Univ, Coll Resources &amp; Environm, Beijing 100049, Peoples R China.</t>
  </si>
  <si>
    <t>Tang, Yanhong/KHW-2689-2024; Tang, Yanhong/B-1699-2010; cui, xiao yong/B-3669-2016</t>
  </si>
  <si>
    <t>Tang, Yanhong/0000-0001-7207-1965; cui, xiao yong/0000-0001-7592-5866</t>
  </si>
  <si>
    <t>1752-9921</t>
  </si>
  <si>
    <t>1752-993X</t>
  </si>
  <si>
    <t>J PLANT ECOL</t>
  </si>
  <si>
    <t>J. Plant Ecol.</t>
  </si>
  <si>
    <t>10.1093/jpe/rtp029</t>
  </si>
  <si>
    <t>Plant Sciences; Ecology; Forestry</t>
  </si>
  <si>
    <t>Plant Sciences; Environmental Sciences &amp; Ecology; Forestry</t>
  </si>
  <si>
    <t>570GM</t>
  </si>
  <si>
    <t>WOS:000275660300003</t>
  </si>
  <si>
    <t>Maslin, MA; Smart, CW</t>
  </si>
  <si>
    <t>Maslin, Mark A.; Smart, Christopher W.</t>
  </si>
  <si>
    <t>Holocene bipolar climate seesaw: possible subtle evidence from the deep North East Atlantic Ocean?</t>
  </si>
  <si>
    <t>JOURNAL OF QUATERNARY SCIENCE</t>
  </si>
  <si>
    <t>Holocene; North Atlantic; bipolar climate seesaw; millennial events; deep water</t>
  </si>
  <si>
    <t>LAST GLACIAL PERIOD; BENTHIC FORAMINIFERA; WATER CIRCULATION; RADIOCARBON CALIBRATION; CARBONATE DISSOLUTION; HEINRICH EVENTS; SEA; PROGRAM; PHYTODETRITUS; PRESERVATION</t>
  </si>
  <si>
    <t>The occurrence of a millennial-scale bipolar climate seesaw has been documented in detail for the last glacial period and Termination. There is, however, debate whether it occurs during interglacials and if it does what influence it could have on future climate. We present here new evidence from a North East Atlantic Ocean deep-sea core which supports the hypothesis for a Holocene bipolar climate seesaw. BENGAL Site 13078#16, from the Porcupine Abyssal Plain, is 4844m deep and situated at the North Atlantic Deep Water and Antarctic Bottom Water (AABW) interface. Planktic foraminiferal fragment accumulation rate data at this site is an indicator of coarse carbonate dissolution, which is highly sensitive to the incursion of under-saturated AABW. Five dissolution peaks have been identified, which seem to occur approximately 500 a after each of the North Atlantic 'Bond' ice rafting pulses, suggesting a subsequent subtle shallowing of AABW. This indicates a possible lagged climatic link between North East Atlantic surface water conditions and AABW production in the Southern Ocean during the Holocene. This provides the first tentative evidence that there was a Holocene bipolar climate seesaw and that the deep ocean was involved. This study also suggests that extremely sensitive locations need to be sought as the Holocene bipolar climate seesaw seems to be very subtle compared with its glacial counterparts. Copyright (C) 2009 John Wiley &amp; Sons, Ltd.</t>
  </si>
  <si>
    <t>[Maslin, Mark A.] UCL, Dept Geog, London WC1E 6BT, England; [Smart, Christopher W.] Univ Plymouth, Sch Geog Earth &amp; Environm Sci, Plymouth PL4 8AA, Devon, England</t>
  </si>
  <si>
    <t>University of London; University College London; University of Plymouth</t>
  </si>
  <si>
    <t>Maslin, MA (corresponding author), UCL, Dept Geog, Pearson Bldg,Gower St, London WC1E 6BT, England.</t>
  </si>
  <si>
    <t>mmaslin@geog.ucl.ac.uk</t>
  </si>
  <si>
    <t>Maslin, Mark/0000-0001-9957-3463; Smart, Christopher/0000-0001-6329-4139</t>
  </si>
  <si>
    <t>Royal Society</t>
  </si>
  <si>
    <t>Royal Society(Royal Society)</t>
  </si>
  <si>
    <t>We thank Andy Gooday (National Oceanography Centre, Southampton, UK) for providing the samples used in this study and Pieter Grootes (Christian-Albrechts University, Kiel, Germany) for running the AMS radiocarbon analyses. CWS gratefully acknowledges financial support from a Royal Society research grant. We would like to thank the two referees for their comments and support.</t>
  </si>
  <si>
    <t>0267-8179</t>
  </si>
  <si>
    <t>1099-1417</t>
  </si>
  <si>
    <t>J QUATERNARY SCI</t>
  </si>
  <si>
    <t>J. Quat. Sci.</t>
  </si>
  <si>
    <t>10.1002/jqs.1344</t>
  </si>
  <si>
    <t>575TH</t>
  </si>
  <si>
    <t>WOS:000276090800001</t>
  </si>
  <si>
    <t>Hillenbrand, CD; Smith, JA; Kuhn, G; Esper, O; Gersonde, R; Larter, RD; Maher, B; Moreton, SG; Shimmield, TM; Korte, M</t>
  </si>
  <si>
    <t>Hillenbrand, Claus-Dieter; Smith, James A.; Kuhn, Gerhard; Esper, Oliver; Gersonde, Rainer; Larter, Rob D.; Maher, Barbara; Moreton, Steven G.; Shimmield, Tracy M.; Korte, Monika</t>
  </si>
  <si>
    <t>Age assignment of a diatomaceous ooze deposited in the western Amundsen Sea Embayment after the Last Glacial Maximum</t>
  </si>
  <si>
    <t>Antarctica; Holocene; radiocarbon; relative palaeomagnetic intensity; sediment chronology</t>
  </si>
  <si>
    <t>ANTARCTIC ICE-SHEET; GEOMAGNETIC DIPOLE-MOMENT; ROSS-SEA; SOUTHERN-OCEAN; MARINE-SEDIMENTS; PALEOENVIRONMENTAL RECONSTRUCTIONS; RESERVOIR CORRECTION; CLIMATE EVOLUTION; CONTINENTAL-SHELF; HOLOCENE RETREAT</t>
  </si>
  <si>
    <t>Reliable dating of glaciomarine sediments deposited on the Antarctic shelf since the Last Glacial Maximum (LGM) is challenging because of the rarity of calcareous (micro-) fossils and the recycling of fossil organic matter. Consequently, radiocarbon (C-14) ages of the acid-insoluble organic fraction (AIO) of the sediments bear uncertainties that are difficult to quantify. Here we present the results of three different methods to date a sedimentary unit consisting of diatomaceous ooze and diatomaceous mud that was deposited following the last deglaciation at five core sites on the inner shelf in the western Amundsen Sea (West Antarctica). In three cores conventional C-14 dating of the AIO in bulk samples yielded age reversals down-core, but at all sites the AIO C-14 ages obtained from diatomaceous ooze within the diatom-rich unit yielded similar uncorrected C-14 ages between 13 517 +/- 56 and 11 543 +/- 47 years before present (a BP). Correction of these ages by subtracting the core-top ages, which probably reflect present-day deposition (as indicated by 210Pb dating of the sediment surface at one core site), yielded ages between ca. 10500 and 8400 cal. a BP. Correction of the AIO ages of the diatomaceous ooze by only subtracting the marine reservoir effect (MRE) of 1300 a indicated deposition of the diatom-rich sediments between 14 100 and 11 900 cal. a BP. Most of these ages are consistent with age constraints between 13.0 and 8.0 ka for the diatom-rich unit, which we obtained by correlating the relative palaeomagnetic intensity (RPI) records of three of the sediment cores with global and regional reference curves. As a third dating technique we applied conventional radiocarbon dating of the AIO included in acid-cleaned diatom hard parts extracted from the diatomaceous ooze. This method yielded uncorrected C-14 ages of only 5111 +/- 38 and 5106 +/-?38 a BP, respectively. We reject these young ages, because they are likely to be overprinted by the adsorption of modern atmospheric carbon dioxide onto the surfaces of the diatom hard parts prior to sample graphitisation and combustion for C-14 dating. The deposition of the diatom-rich unit in the western Amundsen Sea suggests deglaciation of the inner shelf before ca. 13 ka BP. The deposition of diatomaceous oozes elsewhere on the Antarctic shelf around the same time, however, seems to be coincidental rather than directly related. Copyright (C) 2009 John Wiley &amp; Sons, Ltd.</t>
  </si>
  <si>
    <t>[Hillenbrand, Claus-Dieter; Smith, James A.; Larter, Rob D.] British Antarctic Survey, Cambridge CB3 0ET, England; [Kuhn, Gerhard; Esper, Oliver; Gersonde, Rainer] Alfred Wegener Inst Polar &amp; Marine Res, D-2850 Bremerhaven, Germany; [Maher, Barbara] Univ Lancaster, Lancaster Environm Ctr, Ctr Environm Magnetism &amp; Palaeomagnetism, Lancaster, England; [Moreton, Steven G.] NERC Radiocarbon Facil Environm, E Kilbride, Lanark, Scotland; [Shimmield, Tracy M.] Dunstaffnage Marine Res Lab, SAMS, Oban PA34 4AD, Argyll, Scotland; [Korte, Monika] Deutsch GeoForschungsZentrum, Helmholtz Zentrum Potsdam, Potsdam, Germany</t>
  </si>
  <si>
    <t>UK Research &amp; Innovation (UKRI); Natural Environment Research Council (NERC); NERC British Antarctic Survey; Helmholtz Association; Alfred Wegener Institute, Helmholtz Centre for Polar &amp; Marine Research; Lancaster University; UK Research &amp; Innovation (UKRI); Natural Environment Research Council (NERC); NERC British Geological Survey; Helmholtz Association; Helmholtz-Center Potsdam GFZ German Research Center for Geosciences</t>
  </si>
  <si>
    <t>Hillenbrand, CD (corresponding author), British Antarctic Survey, Madingley Rd, Cambridge CB3 0ET, England.</t>
  </si>
  <si>
    <t>hilc@bas.ac.uk</t>
  </si>
  <si>
    <t>Smith, James A/N-1836-2013; Maher, Barbara A/K-6234-2012; Shimmield, Tracy/B-4483-2010; Korte, Monika/A-6086-2009; Moreton, Steven G/C-2373-2009</t>
  </si>
  <si>
    <t>Maher, Barbara A/0000-0002-8759-8214; Korte, Monika/0000-0003-2970-9075; Moreton, Steven G/0000-0002-8030-2433; Esper, Oliver/0000-0002-4342-3471; Larter, Robert/0000-0002-8414-7389; Kuhn, Gerhard/0000-0001-6069-7485</t>
  </si>
  <si>
    <t>British Antarctic Survey (BAS) GRADES-QWAD; Palaeo-Ice Sheets; Alfred Wegener Institute MARCOPOLI Programme; UK Natural Environment Research Council (NERC) [NE/F000359/1]; Natural Environment Research Council [dml010007, bosc01001, NE/F000359/1, bas010018, ceh010010] Funding Source: researchfish; NERC [NE/F000359/1, bas010018, dml010007, bosc01001] Funding Source: UKRI</t>
  </si>
  <si>
    <t>British Antarctic Survey (BAS) GRADES-QWAD; Palaeo-Ice Sheets; Alfred Wegener Institute MARCOPOLI Programme; 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</si>
  <si>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Our work was supported by the British Antarctic Survey (BAS) GRADES-QWAD and Palaeo-Ice Sheets projects, the Alfred Wegener Institute MARCOPOLI Programme and UK Natural Environment Research Council (NERC) New Investigator Grant NE/F000359/1. We are grateful to the captains, officers, crew, support staff and scientists who participated in cruises ANT-XXIII/4 and JR141, and acknowledge U. Bock, S. Wiebe, R. Froehlking and M. Seebeck (all AWI), who helped with core sampling and preparation. We thank S. Fitzer and J. Howe (both SAMS) for analysing the gamma samples and commenting on an earlier draft of the manuscript, respectively, and thank S. Brachfeld, K. Licht and an anonymous reviewer for their constructive reviews, which improved the manuscript.</t>
  </si>
  <si>
    <t>10.1002/jqs.1308</t>
  </si>
  <si>
    <t>WOS:000276090800006</t>
  </si>
  <si>
    <t>Paulsen, TS; Wilson, TJ</t>
  </si>
  <si>
    <t>Paulsen, Timothy S.; Wilson, Terry J.</t>
  </si>
  <si>
    <t>Evolution of Neogene volcanism and stress patterns in the glaciated West Antarctic Rift, Marie Byrd Land, Antarctica</t>
  </si>
  <si>
    <t>JOURNAL OF THE GEOLOGICAL SOCIETY</t>
  </si>
  <si>
    <t>Symposium on Neotectonics and Stress State in Formerly Glaciated Regions held at the 33rd International Geological Congress</t>
  </si>
  <si>
    <t>AUG 06, 2008</t>
  </si>
  <si>
    <t>Oslo, NORWAY</t>
  </si>
  <si>
    <t>SHEET GROUNDING EVENTS; EASTERN ROSS SEA; ICE-SHEET; TECTONIC STRESS; POSSIBLE INDICATORS; PLATE-TECTONICS; PACIFIC PLATE; MOTION; FIELD; OLIGOCENE</t>
  </si>
  <si>
    <t>The orientations and ages of polygenetic volcano chains, elongate volcano edifices, and elongate summit calderas in Marie Byrd Land, Antarctica, are analysed to determine stress directions during volcanism and coeval glaciation across the West Antarctic Rift. Initiation of volcanism c. 36-34 Ma and major polygenetic volcanism beginning c. 14 Ma are broadly coeval with establishment of significant ice volumes in West Antarctica. Middle-Late Miocene volcanism occurred primarily along roughly north-south volcano chains, whereas latest Miocene-Pleistocene volcanism had a strong east-west preferred orientation across the spatial extent of the province. Anisotropic stress conditions controlled both phases of volcanism, and a rapid rotation in the maximum horizontal stress direction from north-south to east-west occurred as early as c. 6 Ma. Glacial loading and unloading appears to have facilitated volcanism in Marie Byrd Land, but ice margin reconstructions make it unlikely that stress field rotation is a result of flexural stresses imposed by glacial loading cycles. The east-west orientation of latest Miocene to Pleistocene maximum horizontal stress is parallel to the absolute motion of the Antarctic plate for the past 6 Ma, and the north-south to east-west stress field rotation coincides with changes in Antarctic-Pacific Ridge spreading and Pacific basin tectonic events associated with plate reorganization.</t>
  </si>
  <si>
    <t>[Paulsen, Timothy S.] Univ Wisconsin, Dept Geol, Oshkosh, WI 54901 USA; [Wilson, Terry J.] Ohio State Univ, Sch Earth Sci, Columbus, OH 43210 USA; [Wilson, Terry J.] Ohio State Univ, Byrd Polar Res Ctr, Columbus, OH 43210 USA</t>
  </si>
  <si>
    <t>University of Wisconsin System; University System of Ohio; Ohio State University; University System of Ohio; Ohio State University</t>
  </si>
  <si>
    <t>Paulsen, TS (corresponding author), Univ Wisconsin, Dept Geol, 800 Algoma Blvd, Oshkosh, WI 54901 USA.</t>
  </si>
  <si>
    <t>paulsen@uwosh.edu</t>
  </si>
  <si>
    <t>GEOLOGICAL SOC PUBL HOUSE</t>
  </si>
  <si>
    <t>BATH</t>
  </si>
  <si>
    <t>UNIT 7, BRASSMILL ENTERPRISE CENTRE, BRASSMILL LANE, BATH BA1 3JN, AVON, ENGLAND</t>
  </si>
  <si>
    <t>0016-7649</t>
  </si>
  <si>
    <t>2041-479X</t>
  </si>
  <si>
    <t>J GEOL SOC LONDON</t>
  </si>
  <si>
    <t>J. Geol. Soc.</t>
  </si>
  <si>
    <t>10.1144/0016-76492009-044</t>
  </si>
  <si>
    <t>571AU</t>
  </si>
  <si>
    <t>WOS:000275721900016</t>
  </si>
  <si>
    <t>Meltzer, DJ; Holliday, VT</t>
  </si>
  <si>
    <t>Meltzer, David J.; Holliday, Vance T.</t>
  </si>
  <si>
    <t>Would North American Paleoindians have Noticed Younger Dryas Age Climate Changes?</t>
  </si>
  <si>
    <t>JOURNAL OF WORLD PREHISTORY</t>
  </si>
  <si>
    <t>Younger Dryas; Paleoindian; North America; Hunter-gatherer adaptations</t>
  </si>
  <si>
    <t>SOUTHERN HIGH-PLAINS; GLACIAL LAKE AGASSIZ; CENTRAL GREAT-PLAINS; MERIDIONAL OVERTURNING CIRCULATION; PLEISTOCENE-HOLOCENE TRANSITION; LATE-QUATERNARY VEGETATION; ANTARCTIC PHASE-RELATIONS; LAST DEGLACIATION; ENVIRONMENTAL-CHANGE; MILLENNIAL-SCALE</t>
  </si>
  <si>
    <t>Paleoindian groups occupied North America throughout the Younger Dryas Chronozone. It is often assumed that cooling temperatures during this interval, and the impact these would have had on biotic communities, posed significant adaptive challenges to those groups. That assessment of the nature, severity and abruptness of Younger Dryas changes is largely based on ice core records from the Greenland ice sheet where changes were indeed dramatic. This paper reviews climatic and environmental records from this time period in continental North America. We conclude that, on the Great Plains and in the Rocky Mountains, conditions were in reality less extreme. It therefore follows that conditions during the Younger Dryas interval may not have measurably added to the challenge routinely faced by Paleoindian groups who, during this interval, successfully (and perhaps rapidly) dispersed across the diverse habitats of Late Glacial North America.</t>
  </si>
  <si>
    <t>[Meltzer, David J.] So Methodist Univ, Dept Anthropol, Dallas, TX 75275 USA; [Holliday, Vance T.] Univ Arizona, Dept Anthropol, Tucson, AZ 85721 USA</t>
  </si>
  <si>
    <t>Southern Methodist University; University of Arizona</t>
  </si>
  <si>
    <t>Meltzer, DJ (corresponding author), So Methodist Univ, Dept Anthropol, Dallas, TX 75275 USA.</t>
  </si>
  <si>
    <t>dmeltzer@smu.edu</t>
  </si>
  <si>
    <t>Meltzer, David/0000-0001-8084-9802</t>
  </si>
  <si>
    <t>0892-7537</t>
  </si>
  <si>
    <t>1573-7802</t>
  </si>
  <si>
    <t>J WORLD PREHIST</t>
  </si>
  <si>
    <t>J. World Prehist.</t>
  </si>
  <si>
    <t>10.1007/s10963-009-9032-4</t>
  </si>
  <si>
    <t>Anthropology; Archaeology</t>
  </si>
  <si>
    <t>Arts &amp; Humanities Citation Index (A&amp;HCI)</t>
  </si>
  <si>
    <t>577YH</t>
  </si>
  <si>
    <t>WOS:000276259400001</t>
  </si>
  <si>
    <t>Décima, M; Ohman, MD; De Robertis, A</t>
  </si>
  <si>
    <t>Decima, Moira; Ohman, Mark D.; De Robertis, Alex</t>
  </si>
  <si>
    <t>Body size dependence of euphausiid spatial patchiness</t>
  </si>
  <si>
    <t>LIMNOLOGY AND OCEANOGRAPHY</t>
  </si>
  <si>
    <t>CALIFORNIA CURRENT SYSTEM; DAYTIME SURFACE SWARMS; ANTARCTIC KRILL; VERTICAL MIGRATION; HATCHING MECHANISM; CONTINENTAL-SHELF; VANCOUVER-ISLAND; SUPERBA; ZOOPLANKTON; MODEL</t>
  </si>
  <si>
    <t>We analyzed size-dependent variations in spatial patchiness of the eight numerically dominant euphausiid species in the California Current System (Euphausia pacifica, Nematoscelis difficilis, Nyctiphanes simplex, Thysanoessa gregaria, Euphausia recurva, Euphausia gibboides, Thysanoessa spinifera, and Euphausia eximia). Patchiness was measured by using a count-based statistic using euphausiid densities and applied to 11 yr of detailed size-specific enumerations from the California Cooperative Oceanic Fisheries Investigations program. We rejected the hypothesis of size-independent patchiness for seven of the eight species. The most common pattern observed was a U-shaped'' curve, showing elevated patchiness in the smallest size classes, a rapid decrease in patchiness of intermediate-sized euphausiids, and a later increase in patchiness of adults following the onset of reproductive maturity. These size-dependent changes parallel ontogenetic changes in spatial dispersion observed for some marine fishes. The initial descending limb of the patchiness curve appears to be caused by turbulent diffusion, while the later ascending limb of the curve is consistent with the onset of predator-induced aggregation behavior. The patterns were surprisingly consistent across years and different reproductive characteristics (egg-brooding vs. broadcast spawning euphausiids).</t>
  </si>
  <si>
    <t>[Decima, Moira; Ohman, Mark D.] Univ Calif San Diego, Scripps Inst Oceanog, La Jolla, CA 92093 USA; [De Robertis, Alex] NOAA, Natl Marine Fisheries Serv, Alaska Fisheries Sci Ctr, Seattle, WA 98115 USA</t>
  </si>
  <si>
    <t>University of California System; University of California San Diego; Scripps Institution of Oceanography; National Oceanic Atmospheric Admin (NOAA) - USA</t>
  </si>
  <si>
    <t>Décima, M (corresponding author), Univ Calif San Diego, Scripps Inst Oceanog, La Jolla, CA 92093 USA.</t>
  </si>
  <si>
    <t>mdecima@ucsd.edu</t>
  </si>
  <si>
    <t>Ohman, Mark D/C-8763-2009</t>
  </si>
  <si>
    <t>Ohman, Mark D/0000-0001-8136-3695; De Robertis, Alex/0000-0001-6268-0791</t>
  </si>
  <si>
    <t>National Science Foundation; Pelagic Invertebrates Collection of the Scripps Institution of Oceanography</t>
  </si>
  <si>
    <t>National Science Foundation(National Science Foundation (NSF)); Pelagic Invertebrates Collection of the Scripps Institution of Oceanography</t>
  </si>
  <si>
    <t>We thank Edward Brinton for generating, over the course of a career, the superb data set that we were privileged to analyze; Annie Townsend for her contributions to sample enumerations and database construction; and Roger Hewitt and an additional referee for constructive comments. The sustained efforts of the California Cooperative Oceanic Fisheries Investigations program made this study possible. This is a contribution from the California Current Ecosystem Long Term Ecological Research site, supported by the National Science Foundation, and from the Pelagic Invertebrates Collection of the Scripps Institution of Oceanography.</t>
  </si>
  <si>
    <t>0024-3590</t>
  </si>
  <si>
    <t>1939-5590</t>
  </si>
  <si>
    <t>LIMNOL OCEANOGR</t>
  </si>
  <si>
    <t>Limnol. Oceanogr.</t>
  </si>
  <si>
    <t>10.4319/lo.2009.55.2.0777</t>
  </si>
  <si>
    <t>Limnology; Oceanography</t>
  </si>
  <si>
    <t>580HY</t>
  </si>
  <si>
    <t>WOS:000276440000027</t>
  </si>
  <si>
    <t>Wallace, MI; Cottier, FR; Berge, J; Tarling, GA; Griffiths, C; Brierley, AS</t>
  </si>
  <si>
    <t>Wallace, Margaret I.; Cottier, Finlo R.; Berge, Jorgen; Tarling, Geraint A.; Griffiths, Colin; Brierley, Andrew S.</t>
  </si>
  <si>
    <t>Comparison of zooplankton vertical migration in an ice-free and a seasonally ice-covered Arctic fjord: An insight into the influence of sea ice cover on zooplankton behavior</t>
  </si>
  <si>
    <t>MEGANYCTIPHANES-NORVEGICA; COPEPODS; CALANUS; MARINE; KRILL; KONGSFJORDEN; ANTARCTICA; AMPHIPODS; CRUSTACEA; HISTORY</t>
  </si>
  <si>
    <t>We present observations of zooplankton diel vertical migration (DVM) over a period of 2 yr in an ice-free and a seasonally ice-covered Arctic fjord. The contrasting environments permitted assessment of the influences of physical and biological factors on temporal variability in DVM patterns and a test of the hypothesis that a reduction in summer sea ice extent and thickness following climatic warming will lead to changes in DVM via the loss of a shading effect on the pelagic marine environment. Acoustic backscatter and vertical velocity data from moored 300-kHz acoustic Doppler current profilers were used to derive DVM patterns, while measurements of sea ice and snow thickness enabled assessment of the underwater light environment and consideration of its potential to influence DVM. Pronounced differences in DVM between the sites emerged during summertime when intermittent synchronized DVM was observed at the ice-free site, whereas the ice-covered site was characterized by asynchronous behavior, thereby highlighting the influence of sea ice. Notably, the 0.8-m-thick sea ice cover was deemed important for its influence on water column properties such as food, turbidity, and zooplankton species composition, as indicated by biological samples from moored sediment traps, rather than a simple shading of the ocean and direct modification of zooplankton DVM. Loss of Arctic sea ice is likely to have an indirect but substantial effect on zooplankton DVM via modification of hydrography and composition of the pelagic community.</t>
  </si>
  <si>
    <t>[Wallace, Margaret I.; Brierley, Andrew S.] Univ St Andrews, Scottish Oceans Inst, St Andrews, Fife, Scotland; [Cottier, Finlo R.; Griffiths, Colin] Dunstaffnage Marine Res Lab, Scottish Marine Inst, Oban PA34 4AD, Argyll, Scotland; [Berge, Jorgen] Univ Ctr Svalbard, Svalbard, Norway; [Tarling, Geraint A.] British Antarctic Survey, Cambridge CB3 0ET, England</t>
  </si>
  <si>
    <t>University of St Andrews; University Centre Svalbard (UNIS); UK Research &amp; Innovation (UKRI); Natural Environment Research Council (NERC); NERC British Antarctic Survey</t>
  </si>
  <si>
    <t>Brierley, AS (corresponding author), Univ St Andrews, Scottish Oceans Inst, St Andrews, Fife, Scotland.</t>
  </si>
  <si>
    <t>asb4@st-andrews.ac.uk</t>
  </si>
  <si>
    <t>Berge, Jørgen/B-8749-2008; Cottier, Finlo/K-6277-2012; Brierley, Andrew/G-8019-2011</t>
  </si>
  <si>
    <t>Berge, Jørgen/0000-0003-0900-5679; Cottier, Finlo/0000-0002-3068-1754; Brierley, Andrew/0000-0002-6438-6892</t>
  </si>
  <si>
    <t>Natural Environment Research Council (NERC) [NE/F012381/1]; European Regional Development Fund; Norwegian Research Council [178766/S30]; StatoilHydro Ice Edge program; ConocoPhilips ArcWin program; Research Council of Norway [165112/S30]; Natural Environment Research Council [NE/F012381/1, bas0100025] Funding Source: researchfish; NERC [NE/F012381/1, bas0100025] Funding Source: UKRI</t>
  </si>
  <si>
    <t>Natural Environment Research Council (NERC)(UK Research &amp; Innovation (UKRI)Natural Environment Research Council (NERC)); European Regional Development Fund(European Union (EU)); Norwegian Research Council(Research Council of Norway); StatoilHydro Ice Edge program; ConocoPhilips ArcWin program; Research Council of Norway(Research Council of Norway); Natural Environment Research Council(UK Research &amp; Innovation (UKRI)Natural Environment Research Council (NERC)); NERC(UK Research &amp; Innovation (UKRI)Natural Environment Research Council (NERC))</t>
  </si>
  <si>
    <t>Thanks to the crew and scientists on board the British Antarctic Survey's RRS James Clark Ross and the Norwegian Polar Institute's R/V Lance and R/V Jan Mayen for assistance with the mooring deployments and recoveries; Trond Svenoe of the Norwegian Polar Institute, Tromso, Norway, for providing photosynthetically active radiation (PAR) data from Ny Alesund; and Eva Leu of the Norwegian Polar Institute, Tromso, Norway, for Rijpfjorden PAR data and information regarding subsea ice blooms in 2007. The analysis was funded under a Natural Environment Research Council (NERC) Strategic Ocean Funding Initiative (SOFI) grant (NE/F012381/1) to Andrew S. Brierley, Geraint A. Tarling, and Finlo R. Cottier, in partnership with Jorgen Berge at the University of Norway in Svalbard (UNIS). Finlo R. Cottier's contribution was further supported through the European Regional Development Fund, under the Addressing Research Capacity (in the Highlands and Islands) project. The Rijpfjorden mooring was funded by the Norwegian Research Council under the Climate Effects on Planktonic Food Quality and Trophic Transfer in Arctic Marginal Ice Zones (CLEOPATRA) project (178766/S30), the StatoilHydro Ice Edge program, and the ConocoPhilips ArcWin program. During 2006-2007, the Kongsfjorden mooring was funded through Research Council of Norway (MariClim 165112/S30) and in 2007-2008 was funded by NERC Oceans 2025 Theme 10.</t>
  </si>
  <si>
    <t>10.4319/lo.2009.55.2.0831</t>
  </si>
  <si>
    <t>WOS:000276440000031</t>
  </si>
  <si>
    <t>Laakmann, S; Auel, H</t>
  </si>
  <si>
    <t>Laakmann, Silke; Auel, Holger</t>
  </si>
  <si>
    <t>Longitudinal and vertical trends in stable isotope signatures (δ13C and δ15N) of omnivorous and carnivorous copepods across the South Atlantic Ocean</t>
  </si>
  <si>
    <t>PARTICULATE ORGANIC-MATTER; EASTERN WEDDELL SEA; FOOD-WEB STRUCTURE; TROPHIC RELATIONSHIPS; COMMUNITY STRUCTURE; CARBON ISOTOPES; ZOOPLANKTON COMMUNITY; ANTARCTIC PENINSULA; SAMPLE TREATMENT; MARINE COPEPOD</t>
  </si>
  <si>
    <t>Stable isotope (SI) ratios of carbon (delta C-13) and nitrogen (delta N-15) were measured in omnivorous and carnivorous deep-sea copepods of the families Euchaetidae and Aetideidae across the Atlantic sector of the Southern Ocean to establish their trophic positions. Due to high and variable C/N ratios related to differences in lipid content, delta C-13 was corrected using a lipid-normalisation model. delta N-15 signals ranged from 3.0-6.9aEuro degrees in mesopelagic species to 7.0-9.5aEuro degrees in bathypelagic congeners. Among the carnivorous Paraeuchaeta species, the epi- to mesopelagic species Paraeuchaeta antarctica had lower delta N-15 values than the mesopelagic P. rasa and bathypelagic P. barbata. The same trend was observed among omnivorous Aetideidae, but was not significant. In the most abundant species P. antarctica, individuals from the western Atlantic had higher delta C-13 and delta N-15 values than specimens at the eastern stations. These longitudinal changes in delta C-13 and delta N-15 values were attributed to regional differences in hydrography and sea surface temperature (SST), in particular related to a northward extension of the Antarctic Polar Front (APF) at the easternmost stations. The results indicate that even in a mesopelagic carnivorous species, the changes in surface stable isotope signatures are pronounced.</t>
  </si>
  <si>
    <t>[Laakmann, Silke; Auel, Holger] Univ Bremen, Marine Zool FB 2, D-28334 Bremen, Germany</t>
  </si>
  <si>
    <t>University of Bremen</t>
  </si>
  <si>
    <t>Laakmann, S (corresponding author), Univ Bremen, Marine Zool FB 2, POB 330 440, D-28334 Bremen, Germany.</t>
  </si>
  <si>
    <t>laakmann@uni-bremen.de</t>
  </si>
  <si>
    <t>Laakmann, Silke/0000-0003-3273-7907</t>
  </si>
  <si>
    <t>Deutsche Forschungsgemeinschaft (DFG) [AU 175/3]</t>
  </si>
  <si>
    <t>We are grateful to the captain and crew of R/V Polarstern for their skilful support during the cruise. Meike Stumpp assisted in sampling and Weld work. This study was funded by Deutsche Forschungsgemeinschaft (DFG project AU 175/3).</t>
  </si>
  <si>
    <t>10.1007/s00227-009-1332-9</t>
  </si>
  <si>
    <t>553SF</t>
  </si>
  <si>
    <t>WOS:000274386400002</t>
  </si>
  <si>
    <t>Sellanes, J; Neira, C; Quiroga, E; Teixido, N</t>
  </si>
  <si>
    <t>Sellanes, Javier; Neira, Carlos; Quiroga, Eduardo; Teixido, Nuria</t>
  </si>
  <si>
    <t>Diversity patterns along and across the Chilean margin: a continental slope encompassing oxygen gradients and methane seep benthic habitats</t>
  </si>
  <si>
    <t>MARINE ECOLOGY-AN EVOLUTIONARY PERSPECTIVE</t>
  </si>
  <si>
    <t>Benthic biodiversity; Chile margin; continental slope; habitat heterogeneity; methane seeps; oxygen minimum zone</t>
  </si>
  <si>
    <t>DEEP-SEA; MINIMUM ZONE; COMMUNITY STRUCTURE; SPECIES-DIVERSITY; PERU MARGIN; SHELF; AGGREGATIONS; BIODIVERSITY; MACROFAUNA; ABUNDANCE</t>
  </si>
  <si>
    <t>In the present study we review datasets available for the Chilean margin to assess the relationship between environmental (or habitat) heterogeneity and benthic diversity. Several factors, such as the presence of different water masses, including the oxygen-deficient Equatorial Sub-surface Waters (ESSW) at the continental shelf and upper slope, and the Antarctic Intermediate Waters (AIW) at mid slope depths appear to control the bathymetric distribution of benthic communities. The presence of methane seeps and an extended oxygen minimum zone (OMZ) add complexity to the benthic distribution patterns observed. All these factors generate environmental heterogeneity, which is predicted to affect the diversity patterns both along and across the Chilean continental margin. The response to these factors differs among different faunal size groups: meio-, macro-, and megafauna. Physiological adaptations to oxygen deficiency and constraints related to body size of each group seem to explain the larger-scale patterns observed, while sediment/habitat heterogeneity (e.g. at water mass boundaries, hardgrounds, biogeochemical patchiness, sediment organic content, grain size) may influence the local fauna diversity patterns.</t>
  </si>
  <si>
    <t>[Sellanes, Javier] Univ Catolica Norte, Dept Biol Marina, Larrondo 1281, Coquimbo, Chile; [Sellanes, Javier] Univ Concepcion, Ctr Invest Oceanog Pacific Sur Oriental COPAS, Concepcion, Chile; [Neira, Carlos] Univ Calif San Diego, Scripps Inst Oceanog, Integrat Oceanog Div, La Jolla, CA 92093 USA; [Quiroga, Eduardo] CIEP, Bilbao, Coyhaique, Chile; [Teixido, Nuria] CSIC, CEAB, Ctr Adv Studies Blanes, Blanes, Girona, Spain</t>
  </si>
  <si>
    <t>Universidad Catolica del Norte; Universidad de Concepcion; University of California System; University of California San Diego; Scripps Institution of Oceanography; Consejo Superior de Investigaciones Cientificas (CSIC); CSIC - Centre d'Estudis Avancats de Blanes (CEAB)</t>
  </si>
  <si>
    <t>Sellanes, J (corresponding author), Univ Catolica Norte, Dept Biol Marina, Larrondo 1281, Coquimbo, Chile.</t>
  </si>
  <si>
    <t>sellanes@ucn.cl</t>
  </si>
  <si>
    <t>Sellanes, Javier/I-5722-2012; Sellanes, Javier/P-4699-2019</t>
  </si>
  <si>
    <t>Sellanes, Javier/0000-0002-6942-0762; Sellanes, Javier/0000-0002-6942-0762; Teixido, Nuria/0000-0001-9286-2852</t>
  </si>
  <si>
    <t>German BMBF [03GO156A]; FONDECYT [1061217]</t>
  </si>
  <si>
    <t>German BMBF(Federal Ministry of Education &amp; Research (BMBF)); FONDECYT(Comision Nacional de Investigacion Cientifica y Tecnologica (CONICYT)CONICYT FONDECYT)</t>
  </si>
  <si>
    <t>We thank the Census of Marine Life and affiliated field project COMARGE, in particular Drs Lisa Levin, Myriam Sibuet, Lenaick Menot, Craig Smith, Ann Vanreusel and Andrew Gooday, who organized the workshop 'Roles of Habitat Heterogeneity in generating and maintaining Continental Margin Biodiversity', held at Scripps Institution of Oceanography, CA, USA. We are also indebted to the participants of the R/V Sonne (SO-156, PUCK expedition 2001), especially Drs Wolf Arntz, Victor A. Gallardo, Dieter Gerdes and Dierk Hebbeln. The expedition was funded by the German BMBF (grant No. 03GO156A). We also thank the captain and crew of the Chilean Navy's R/V Vidal Gormaz for support at sea during the SeepOx cruise, funded by FONDECYT project #1061217 to J.S. The comments and suggestions of three anonymous reviewers greatly helped to improve this manuscript. The COPAS (Universidad de Concepcion) and CIEP (Gobierno Regional de Aysen) centers are thanked for support to J.S. and E.Q., respectively, during the writing phase of this work.</t>
  </si>
  <si>
    <t>0173-9565</t>
  </si>
  <si>
    <t>1439-0485</t>
  </si>
  <si>
    <t>MAR ECOL-EVOL PERSP</t>
  </si>
  <si>
    <t>Mar. Ecol.-Evol. Persp.</t>
  </si>
  <si>
    <t>10.1111/j.1439-0485.2009.00332.x</t>
  </si>
  <si>
    <t>571QK</t>
  </si>
  <si>
    <t>WOS:000275769300008</t>
  </si>
  <si>
    <t>Priede, IG; Godbold, JA; King, NJ; Collins, MA; Bailey, DM; Gordon, JDM</t>
  </si>
  <si>
    <t>Priede, Imants G.; Godbold, Jasmin A.; King, Nicola J.; Collins, Martin A.; Bailey, David M.; Gordon, John D. M.</t>
  </si>
  <si>
    <t>Deep-sea demersal fish species richness in the Porcupine Seabight, NE Atlantic Ocean: global and regional patterns</t>
  </si>
  <si>
    <t>Atlantic Ocean; biodiversity; deep-sea; fish; ocean margins</t>
  </si>
  <si>
    <t>EASTERN NORTH-ATLANTIC; ASSEMBLAGE STRUCTURE; ABYSSAL-PLAIN; BODY-SIZE; BIODIVERSITY; SLOPE; DIVERSITY; COMMUNITY; ABUNDANCE; BEHAVIOR</t>
  </si>
  <si>
    <t>The ichthyofauna of ocean margin regions is characterised by a succession of different species occurring at different depths. This study was aimed at determining whether the resultant pattern of species richness with depth is a consequence of local factors in a given region or whether it simply reflects the global pattern of fish species distribution in the oceans. Along the ocean margin of the temperate NE Atlantic Ocean in the Porcupine Seabight and Abyssal Plain region, 48 degrees-53 degrees N, a total of 108 demersal fish species were identified from 187 trawls at depths from 240 to 4865 m. Fitting of species accumulation curves predicted an asymptote of 120, indicating that the fauna is 90% described. Baited cameras detected 22 scavenging species with a predicted asymptote of 24 species. Scavenging species represented a constant 22.7% (SD 3.5%) of the total species richness throughout the depth range studied. Species richness per trawl varied between a maximum of 16 at 1600 m and 4 on the abyssal plain &gt; 4000 m with no significant influence of sea floor slope (a measure of topographic heterogeneity). Total species richness was 48 at 1600 m and 10 on the abyssal plain. There is a clear transition between slope species above 3000 m and abyssal species below. The depth at which peak species richness occurs (1100-2000 m) coincides with the depth of the permanent thermocline, presence of Mediterranean overflow water (MOW), seasonally strong currents, resuspension of particulate matter, high biomass of benthic filter feeders and pelagic biomass impinging on the slope. We suggest that these factors increase habitat and resource heterogeneity, thus supporting a wider range of fish species. The local pattern of species richness was compared with the global distribution of maximum depths of marine fish species from FishBase. Globally all three Classes of fishes, Agnatha, Chondrichthyes and Osteichthyes, showed a logarithmic decrease in species with depth, with the deepest observed species in each class occurring at 3003 m, 4156 m and 8370 m, respectively. In contrast, the local distribution of species maximum depths is idiosyncratic with a mean of 16.6 species maxima per 500 m at 1000-3000 m depth followed by three species per 500 m at 3500-4000 m and 11 species per 500 m at 5000 m. It is concluded that global patterns of species richness, as a source of recruitment, exert a weak influence on local patterns of species richness. Rather, global species richness is the sum of numerous regional and local patterns, each determined by characteristic environmental conditions.</t>
  </si>
  <si>
    <t>[Priede, Imants G.; Godbold, Jasmin A.; King, Nicola J.; Collins, Martin A.; Bailey, David M.] Univ Aberdeen, Oceanlab, Newburgh AB41 6AA, Aberdeen, Scotland; [Collins, Martin A.] British Antarctic Survey, NERC, Cambridge CB3 0ET, England; [Bailey, David M.] Univ Glasgow, Fac Biomed &amp; Life Sci, Glasgow, Lanark, Scotland; [Gordon, John D. M.] Scottish Assoc Marine Sci, Dunstaffnage Marine Lab, Oban, Argyll, Scotland</t>
  </si>
  <si>
    <t>University of Aberdeen; UK Research &amp; Innovation (UKRI); Natural Environment Research Council (NERC); NERC British Antarctic Survey; University of Glasgow; UHI Millennium Institute</t>
  </si>
  <si>
    <t>Priede, IG (corresponding author), Univ Aberdeen, Oceanlab, Newburgh AB41 6AA, Aberdeen, Scotland.</t>
  </si>
  <si>
    <t>i.g.priede@abdn.ac.uk</t>
  </si>
  <si>
    <t>Collins, Martin A/J-8560-2017; Godbold, Jasmin/AAB-2522-2022; , Martin/ABE-6728-2020; Bailey, David/A-6240-2008</t>
  </si>
  <si>
    <t>Godbold, Jasmin/0000-0001-5558-8188; , Martin/0000-0001-7132-8650; Priede, Imants/0000-0002-5064-9751; Bailey, David/0000-0002-0824-8823</t>
  </si>
  <si>
    <t>NERC [NE/C512961/1]; EU [MAS2-CT920033 1993-95]; NERC [NE/C512961/1, dml010005, bas010017] Funding Source: UKRI; Natural Environment Research Council [bas010017, NE/C512961/1, dml010005] Funding Source: researchfish</t>
  </si>
  <si>
    <t>NERC(UK Research &amp; Innovation (UKRI)Natural Environment Research Council (NERC)); EU(European Union (EU)); NERC(UK Research &amp; Innovation (UKRI)Natural Environment Research Council (NERC)); Natural Environment Research Council(UK Research &amp; Innovation (UKRI)Natural Environment Research Council (NERC))</t>
  </si>
  <si>
    <t>This work was supported by a series of NERC grants to the principal investigators including NE/C512961/1. The results of the early joint SAMS and IOS surveys were digitised with support from EU MAST Contract MAS2-CT920033 1993-95 and this analysis is supported by EU FP7 Projects CoralFish, HERMES and HERMIONE. We thank Alain F. Zuur for advice on statistics and Camila Henriques for permission to use unpublished data from her PhD thesis. We thank the ships' companies of the RRS Challenger and RRS Discovery.</t>
  </si>
  <si>
    <t>10.1111/j.1439-0485.2009.00330.x</t>
  </si>
  <si>
    <t>WOS:000275769300016</t>
  </si>
  <si>
    <t>Thorne, MAS; Burns, G; Fraser, KPP; Hillyard, G; Clark, MS</t>
  </si>
  <si>
    <t>Thorne, M. A. S.; Burns, G.; Fraser, K. P. P.; Hillyard, G.; Clark, M. S.</t>
  </si>
  <si>
    <t>Transcription profiling of acute temperature stress in the Antarctic plunderfish Harpagifer antarcticus</t>
  </si>
  <si>
    <t>MARINE GENOMICS</t>
  </si>
  <si>
    <t>Oxidative stress; Fatty acid oxidation; Energy production; Antioxidants; Heat shock proteins</t>
  </si>
  <si>
    <t>FISH TREMATOMUS-BERNACCHII; CDNA MICROARRAY ANALYSIS; ADENOSYL-L-METHIONINE; HEAT-SHOCK RESPONSE; GENE-EXPRESSION; OXYGEN AVAILABILITY; NOTOTHENIOID FISHES; RIBOSOMAL-PROTEINS; ADAPTIVE RADIATION; THERMAL TOLERANCE</t>
  </si>
  <si>
    <t>Harpagifer antarcticus (the Antarctic plunderfish), a shallow-water benthic fish distributed around the Antarctic Peninsula, is a member of the notothenioid family, one of whose adaptations to the cold waters of Antarctica has been the loss of the classic heat shock response. In order to gain a more comprehensive understanding of the effects of temperature stress on H. antarcticus, we constructed a liver cDNA library and a 10,371 feature microarray. This was hybridized with material from a time course series of animals held at 6 degrees C for 48 h. The resulting expression profiles show that this fish displays the classical vertebrate acute inflammatory response. There was also a pronounced signal for increased energy requirements via up-regulation of genes involved in the 13 oxidation of fatty acids and also a strong signature of response to oxidative stress. Genes in the latter category did not include the classic antioxidants such as glutathione S-transferase, but genes involved in the production of reducing potential in the form of NADPH, peroxisome proliferation via peroxisomal acyl co-enzyme A oxidase 1 and genes known to be up-regulated by hypoxia-inducible factor 1 (HIF1). These identifications provide clear support for oxygen being the whole animal limiting factor at least in acute short-term temperature challenges. The classical heat shock proteins were not up-regulated during this trial, although numerous clones for each were present on the gene chip, confirming the lack of this response in this species. These data significantly increase our knowledge of the cellular stress response from animals in this unique environment. (C) 2010 Elsevier B.V. All rights reserved.</t>
  </si>
  <si>
    <t>[Thorne, M. A. S.; Burns, G.; Fraser, K. P. P.; Hillyard, G.; Clark, M. S.] British Antarctic Survey, Nat Environm Res Council, Cambridge CB3 0ET, England</t>
  </si>
  <si>
    <t>Thorne, MAS (corresponding author), British Antarctic Survey, Nat Environm Res Council, Madingley Rd, Cambridge CB3 0ET, England.</t>
  </si>
  <si>
    <t>mior@bas.ac.uk</t>
  </si>
  <si>
    <t>; Clark, Melody/D-7371-2014</t>
  </si>
  <si>
    <t>Thorne, Michael/0000-0001-7759-612X; Clark, Melody/0000-0002-3442-3824</t>
  </si>
  <si>
    <t>NERC National Facility for Scientific Diving at Oban; Natural Environment Research Council [dml011000, bas0100025] Funding Source: researchfish; NERC [dml011000, bas0100025] Funding Source: UKRI</t>
  </si>
  <si>
    <t>NERC National Facility for Scientific Diving at Oban(UK Research &amp; Innovation (UKRI)Natural Environment Research Council (NERC)); Natural Environment Research Council(UK Research &amp; Innovation (UKRI)Natural Environment Research Council (NERC)); NERC(UK Research &amp; Innovation (UKRI)Natural Environment Research Council (NERC))</t>
  </si>
  <si>
    <t>This paper was produced within the BAS Q4 BIOREACH/BIOFLAME core programmes. Informal discussions with Andrew Clarke, Lloyd Peck, Simon Morley and Manuela Truebano were very helpful. Many thanks to Lloyd Peck for the critical reading of the manuscript. The authors would like to thank all the members of the Rothera Dive Team for providing samples and the NEBC Bio-linux team (http://nebc.nox.ac.uk/) for assistance with the bioinformatics and provision of software packages. Overall diving support was provided by the NERC National Facility for Scientific Diving at Oban.</t>
  </si>
  <si>
    <t>1874-7787</t>
  </si>
  <si>
    <t>1876-7478</t>
  </si>
  <si>
    <t>MAR GENOM</t>
  </si>
  <si>
    <t>Mar. Genom.</t>
  </si>
  <si>
    <t>10.1016/j.margen.2010.02.002</t>
  </si>
  <si>
    <t>Genetics &amp; Heredity; Marine &amp; Freshwater Biology</t>
  </si>
  <si>
    <t>610JQ</t>
  </si>
  <si>
    <t>WOS:000278728800005</t>
  </si>
  <si>
    <t>Okazaki, R; Takaoka, N; Nagao, K; Nakamura, T</t>
  </si>
  <si>
    <t>Okazaki, Ryuji; Takaoka, Nobuo; Nagao, Keisuke; Nakamura, Tomoki</t>
  </si>
  <si>
    <t>Noble gases in enstatite chondrites released by stepped crushing and heating</t>
  </si>
  <si>
    <t>SOLAR ENERGETIC PARTICLES; PRIMITIVE CHONDRITES; INTERSTELLAR GRAINS; COSMOGENIC NUCLIDES; ISOTOPIC ANOMALIES; THERMAL HISTORY; EXPOSURE AGES; MELT ROCKS; PHASE-Q; METEORITES</t>
  </si>
  <si>
    <t>Enstatite chondrites (ECs) were subjected to noble gas analyses using stepped crushing and pyrolysis extraction methods. ECs can be classified into subsolar gas-carrying and subsolar gas-free ECs based on the 36Ar/84Kr/132Xe ratios. For subsolar gas-free ECs, elemental ratios, and Xe isotopic compositions indicate that Q gas is the dominant trapped component, the Q gas concentration can be correlated with the petrologic type, reasonably explained by gas release from a common EC parental material during subsequent heating. Atmospheric Xe with sub-Q elemental ratios is found in Antarctic E3s at 600-800 degrees C and through crushing. The 132Xe released in these fractions accounts for 30-60% of the bulk concentrations. Hence, the sub-Q signature is generally due to contamination of elementally fractionated atmosphere. Subsolar gas is mainly released (up to 78% of the bulk 36Ar) at 1300-1600 degrees C and through crushing, suggesting that enstatite and friable phases are the host phases. Subsolar gas is isotopically identical to solar gas, but elementally fractionated. These observations are consistent with a previous study, which suggested that subsolar gas could be fractionated solar wind having been implanted into chondrule precursors (Okazaki et al. 2001). Unlike subsolar gas-free ECs, the primordial gas concentrations of subsolar gas-carrying ECs are not simply correlated with the petrologic type. It is inferred that subsolar gas-rich chondrules were heterogeneously distributed in the solar nebula and accreted to form subsolar gas-carrying ECs. Subsequent metamorphic and impact-shock heating events have affected noble gas compositions to various degrees.</t>
  </si>
  <si>
    <t>[Okazaki, Ryuji; Takaoka, Nobuo; Nakamura, Tomoki] Kyushu Univ, Fac Sci, Dept Earth &amp; Planetary Sci, Fukuoka 8128581, Japan; [Nagao, Keisuke] Univ Tokyo, Grad Sch Sci, Earthquake Chem Lab, Bunkyo Ku, Tokyo 1130033, Japan</t>
  </si>
  <si>
    <t>Kyushu University; University of Tokyo</t>
  </si>
  <si>
    <t>Okazaki, R (corresponding author), Kyushu Univ, Fac Sci, Dept Earth &amp; Planetary Sci, 33 Hakozaki, Fukuoka 8128581, Japan.</t>
  </si>
  <si>
    <t>okazaki@geo.kyushu-u.ac.jp</t>
  </si>
  <si>
    <t>JSPS</t>
  </si>
  <si>
    <t>JSPS(Ministry of Education, Culture, Sports, Science and Technology, Japan (MEXT)Japan Society for the Promotion of Science)</t>
  </si>
  <si>
    <t>We are grateful to Drs. U. Ott, R. Wieler, and A. Patzer for their critical reviews and comments. We thank the National Institute of Polar Research for providing the sample of Antarctic ECs. This work was partly supported by the JSPS Research Fellowships for Young Scientists for R. Okazaki.</t>
  </si>
  <si>
    <t>10.1111/j.1945-5100.2010.01025.x</t>
  </si>
  <si>
    <t>625OM</t>
  </si>
  <si>
    <t>WOS:000279904700001</t>
  </si>
  <si>
    <t>Weisberg, MK; Smith, C; Benedix, G; Herd, CDK; Righter, K; Haack, H; Yamaguchi, A; Aoudjehane, HC; Grossman, JN</t>
  </si>
  <si>
    <t>Weisberg, Michael K.; Smith, Caroline; Benedix, Gretchen; Herd, Christopher D. K.; Righter, Kevin; Haack, Henning; Yamaguchi, Akira; Aoudjehane, Hasnaa Chennaoui; Grossman, Jeffrey N.</t>
  </si>
  <si>
    <t>The Meteoritical Bulletin, No. 97</t>
  </si>
  <si>
    <t>In this edition of The Meteoritical Bulletin, a total of 506 newly approved meteorite names with their relevant data are reported. These include 354 from northwest Africa, 31 from the Americas, 15 from Antarctica (Koreamet), 85 from Asia, 20 from Australia, and 1 from Europe. Among these meteorites are 2 falls, Grimsby (Canada) and Santa Lucia (2008) (Argentina). Also described are a CM with low degree of alteration, new ungrouped chondrites and achondrites, and 4 Martian meteorites.</t>
  </si>
  <si>
    <t>[Weisberg, Michael K.] CUNY, Kingsborough Community Coll, Dept Phys Sci, Brooklyn, NY 11235 USA; [Weisberg, Michael K.] CUNY, Grad Sch, Brooklyn, NY 11235 USA; [Weisberg, Michael K.] Amer Museum Nat Hist, Dept Earth &amp; Planetary Sci, New York, NY 10024 USA; [Smith, Caroline; Benedix, Gretchen] Nat Hist Museum, Dept Mineral, London SW7 5BD, England; [Smith, Caroline] Univ Glasgow, Sch Geog &amp; Earth Sci, Glasgow G12 8QQ, Lanark, Scotland; [Herd, Christopher D. K.] Univ Alberta, Dept Earth &amp; Atmospher Sci, Edmonton, AB T6G 2E3, Canada; [Righter, Kevin] NASA, Lyndon B Johnson Space Ctr, Code KT, Houston, TX 77058 USA; [Haack, Henning] Univ Copenhagen, Nat Hist Museum Denmark, DK-1350 Copenhagen K, Denmark; [Yamaguchi, Akira] Natl Inst Polar Res, Antarctic Meteorite Res Ctr, Tokyo 1908518, Japan; [Aoudjehane, Hasnaa Chennaoui] Univ Hassan II Casablanca, Fac Sci, Dept Geol, Casablanca, Morocco; [Grossman, Jeffrey N.] US Geol Survey, Reston, VA 20192 USA</t>
  </si>
  <si>
    <t>City University of New York (CUNY) System; City University of New York (CUNY) System; American Museum of Natural History (AMNH); Natural History Museum London; University of Glasgow; University of Alberta; National Aeronautics &amp; Space Administration (NASA); NASA Johnson Space Center; University of Copenhagen; Research Organization of Information &amp; Systems (ROIS); National Institute of Polar Research (NIPR) - Japan; Hassan II University of Casablanca; United States Department of the Interior; United States Geological Survey</t>
  </si>
  <si>
    <t>Weisberg, MK (corresponding author), CUNY, Kingsborough Community Coll, Dept Phys Sci, 2001 Oriental Blvd, Brooklyn, NY 11235 USA.</t>
  </si>
  <si>
    <t>meteorite@kingsborough.edu</t>
  </si>
  <si>
    <t>Haack, Henning/A-4807-2013; Herd, Christopher/IYJ-9105-2023; Smith, Caroline/AAO-3652-2020; Chennaoui, Hasnaa/KGL-7333-2024; Benedix, Gretchen/L-1953-2018</t>
  </si>
  <si>
    <t>Haack, Henning/0000-0002-4618-3178; Smith, Caroline/0000-0001-7005-6470; Chennaoui, Hasnaa/0000-0001-8792-246X; Righter, Kevin/0000-0002-6075-7908; Benedix, Gretchen/0000-0003-0990-8878; Herd, Christopher/0000-0001-5210-4002</t>
  </si>
  <si>
    <t>10.1111/j.1945-5100.2010.01036.x</t>
  </si>
  <si>
    <t>WOS:000279904700009</t>
  </si>
  <si>
    <t>Chang-Seng, DS; Jury, MR</t>
  </si>
  <si>
    <t>Chang-Seng, Denis S.; Jury, Mark R.</t>
  </si>
  <si>
    <t>Tropical cyclones in the SW Indian Ocean. Part 1: inter-annual variability and statistical prediction</t>
  </si>
  <si>
    <t>METEOROLOGY AND ATMOSPHERIC PHYSICS</t>
  </si>
  <si>
    <t>ANTARCTIC CIRCUMPOLAR WAVE; SEA-SURFACE-TEMPERATURE; SEASONAL HURRICANE FREQUENCY; QUASI-BIENNIAL OSCILLATION; EL-NINO; SOUTHERN-OSCILLATION; AFRICAN RAINFALL; CLIMATE VARIABILITY; CIRCULATION; ASSOCIATIONS</t>
  </si>
  <si>
    <t>The southwestern Indian Ocean (SWIO) is characterized by significant climate variability and frequent tropical cyclones (TC). Year-to-year fluctuations of TC and associated oceanic and atmospheric fields in the period 1961-2002 are studied with reanalysis data as composites and cross-correlations, with wavelet filtering and cross-modulus analysis, and by hovmoller analysis and multi-variate statistical modeling. Observational limitations in the early part of the record are recognized. An intense TC-days index is formed and is characterized by quasi-biennial to decadal cycles that relate to ocean Rossby waves and high latitude atmospheric circulations, respectively. New variables are uncovered that significantly improve the seasonal prediction of SWIO TC. One predictor is the geopotential height in the SE Pacific, which explains 31% of SWIO TC variability. It foretells of downstream oscillations in the sub-tropical jet stream, which govern wind shear, an equatorial duct and attendant circulation anomalies over the SWIO. An anti-phase association between Amazon convection and intense TCs is found to be related to the Atlantic Zonal Circulation. Drought across the Amazon is related to an increase in TC activity in the SWIO, when zonal wind anomalies over the Atlantic become upper easterly/lower westerly. This feature is related to Pacific Ocean El Nio Southern Oscillation phase. A La Nia signal favors TC development through a westward propagating cyclonic circulation and downweling Rossby wave in the South Indian Ocean that enhances thermodynamic energy. It is recommended to repeat this analysis every few years to determine whether teleconnections evolve due to climate drift or improving observations.</t>
  </si>
  <si>
    <t>[Jury, Mark R.] Univ Puerto Rico, Dept Phys, Mayaguez, PR USA; [Chang-Seng, Denis S.] United Nations Univ, Inst Environm &amp; Human Secur, Bonn, Germany; [Jury, Mark R.] Univ Zululand, Kwa Dlangezwa, South Africa</t>
  </si>
  <si>
    <t>University of Puerto Rico; University of Puerto Rico Mayaguez; University of Zululand</t>
  </si>
  <si>
    <t>Jury, MR (corresponding author), Univ Puerto Rico, Dept Phys, Mayaguez, PR USA.</t>
  </si>
  <si>
    <t>denischangseng@hotmail.com; mark.jury@upr.edu</t>
  </si>
  <si>
    <t>Rinaldi2, Carlos/D-4479-2011</t>
  </si>
  <si>
    <t>SPRINGER WIEN</t>
  </si>
  <si>
    <t>Vienna</t>
  </si>
  <si>
    <t>Prinz-Eugen-Strasse 8-10, A-1040 Vienna, AUSTRIA</t>
  </si>
  <si>
    <t>0177-7971</t>
  </si>
  <si>
    <t>1436-5065</t>
  </si>
  <si>
    <t>METEOROL ATMOS PHYS</t>
  </si>
  <si>
    <t>Meteorol. Atmos. Phys.</t>
  </si>
  <si>
    <t>10.1007/s00703-009-0055-2</t>
  </si>
  <si>
    <t>555NR</t>
  </si>
  <si>
    <t>WOS:000274519500003</t>
  </si>
  <si>
    <t>Strugnell, J; Allcock, AL</t>
  </si>
  <si>
    <t>Strugnell, Jan; Allcock, A. Louise</t>
  </si>
  <si>
    <t>Co-estimation of phylogeny and divergence times of Argonautoidea using relaxed phylogenetics</t>
  </si>
  <si>
    <t>Cephalopoda; Octopodiformes</t>
  </si>
  <si>
    <t>COLEOID CEPHALOPODS; MOLECULAR PHYLOGENY; MOLLUSCA; EVOLUTION; OCTOPODA; MODEL; SEA</t>
  </si>
  <si>
    <t>This is the first study to investigate molecular phylogenetic relationships among all four genera of the superfamily Argonautoidea, a clade of diverse pelagic cephalopods with extraordinary characters such as ovoviviparity, dwarf males and secondary shell development. Phylogenetic relationships and divergence times within the superfamily were co-estimated using relaxed phylogenetic techniques. A sistertaxon relationship was recovered between Argonauta and Ocythoe and between Tremoctopus and Haliphron. The most recent common ancestor of Argonautoidea was estimated to date from the early Tertiary under the scenario that a lack of a shell in the ocythoid lineage is a primary characteristic. In contrast, a later Tertiary most recent common ancestor was estimated under the scenario that a shell was present in the early ocythoid lineage and was Subsequently lost. (C) 2009 Elsevier Inc. All rights reserved.</t>
  </si>
  <si>
    <t>[Strugnell, Jan] Univ Cambridge, Dept Zool, Cambridge CB2 3EJ, England; [Strugnell, Jan] La Trobe Univ, Dept Genet, Bundoora, Vic 3086, Australia; [Allcock, A. Louise] Natl Univ Ireland, Martin Ryan Marine Sci Inst, Galway, Ireland</t>
  </si>
  <si>
    <t>University of Cambridge; La Trobe University; Ollscoil na Gaillimhe-University of Galway</t>
  </si>
  <si>
    <t>Strugnell, J (corresponding author), Univ Cambridge, Dept Zool, Downing St, Cambridge CB2 3EJ, England.</t>
  </si>
  <si>
    <t>jan.strugnell@gmail.com; louise.allcock@gmail.com</t>
  </si>
  <si>
    <t>Allcock, Louise/A-7359-2012; Strugnell, Jan/B-1698-2010</t>
  </si>
  <si>
    <t>Allcock, Louise/0000-0002-4806-0040; Strugnell, Jan/0000-0003-2994-637X</t>
  </si>
  <si>
    <t>NERC [AFI NE/C506321/1]; Lloyd's Tercentenary Fellowship</t>
  </si>
  <si>
    <t>NERC(UK Research &amp; Innovation (UKRI)Natural Environment Research Council (NERC)); Lloyd's Tercentenary Fellowship</t>
  </si>
  <si>
    <t>J.S. was supported by NERC AFI NE/C506321/1 awarded to L.A., and a Lloyd's Tercentenary Fellowship. We are grateful to Marina Santurtun (AZTI foundation, Spain), Mike Vecchione (Smithsonian Institution), Mark Norman (Museum Victoria), Martin Collins (British Antarctic Survey) and David Carlini (American University) for supplying tissue samples and to Dick Young and Mark Norman for critically reviewing the manuscript. The majority of the analyses in this paper were done on the CamGrid cluster at the University of Cambridge and we are grateful to the Cambridge eScience Centre for its Support of the system.</t>
  </si>
  <si>
    <t>10.1016/j.ympev.2009.11.017</t>
  </si>
  <si>
    <t>563YM</t>
  </si>
  <si>
    <t>WOS:000275176500004</t>
  </si>
  <si>
    <t>Holland, P</t>
  </si>
  <si>
    <t>Holland, Paul</t>
  </si>
  <si>
    <t>CLIMATE CHANGE Warm bath for an ice sheet</t>
  </si>
  <si>
    <t>GREENLAND; ACCELERATION; GLACIER</t>
  </si>
  <si>
    <t>British Antarctic Survey, Cambridge CB3 0ET, England</t>
  </si>
  <si>
    <t>Holland, P (corresponding author), British Antarctic Survey, Madingley Rd, Cambridge CB3 0ET, England.</t>
  </si>
  <si>
    <t>p.holland@bas.ac.uk</t>
  </si>
  <si>
    <t>Natural Environment Research Council [bas0100028] Funding Source: researchfish; NERC [bas0100028] Funding Source: UKRI</t>
  </si>
  <si>
    <t>Natural Environment Research Council(UK Research &amp; Innovation (UKRI)Natural Environment Research Council (NERC)); NERC(UK Research &amp; Innovation (UKRI)Natural Environment Research Council (NERC))</t>
  </si>
  <si>
    <t>10.1038/ngeo801</t>
  </si>
  <si>
    <t>561KF</t>
  </si>
  <si>
    <t>WOS:000274974700005</t>
  </si>
  <si>
    <t>De Pol-Holz, R; Keigwin, L; Southon, J; Hebbeln, D; Mohtadi, M</t>
  </si>
  <si>
    <t>De Pol-Holz, Ricardo; Keigwin, Lloyd; Southon, John; Hebbeln, Dierk; Mohtadi, Mahyar</t>
  </si>
  <si>
    <t>No signature of abyssal carbon in intermediate waters off Chile during deglaciation</t>
  </si>
  <si>
    <t>LAST GLACIAL PERIOD; ATMOSPHERIC CO2 CONCENTRATIONS; SOUTHERN-OCEAN; SEA-ICE; CIRCULATION; CALIBRATION; WESTERLIES; PACIFIC; EVENTS; RISE</t>
  </si>
  <si>
    <t>At the end of the Last Glacial Maximum (19,000 to 11,000 years ago), atmospheric carbon dioxide concentrations rose while the Delta(14)C of atmospheric carbon dioxide declined(1,2). These changes have been attributed to an injection of carbon dioxide with low radiocarbon activity from an oceanic abyssal reservoir that was isolated from the atmosphere for several thousand years before deglaciation(3). The current understanding points to the Southern Ocean as the main area of exchange between these reservoirs(4). Intermediate water formed in the Southern Ocean surrounding Antarctica would have then carried the old carbon dioxide signature to the lower-latitude oceans(5,6). Here we reconstruct the Delta(14)C signature of Antarctic Intermediate Water off the coast of Chile for the past 20,000 years, using paired (14)C ages of benthic and planktonic foraminifera. In contrast to the above scenario, we find that the Delta(14)C signature of the Antarctic Intermediate Water closely matches the modelled surface ocean Delta(14)C, precluding the influence of an old carbon source. We suggest that if the abyssal ocean is indeed the source of the radiocarbon-depleted carbon dioxide, an alternative path for the mixing and propagation of its carbon dioxide may be required to explain the observed changes in atmospheric carbon dioxide concentration and radiocarbon activity.</t>
  </si>
  <si>
    <t>[De Pol-Holz, Ricardo; Keigwin, Lloyd] MS 8 Woods Hole Oceanog Inst, Dept Geol &amp; Geophys, Woods Hole, MA 02543 USA; [Southon, John] Univ Calif Irvine, Earth Syst Sci Dept, Irvine, CA 92697 USA; [Mohtadi, Mahyar] Univ Bremen, Ctr Marine Environm Sci, MARUM, D-28359 Bremen, Germany</t>
  </si>
  <si>
    <t>University of California System; University of California Irvine; University of Bremen</t>
  </si>
  <si>
    <t>De Pol-Holz, R (corresponding author), MS 8 Woods Hole Oceanog Inst, Dept Geol &amp; Geophys, Woods Hole, MA 02543 USA.</t>
  </si>
  <si>
    <t>rdepolho@uci.edu</t>
  </si>
  <si>
    <t>Mohtadi, Mahyar/N-2106-2014; De Pol-Holz, Ricardo/E-3740-2013; Hebbeln, Dierk/P-9766-2016</t>
  </si>
  <si>
    <t>Mohtadi, Mahyar/0000-0003-3306-0969; De Pol-Holz, Ricardo/0000-0002-3281-8232; Hebbeln, Dierk/0000-0001-5099-6115</t>
  </si>
  <si>
    <t>NSF [OCE-0751643]; Cooperative Institute for Climate and Ocean Research (CICOR); Division Of Ocean Sciences; Directorate For Geosciences [0751643] Funding Source: National Science Foundation</t>
  </si>
  <si>
    <t>NSF(National Science Foundation (NSF)); Cooperative Institute for Climate and Ocean Research (CICOR); Division Of Ocean Sciences; Directorate For Geosciences(National Science Foundation (NSF)NSF - Directorate for Geosciences (GEO))</t>
  </si>
  <si>
    <t>We thank M. Carman and the National Ocean Science Accelerator Mass Spectrometer Facility and Keck Carbon Cycle Accelerator Mass Spectrometer staff for technical support. Financial support for this work came from the NSF grant OCE-0751643. R.D.P.-H. was supported by the Cooperative Institute for Climate and Ocean Research (CICOR) postdoctoral fellowship at the Woods Hole Oceanographic Institution.</t>
  </si>
  <si>
    <t>10.1038/NGEO745</t>
  </si>
  <si>
    <t>WOS:000274974700021</t>
  </si>
  <si>
    <t>le Roux, PC; McGeoch, MA</t>
  </si>
  <si>
    <t>le Roux, Peter Christiaan; McGeoch, Melodie A.</t>
  </si>
  <si>
    <t>Interaction intensity and importance along two stress gradients: adding shape to the stress-gradient hypothesis</t>
  </si>
  <si>
    <t>OECOLOGIA</t>
  </si>
  <si>
    <t>Biotic interactions; Environmental gradient; Facilitation; Nurse plant; Severity-interaction relationship</t>
  </si>
  <si>
    <t>NEGATIVE PLANT INTERACTIONS; SPECIES AZORELLA-SELAGO; POSITIVE INTERACTIONS; CUSHION PLANTS; MARION ISLAND; FACILITATION; COMPETITION; VEGETATION; PHOTOSYNTHESIS; CONSEQUENCES</t>
  </si>
  <si>
    <t>The stress-gradient hypothesis (SGH) predicts that the community-wide prevalence of positive interactions, relative to negative interactions, is greater under more severe environmental conditions. Because the frequency of positive and negative interactions within a community is the aggregate of multiple pair-wise interactions, one approach to testing the SGH is to examine how pair-wise interactions vary along severity gradients. While the SGH suggests that the net outcome of an interaction should monotonically become more positive with increasing environmental severity, recent studies have suggested that the severity-interaction relationship (SIR) may rather be unimodal. We tested which of the proposed shapes of the SIR best fits the variation in the interaction between two species along two types of severity gradients on sub-Antarctic Marion Island. This was done by comparing the performance of the grass Agrostis magellanica in the presence and absence of the cushion plant Azorella selago, along both species' entire altitudinal ranges (transects spanning 4-8 km), and along a shorter (transect = 0.4 km) wind exposure gradient. Along the altitudinal transects the relative intensity, but not the absolute intensity or the importance, of the Azorella selago-Agrostis magellanica interaction increased with altitude, consistently forming a plateau-shaped SIR with a positive asymptote. Thus, while the performance of Agrostis magellanica was negatively affected by Azorella selago at low altitudes, the grass benefited from growing on the cushion plant under greater environmental severity. Along the wind exposure gradient the intensity of the interaction also became more positive with increasing environmental severity for most performance measures. This suggests that the switch from a net negative to a net positive interaction can occur across both short and long distances. Therefore, this study provides strong evidence for a plateau-shaped SIR, and confirms that the SIR is unimodal along the particular non-resource severity gradients of this study.</t>
  </si>
  <si>
    <t>[le Roux, Peter Christiaan] Univ Stellenbosch, Dept Bot &amp; Zool, Ctr Invas Biol, ZA-7602 Matieland, South Africa; [le Roux, Peter Christiaan; McGeoch, Melodie A.] Univ Stellenbosch, Dept Conservat Ecol &amp; Entomol, Ctr Invas Biol, ZA-7602 Matieland, South Africa; [McGeoch, Melodie A.] Cape Res Ctr, ZA-7947 Steenberg, South Africa</t>
  </si>
  <si>
    <t>Stellenbosch University; Stellenbosch University</t>
  </si>
  <si>
    <t>le Roux, PC (corresponding author), Univ Stellenbosch, Dept Bot &amp; Zool, Ctr Invas Biol, Private Bag X1, ZA-7602 Matieland, South Africa.</t>
  </si>
  <si>
    <t>pleroux@sun.ac.za</t>
  </si>
  <si>
    <t>le Roux, Peter Christiaan/E-7784-2011; McGeoch, Melodie/F-8353-2011</t>
  </si>
  <si>
    <t>le Roux, Peter Christiaan/0000-0002-7941-7444; McGeoch, Melodie/0000-0003-3388-2241</t>
  </si>
  <si>
    <t>South African National Research Foundation; South African National Antarctic Program [2069543, SNA 2004070900002]; Stellenbosch University</t>
  </si>
  <si>
    <t>South African National Research Foundation(National Research Foundation - South Africa); South African National Antarctic Program; Stellenbosch University</t>
  </si>
  <si>
    <t>~Marion Burger, Natalie Haussmann, Mawethu Nyakatya and Tess Rautenbach are thanked for field assistance and two anonymous reviewers for their thoughtful comments. Financial support was provided by the South African National Research Foundation, the South African National Antarctic Program ( grant number 2069543 and SNA 2004070900002) and Stellenbosch University. This research complied with the current laws of South Africa.</t>
  </si>
  <si>
    <t>0029-8549</t>
  </si>
  <si>
    <t>1432-1939</t>
  </si>
  <si>
    <t>Oecologia</t>
  </si>
  <si>
    <t>10.1007/s00442-009-1484-9</t>
  </si>
  <si>
    <t>555NF</t>
  </si>
  <si>
    <t>WOS:000274518000019</t>
  </si>
  <si>
    <t>Esper, O; Gersonde, R; Kadagies, N</t>
  </si>
  <si>
    <t>Esper, Oliver; Gersonde, Rainer; Kadagies, Nicole</t>
  </si>
  <si>
    <t>Diatom distribution in southeastern Pacific surface sediments and their relationship to modern environmental variables</t>
  </si>
  <si>
    <t>PALAEOGEOGRAPHY PALAEOCLIMATOLOGY PALAEOECOLOGY</t>
  </si>
  <si>
    <t>Diatoms; Marine sediments; Amundsen Sea; Bellingshausen Sea; Antarctic Circumpolar Current; Canonical redundancy analysis</t>
  </si>
  <si>
    <t>SOUTHERN-OCEAN SEDIMENTS; SEASONAL SEA-ICE; BELLINGSHAUSEN SEA; BRANSFIELD STRAIT; DINOFLAGELLATE CYSTS; ANTARCTIC WATERS; BIOGENIC SILICA; INDIAN SECTOR; AMUNDSEN SEA; ROSS SEA</t>
  </si>
  <si>
    <t>The quantitative analysis of diatom assemblages preserved in 52 samples from the Bellingshausen and the Amundsen Seas provides the first comprehensive view on the distribution of diatoms in surface sediments of the eastern and central Pacific sector of the Southern Ocean. On a latitudinal transect along 120 degrees W, diatom valve accumulation rates (AR) reach maximum values (8-10 x 10(8) valves m(-2) yr(-1)) in a zone extending over ca. 900 km between the Antarctic Polar Front and the maximum average winter sea ice extent and exceed those ARs obtained from an eastern transect along 90 degrees W by one order of magnitude. Lowest diatom concentrations (1-3 x 10(6) valves g(-1)) were encountered in sediments of the Sea Ice Zone, affected by winter and summer sea ice. The accumulation rate pattern of the most abundant diatom Fragilariopsis kerguelensis (&gt;50% abundance in 47 samples) mirrors the pattern of the total diatom valve AR and the biogenic silica (BSi) AR, making F. kerguelensis the major contributor to the BSi preserved at the sea floor. Relative abundances of diatom species and species groups were statistically compared with a selection of environmental variables, such as the mean summer sea surface temperature and salinity, mean annual surface nutrient concentration (nitrate, phosphate, silicon), mean annual water column stratification, mixed layer depth in summer, and mean summer and winter sea ice concentrations. Polynomial canonical redundancy analysis (RDA) revealed the biogeographic distribution of diatom species had the strongest relationship with summer sea surface temperature (SSST) out of the nine tested environmental variables. This relationship accounted for 69.6% of the total variance of the diatom distribution, with 29.7% explained by the first gradient (significantly correlated to SSST with r(2) = 0.941) and 15.6% explained by the second gradient (correlated to both summer and winter sea ice and silicon concentration). Azpeitia tabularis, Hemidiscus cuneiformis and Roperia tesselata were associated with warmer water conditions (&gt;4 degrees C), whereas Fragilariopsis curta, F. separanda, F. rhombica and Thalassiosira gracilis were correlated with cold SSST (&lt;1.5 degrees C). Under the second gradient relationship, Actinocyclus actinochilus and F. curta were the most important diatoms representative of the diatom distribution in relation to the observed mean summer and winter sea ice concentrations. Confirming these environmental relationships is crucial for the development of reference data sets used in quantitative estimations of palaeoclimatic and palaeoceanographic conditions with statistical methods. This new data set represents the first modernised treatment of diatom remains from the SE Pacific Ocean and generally supports the use of a circum-polar database for the determination of summer SST, sea ice and potentially biogenic silica distribution of the Southern Ocean back into the Late Quaternary. (C) 2010 Elsevier B.V. All rights reserved.</t>
  </si>
  <si>
    <t>[Esper, Oliver; Gersonde, Rainer; Kadagies, Nicole] Alfred Wegener Inst Polar &amp; Marine Res, D-27568 Bremerhaven, Germany</t>
  </si>
  <si>
    <t>Esper, O (corresponding author), Alfred Wegener Inst Polar &amp; Marine Res, Columbusstr, D-27568 Bremerhaven, Germany.</t>
  </si>
  <si>
    <t>Oliver.Esper@awi.de</t>
  </si>
  <si>
    <t>Esper, Oliver/0000-0002-4342-3471</t>
  </si>
  <si>
    <t>German Israel Foundation (GIF); DFG-Research Center/Cluster of Excellence The Ocean in the Earth System in Bremen, Germany</t>
  </si>
  <si>
    <t>German Israel Foundation (GIF)(German-Israeli Foundation for Scientific Research and Development); DFG-Research Center/Cluster of Excellence The Ocean in the Earth System in Bremen, Germany(German Research Foundation (DFG))</t>
  </si>
  <si>
    <t>The authors are grateful to the anonymous reviewers for constructive reviews and comments on the manuscript We thank R. Crawford, G. Cortese and CL De La Rocha for useful comments and a fruitful discussion. We acknowledge the technical assistance of U. Bock and R. Cordelair. This study was supported by grants from the German Israel Foundation (GIF) and the DFG-Research Center/Cluster of Excellence The Ocean in the Earth System in Bremen, Germany.</t>
  </si>
  <si>
    <t>0031-0182</t>
  </si>
  <si>
    <t>1872-616X</t>
  </si>
  <si>
    <t>PALAEOGEOGR PALAEOCL</t>
  </si>
  <si>
    <t>Paleogeogr. Paleoclimatol. Paleoecol.</t>
  </si>
  <si>
    <t>10.1016/j.palaeo.2009.12.006</t>
  </si>
  <si>
    <t>Geography, Physical; Geosciences, Multidisciplinary; Paleontology</t>
  </si>
  <si>
    <t>Physical Geography; Geology; Paleontology</t>
  </si>
  <si>
    <t>576WH</t>
  </si>
  <si>
    <t>WOS:000276180100001</t>
  </si>
  <si>
    <t>Hongo, C; Kayanne, H</t>
  </si>
  <si>
    <t>Hongo, Chuki; Kayanne, Hajime</t>
  </si>
  <si>
    <t>Holocene sea-level record from corals: Reliability of paleodepth indicators at Ishigaki Island, Ryukyu Islands, Japan</t>
  </si>
  <si>
    <t>Coral; Coral reef; Sea level; Holocene; Ryukyu Islands; Ice sheet</t>
  </si>
  <si>
    <t>LAST GLACIAL MAXIMUM; GENERAL-CIRCULATION MODEL; WESTERN INDIAN-OCEAN; REEF GROWTH; NORTHWESTERN PACIFIC; LATE PLEISTOCENE; HYDRO-ISOSTASY; INDO-PACIFIC; BARRIER-REEF; MIDHOLOCENE</t>
  </si>
  <si>
    <t>Holocene sea-level change provides direct evidence of the melting of ice sheets; however, our understanding of the timing and course of such change is limited by a lack of information regarding environmental condition of corals. For example, Holocene sea-level curves are compiled based on water depths estimated from the occurrence of a small number of coral species, as species identification is difficult work. The error associated with this method of estimating sea level exceeds +/-2.5 m. In addition, there generally occurs a difference in the living-water depth of corals between high-energy reefs and low- to moderate-energy reefs. This difference in living-water depth also results in an error in reconstructed sea-level curves. In the present study, we analyzed drill core and recorded the vertical distribution of corals at the high-energy lbaruma reef and low- to moderate-energy Fukido reef, Ishigaki Island, Ryukyu Islands, Japan. Analyses of corymbose Acropora (A. digitifera), massive Goniastrea (G. retiformis), massive Pocillopora (P. verrucosa), massive Platygyra (P. ryukyuensis), and other corals enables the accurate reconstruction of a sea-level curve because these species are distributed in a narrow range, with a weighted mean (M-w) error of between +/- 0.5 and +/- 2.5 m. These observation data from lbaruma and Fukido reefs can be used to reconstruct Holocene sea-level curves based on drill core data from lbaruma reef; however, the two reefs yield contrasting sea-level curves: the curve reconstructed based on data from Fukido reef is several meters deeper than that reconstructed based on data from lbaruma reef. This discrepancy reflects the different energy levels of the two reefs (high-energy at lbaruma reef and low- to moderate-energy at Fukido reef). Therefore, the accurate reconstruction of a Holocene sea-level curve requires the identification of species from drill core and observations of the vertical distribution of species at the present-day reef at a location close to the drilling site. The Holocene sea-level curve reconstructed based on drill core data from lbaruma reef reveals a rapid sea-level rise of approximately 7.5 m kyr(-1) between 8000 and 6000 cal. years BP. The rate of sea-level rise decreased from 75 to 3.5 m kyr(-1) between 6000 and 5000 cal. years BP. A mid-Holocene highstand occurred at around 5000 cal. years BP, at a level of approximately 3 +/- 2.5 m above the present mean sea level. The increase in ocean volume corresponding to this sea-level rise indicates that melting of the Antarctic ice sheet continued beyond 6000 cal. years BP, as most of the Northern Hemisphere ice sheets had melted by 6000 cal. years BP, resulting in sea levels similar to those of the present day. (C) 2010 Elsevier B.V. All rights reserved.</t>
  </si>
  <si>
    <t>[Hongo, Chuki; Kayanne, Hajime] Univ Tokyo, Dept Earth &amp; Planetary Sci, Bunkyo Ku, Tokyo 1130033, Japan</t>
  </si>
  <si>
    <t>University of Tokyo</t>
  </si>
  <si>
    <t>Hongo, C (corresponding author), Univ Tokyo, Dept Earth &amp; Planetary Sci, Bunkyo Ku, Sci Bldg 1,7-3-1 Hongo, Tokyo 1130033, Japan.</t>
  </si>
  <si>
    <t>c-hongo@eps.s.u-tokyo.ac.jp</t>
  </si>
  <si>
    <t>Hongo, Chuki/AAO-8380-2020; Kayanne, Hajime/F-3025-2012</t>
  </si>
  <si>
    <t>Hongo, Chuki/0000-0002-9293-4163; Kayanne, Hajime/0000-0002-6382-095X</t>
  </si>
  <si>
    <t>The University Museum (The University of Tokyo); World Wide Fund of Nature Japan</t>
  </si>
  <si>
    <t>We thank Dr. Kaoru Sugihara for help with identifying corals. We thank Mr. Eizo Shimabukuro, Mr. Makoto Sasaki, Mr. Ide Yoichi, and Mr. Tomohiro Mitsuoka for assistance in the field when performing the belt-transect survey. We also thank T. Correge, G. Camoin, and an anonymous reviewer for their valuable suggestions and comments. This work was supported financially by foundation grants from The University Museum (The University of Tokyo) and the World Wide Fund of Nature Japan.</t>
  </si>
  <si>
    <t>10.1016/j.palaeo.2010.01.033</t>
  </si>
  <si>
    <t>WOS:000276180100011</t>
  </si>
  <si>
    <t>Singh, AK; Singh, SB; Patel, RP</t>
  </si>
  <si>
    <t>Singh, A. K.; Singh, S. B.; Patel, R. P.</t>
  </si>
  <si>
    <t>An explanation of the observation of whistler-mode chorus emissions at the Indian Antarctic station, Maitri (L=4.5)</t>
  </si>
  <si>
    <t>PHYSICA SCRIPTA</t>
  </si>
  <si>
    <t>VLF CHORUS; MAGNETOSPHERIC CHORUS; COMPUTER-SIMULATIONS; GENERATION MECHANISM; HISS</t>
  </si>
  <si>
    <t>Observation of whistler-mode chorus emissions recorded at the Indian Antarctic station, Maitri (lat = 70 degrees 46'S, long = 11 degrees 50'E, L = 4(5), during a quiet period on 5 February 2001 has been reported. The detailed spectral analysis of recorded chorus emissions shows that each chorus element originates from the upper edge of the underlying hiss band. To explain the observed dynamic spectra of these chorus emissions, a possible generation mechanism is presented based on the recent nonlinear theory. It is observed that the seeds of chorus emissions with rising frequency are generated near the magnetic equator as a result of a nonlinear growth mechanism that depends on the wave amplitude. On the basis of this theory, the frequency sweep rate of chorus emission is computed and compared with that of our experimentally observed values, which in general shows good agreement.</t>
  </si>
  <si>
    <t>[Singh, A. K.; Singh, S. B.] Banaras Hindu Univ, Dept Phys, Atmospher Res Lab, Varanasi 221005, Uttar Pradesh, India; [Singh, S. B.] VKS Univ, Maharaja Coll, Dept Phys, Ara 802301, India; [Patel, R. P.] MMHPG Coll, Dept Phys, Gaziabad 201009, India</t>
  </si>
  <si>
    <t>Banaras Hindu University (BHU)</t>
  </si>
  <si>
    <t>Singh, AK (corresponding author), Banaras Hindu Univ, Dept Phys, Atmospher Res Lab, Varanasi 221005, Uttar Pradesh, India.</t>
  </si>
  <si>
    <t>abhay_s@rediffmail.com</t>
  </si>
  <si>
    <t>Singh, Abhay/AAF-9558-2020</t>
  </si>
  <si>
    <t>Singh, Abhay/0000-0002-8834-2464</t>
  </si>
  <si>
    <t>DST, New Delhi; ISRO, Bangalore</t>
  </si>
  <si>
    <t>DST, New Delhi(Department of Science &amp; Technology (India)); ISRO, Bangalore</t>
  </si>
  <si>
    <t>The work was partly supported by DST, New Delhi and partly by ISRO, Bangalore.</t>
  </si>
  <si>
    <t>IOP PUBLISHING LTD</t>
  </si>
  <si>
    <t>BRISTOL</t>
  </si>
  <si>
    <t>TEMPLE CIRCUS, TEMPLE WAY, BRISTOL BS1 6BE, ENGLAND</t>
  </si>
  <si>
    <t>0031-8949</t>
  </si>
  <si>
    <t>1402-4896</t>
  </si>
  <si>
    <t>PHYS SCRIPTA</t>
  </si>
  <si>
    <t>Phys. Scr.</t>
  </si>
  <si>
    <t>10.1088/0031-8949/81/03/035901</t>
  </si>
  <si>
    <t>Physics, Multidisciplinary</t>
  </si>
  <si>
    <t>Physics</t>
  </si>
  <si>
    <t>564NY</t>
  </si>
  <si>
    <t>WOS:000275223000026</t>
  </si>
  <si>
    <t>Macrì, P; Sagnotti, L; Dinares-Turell, J; Caburlotto, A</t>
  </si>
  <si>
    <t>Macri, Patrizia; Sagnotti, Leonardo; Dinares-Turell, Jaume; Caburlotto, Andrea</t>
  </si>
  <si>
    <t>Relative geomagnetic paleointensity of the Brunhes Chron and the Matuyama-Brunhes precursor as recorded in sediment core from Wilkes Land Basin (Antarctica)</t>
  </si>
  <si>
    <t>PHYSICS OF THE EARTH AND PLANETARY INTERIORS</t>
  </si>
  <si>
    <t>Paleomagnetism; Relative paleointensity; Brunhes Chron; Matuyama-Brunhes precursor; Antarctica</t>
  </si>
  <si>
    <t>DEEP-SEA SEDIMENTS; MEDITERRANEAN PISTON CORE; OCEAN DRILLING PROGRAM; EARTHS MAGNETIC-FIELD; REMANENCE ACQUISITION; PALEOMAGNETIC DATA; LOCK-IN; ASTRONOMICAL CALIBRATION; PELAGIC SEDIMENTS; ORBITAL INFLUENCE</t>
  </si>
  <si>
    <t>Paleomagnetic and rock magnetic investigation was performed on the 35-m long MD03-2595 CADO (Coring Adelie Diatom Oozes) piston core recovered on the continental rise of the Wilkes Land Basin (East Antarctica). Analysis of the characteristic remanent magnetization (ChRM) inclination record indicates a normal magnetic polarity for the uppermost 34 m of the sequence and a distinctive abrupt polarity change at the bottom of the core. This polarity change, which spans a 27 cm thick stratigraphic interval, represents a detailed record of the Matuyama-Brunhes (M-B) transition and it is preceded by a sharp oscillation in paleomagnetic directions that may correlate to the M-B precursor event. Paleomagnetic measurements enable reconstruction of geomagnetic relative paleointensity (RPI) variations, and a high-resolution age model was established by correlating the CADO RPI curve to the available global reference RPI stack, indicating that the studied sequence reaches back to ca. 800 ka with an average sedimentation rate of 4.4 cm/ka. Orbital periodicities (100 ka and 41 ka) were found in the ChRM inclination record, and a significant coherence of ChRM inclination and RPI record around 100 ka suggests that long-term geomagnetic secular variation in inclination is controlled by changes in the relative strength of the geocentric axial dipole and persistent non-dipole components. Moreover, even if the relatively homogeneous rock magnetic parameters and lithofacies throughout the recovered sequence indicates a substantial stability of the East Antarctic Ice Sheet during the middle and late Pleistocene, influence of the 100 ka and 41 ka orbital periodicities has been detected in some rock magnetic parameters, indicating subtle variations in the concentration and grain-size of the magnetic minerals linked to orbital forcing of the global climate. (C) 2009 Elsevier B.V. All rights reserved.</t>
  </si>
  <si>
    <t>[Macri, Patrizia; Sagnotti, Leonardo; Dinares-Turell, Jaume] Ist Nazl Geofis &amp; Vulcanol, I-00143 Rome, Italy; [Caburlotto, Andrea] Ist Nazl Oceanog &amp; Geofis Sperimentale, I-34010 Trieste, Italy</t>
  </si>
  <si>
    <t>Istituto Nazionale Geofisica e Vulcanologia (INGV); Istituto Nazionale di Oceanografia e di Geofisica Sperimentale</t>
  </si>
  <si>
    <t>Macrì, P (corresponding author), Ist Nazl Geofis &amp; Vulcanol, Via Vigna Murata 605, I-00143 Rome, Italy.</t>
  </si>
  <si>
    <t>patrizia.macri@ingv.it</t>
  </si>
  <si>
    <t>Macrì, Patrizia/ABD-2144-2021; Sagnotti, Leonardo/AFM-3916-2022; Dinarès-Turell, Jaume/G-2852-2011</t>
  </si>
  <si>
    <t>Macrì, Patrizia/0000-0003-2287-4019; Sagnotti, Leonardo/0000-0003-3944-201X; Dinarès-Turell, Jaume/0000-0002-5546-2291; caburlotto, andrea/0000-0001-7259-6884</t>
  </si>
  <si>
    <t>PNRA (Programma Nazionale di Ricerche in Antartide) [MD03-2595 CADO]</t>
  </si>
  <si>
    <t>PNRA (Programma Nazionale di Ricerche in Antartide)</t>
  </si>
  <si>
    <t>The MD03-2595 CADO core was studied as part of the QUASAR (QUAternary Sedimentary processes on the east Antarctic continental Rise) project that was funded by the PNRA (Programma Nazionale di Ricerche in Antartide). Members of the QUASAR working group are acknowledge for help with continued discussion on core stratigraphy and sedimentology. We thank two anonymous reviewers for their comments and suggestions, which allowed to improve the manuscript.</t>
  </si>
  <si>
    <t>0031-9201</t>
  </si>
  <si>
    <t>PHYS EARTH PLANET IN</t>
  </si>
  <si>
    <t>Phys. Earth Planet. Inter.</t>
  </si>
  <si>
    <t>10.1016/j.pepi.2009.12.002</t>
  </si>
  <si>
    <t>601RT</t>
  </si>
  <si>
    <t>WOS:000278082200007</t>
  </si>
  <si>
    <t>Sakamoto, KQ; Sato, K; Kato, A; Fukui, D; Bando, G; Naito, Y; Habara, Y; Ishizuka, M; Fujita, S</t>
  </si>
  <si>
    <t>Sakamoto, Kentaro Q.; Sato, Katsufumi; Kato, Akiko; Fukui, Daisuke; Bando, Gen; Naito, Yasuhiko; Habara, Yoshiaki; Ishizuka, Mayumi; Fujita, Shoichi</t>
  </si>
  <si>
    <t>Metabolic Alkalosis due to Feeding Chicks in Breeding Adelie Penguins Pygoscelis adeliae under Natural Conditions</t>
  </si>
  <si>
    <t>PHYSIOLOGICAL AND BIOCHEMICAL ZOOLOGY</t>
  </si>
  <si>
    <t>PORTABLE CLINICAL ANALYZER; INCUBATING KING PENGUINS; LONG-TERM PRESERVATION; ACID-BASE-BALANCE; CHINSTRAP PENGUINS; ANTARCTIC PENGUINS; THERMAL-STRESS; FOOD; BLOOD; TEMPERATURE</t>
  </si>
  <si>
    <t>Prolonged abnormal vomiting causes metabolic alkalosis. Many seabirds are known to feed their chicks by regurgitation. We hypothesized that metabolic alkalosis occurs in seabirds even under natural conditions during the breeding season. Adelie penguins Pygoscelis adeliae feed their chicks by regurgitating food for 50-60 d until the chicks fledge. In this study, the concentrations of Cl(-), HCO(3)(-), Na(+), K(+), pH, and Pco(2) in the blood of breeding Adelie penguins were measured throughout the chick-rearing season. The pH of penguin venous blood shifted from 7.54 in the guarding period to 7.47 in the creche period. Decreasing Cl(-) and increasing HCO(3)(-) blood concentrations in parents were associated with increasing mass of their brood in the guarding period, the early phase of the rearing season, indicating that regurgitating to feed chicks causes loss of gastric acid and results in relative metabolic alkalosis. The inverse trend was observed during the creche period, the latter phase of the rearing season, when parents spent more time at sea and have fewer opportunities for gastric acid loss. This was assumed to be the recovery phase. These results indicate that regurgitation might cause metabolic alkalosis in breeding Adelie penguins. To our knowledge, this is the first report to indicate that seabirds exhibit metabolic alkalosis due to regurgitation to feed chicks under natural conditions.</t>
  </si>
  <si>
    <t>[Sakamoto, Kentaro Q.; Ishizuka, Mayumi; Fujita, Shoichi] Hokkaido Univ, Grad Sch Vet Med, Dept Environm Vet Sci, Toxicol Lab, Sapporo, Hokkaido 0600818, Japan; [Sato, Katsufumi] Univ Tokyo, Ocean Res Inst, Int Coastal Res Ctr, Otsuchi, Iwate 0281102, Japan; [Kato, Akiko] Natl Inst Polar Res, Itabashi Ku, Tokyo 1738515, Japan; [Fukui, Daisuke; Bando, Gen] Asahiyama Zool Pk &amp; Wildlife Conservat Ctr, Asahikawa, Hokkaido 0788205, Japan; [Naito, Yasuhiko] Biologging Inst, Tokyo 1130034, Japan; [Habara, Yoshiaki] Hokkaido Univ, Grad Sch Vet Med, Dept Biomed Sci, Physiol Lab, Sapporo, Hokkaido 0600818, Japan</t>
  </si>
  <si>
    <t>Hokkaido University; University of Tokyo; Research Organization of Information &amp; Systems (ROIS); National Institute of Polar Research (NIPR) - Japan; Hokkaido University</t>
  </si>
  <si>
    <t>Sakamoto, KQ (corresponding author), Hokkaido Univ, Grad Sch Vet Med, Dept Environm Vet Sci, Toxicol Lab, N18W9 N Ward, Sapporo, Hokkaido 0600818, Japan.</t>
  </si>
  <si>
    <t>sakamoto@vetmed.hokudai.ac.jp</t>
  </si>
  <si>
    <t>Sakamoto, Kentaro/N-7424-2019; Kato, Akiko/W-2447-2019; Ishizuka, Mayumi/F-9548-2012; Sakamoto, Kentaro/A-4843-2012</t>
  </si>
  <si>
    <t>Sakamoto, Kentaro/0000-0002-8499-799X; Sakamoto, Kentaro/0000-0002-8499-799X; Kato, Akiko/0000-0002-8947-3634</t>
  </si>
  <si>
    <t>Japan Society for the Promotion of Science [15201009, 18658129]; Grants-in-Aid for Scientific Research [15201009, 18658129]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</si>
  <si>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</si>
  <si>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would like to thank S. Imura, S. Kudoh, H. Shimada, M. Iida, and all members of the forty-fifth and forty-sixth Japanese Antarctic Research Expedition (JARE 45 and 46) for their assistance with field work. We would also like to thank the crew of the icebreaker Shirase for their logistical support. We are grateful to two anonymous reviewers for reviewing the manuscript and providing helpful suggestions. This work was conducted under grants from JARE 45 and 46 and grants-in-aid from the Japan Society for the Promotion of Science (15201009 and 18658129).</t>
  </si>
  <si>
    <t>1522-2152</t>
  </si>
  <si>
    <t>PHYSIOL BIOCHEM ZOOL</t>
  </si>
  <si>
    <t>Physiol. Biochem. Zool.</t>
  </si>
  <si>
    <t>10.1086/597517</t>
  </si>
  <si>
    <t>554OD</t>
  </si>
  <si>
    <t>WOS:000274443400004</t>
  </si>
  <si>
    <t>Cryptic mitochondrial lineages in the widespread pycnogonid Colossendeis megalonyx Hoek, 1881 from Antarctic and Subantarctic waters</t>
  </si>
  <si>
    <t>Antarctic benthos; Pycnogonida; Circumpolar distribution; Cryptic species; Phylogeography; Deep sea; Colossendeidae</t>
  </si>
  <si>
    <t>CIRCUMPOLAR CURRENT; ASELLOTA CRUSTACEA; OCEAN BARRIERS; BENTHIC FAUNA; POLAR FRONT; SEA; DNA; EVOLUTIONARY; SPECIATION; ISOPODA</t>
  </si>
  <si>
    <t>Colossendeis megalonyx Hoek, 1881 is a widespread and abundant pycnogonid in the Southern Ocean which has also been reported from the South Atlantic and South Pacific Oceans. Its strictly benthic lifestyle is expected to promote genetic differentiation among populations and ultimately facilitate speciation. On the other hand, the reported eurybathy and unknown larval stages of this species may allow Colossendeis megalonyx to maintain genetic continuity between isolated shallow-water habitats by active dispersal through the deep sea or by passive rafting on floating substrates. Thus, it remains unknown whether and to which extent geographically separated populations of Colossendeis megalonyx maintain gene flow in the Southern Ocean. We sampled 96 specimens of Colossendeis megalonyx from three stations in the Atlantic Sector of the Southern Ocean and one station from the South American continental shelf (Burdwood Bank). The genetic structure of nominal Colossendeis megalonyx as well as its phylogenetic position within the genus Colossendeis were assessed using a fragment of the cytochrome c oxidase subunit 1 gene. Our data strongly support that nominal Colossendeis megalonyx consists of at least five cryptic and one pseudocryptic mitochondrial lineages, four of which appear to be geographically restricted. Two lineages occurred at locations separated by more than 1,000 km in the Antarctic, thus indicating high levels of gene flow or recent colonization. No haplotype sharing across the Polar Frontal Zone was observed. Our results strongly suggest that cryptic speciation occurred within the genus Colossendeis. The wide biogeographic distribution range of Colossendeis megalonyx and perhaps that of other Antarctic pycnogonids should therefore be regarded with caution.</t>
  </si>
  <si>
    <t>[Krabbe, Kathrin; Leese, Florian; Mayer, Christoph; Tollrian, Ralph] Ruhr Univ Bochum, Lehrstuhl Evolut Okol &amp; Biodiversitat Tiere, D-44801 Bochum, Germany; [Held, Christoph] Alfred Wegener Inst Polar &amp; Marine Res, D-27515 Bremerhaven, Germany</t>
  </si>
  <si>
    <t>Leese, F (corresponding author), Ruhr Univ Bochum, Lehrstuhl Evolut Okol &amp; Biodiversitat Tiere, D-44801 Bochum, Germany.</t>
  </si>
  <si>
    <t>Ruhr-University of Bochum (Rektoratsfonds); NSF [OPP-0132032]</t>
  </si>
  <si>
    <t>Ruhr-University of Bochum (Rektoratsfonds); NSF(National Science Foundation (NSF))</t>
  </si>
  <si>
    <t>We would like to thank Franz Krapp for his help with the determination of specimens and for helpful comments on this manuscript. Hieronymus Dastych kindly provided valuable reference specimens. Claudia Arango provided us with helpful information on the biology of colossendeids. This work was supported by a grant of the Ruhr-University of Bochum (Rektoratsfonds) to FL and CM, and a NSF grant OPP-0132032 to H. W. Detrich III. This is publication number 24 from the ICEFISH Cruise of 2004.</t>
  </si>
  <si>
    <t>10.1007/s00300-009-0703-5</t>
  </si>
  <si>
    <t>567QU</t>
  </si>
  <si>
    <t>WOS:000275462500002</t>
  </si>
  <si>
    <t>Waluda, CM; Gregory, S; Dunn, MJ</t>
  </si>
  <si>
    <t>Waluda, Claire M.; Gregory, Susan; Dunn, Michael J.</t>
  </si>
  <si>
    <t>Long-term variability in the abundance of Antarctic fur seals Arctocephalus gazella at Signy Island, South Orkneys</t>
  </si>
  <si>
    <t>Arctocephalus gazella; Haul-out pattern; Long-term variability; Migrant population; Fast-ice; South Orkney Islands</t>
  </si>
  <si>
    <t>SUMMER-AUTUMN PERIOD; LAURIE ISLAND; REPRODUCTIVE SUCCESS; POPULATION-STRUCTURE; CHINSTRAP PENGUINS; MOSSMAN PENINSULA; BREEDING-SEASON; PUP PRODUCTION; HEARD-ISLAND; BIRD ISLAND</t>
  </si>
  <si>
    <t>The number of Antarctic fur seals Arctocephalus gazella hauled out at Signy Island in the South Orkneys was monitored annually between 1977 and 2008. Over the study period seal abundance showed a tenfold increase, from a minimum of 1,643 seals in 1978 to a maximum of 21,303 in 1994. The majority of individuals observed were young adult males, likely to be migrants from South Georgia, with small numbers of female seals and only 65 pups recorded during the survey period. Variability in counts showed a similar pattern to Laurie Island, also in the South Orkneys archipelago, suggesting a similar annual immigration of seals to these two islands. The date of first seal arrival was correlated with the date of fast-ice breakout at Factory Cove, Signy Island, and years in which break out was exceptionally late (&gt; 21 December) corresponded with years of reduced seal abundance. While the presence of fast-ice during the early breeding season may currently inhibit the establishment of a major breeding population of fur seals at Signy Island, it is important that routine monitoring should continue, particularly in the light of current patterns of climate warming in the Antarctic.</t>
  </si>
  <si>
    <t>[Waluda, Claire M.; Gregory, Susan; Dunn, Michael J.] British Antarctic Survey, NERC, Cambridge CB3 0ET, England</t>
  </si>
  <si>
    <t>Waluda, CM (corresponding author), British Antarctic Survey, NERC, High Cross,Madingley Rd, Cambridge CB3 0ET, England.</t>
  </si>
  <si>
    <t>clwa@bas.ac.uk</t>
  </si>
  <si>
    <t>Dunn, Michael/0000-0003-4633-5466</t>
  </si>
  <si>
    <t>NERC [bas0100025] Funding Source: UKRI; Natural Environment Research Council [bas0100025] Funding Source: researchfish</t>
  </si>
  <si>
    <t>10.1007/s00300-009-0706-2</t>
  </si>
  <si>
    <t>WOS:000275462500004</t>
  </si>
  <si>
    <t>Zapata-Guardiola, R; López-González, PJ</t>
  </si>
  <si>
    <t>Zapata-Guardiola, Rebeca; Lopez-Gonzalez, Pablo J.</t>
  </si>
  <si>
    <t>Two new gorgonian genera (Octocorallia: Primnoidae) from Southern Ocean waters</t>
  </si>
  <si>
    <t>Cnidaria; Coelenterata; Antarctica; SubAntarctic; Tauroprimnoa; Digitogorgia</t>
  </si>
  <si>
    <t>ANTHOZOA; GENUS; BIODIVERSITY; COELENTERATA; BIOGEOGRAPHY; CNIDARIA; GRAY</t>
  </si>
  <si>
    <t>Tauroprimnoa austasensis gen. nov., sp. nov. and Digitogorgia kuekenthali gen. nov., sp. nov. are described and illustrated from Southern Ocean waters. The most distinctive characters of the newly proposed genera are, in Tauroprimnoa, the existence of four marginal scales, two abaxials with a strong thorn, and the presence of a single abaxial longitudinal row of body scales. In the case of Digitogorgia, the colony branching pattern, the structure of the opercular scales, and the presence of a complete cycle of accessory opercular scales are the distinct features to distinguish it from previously known genera. Tauroprimnoa austasensis sp. nov. is reported from the Eastern Weddell Sea, Antarctica, while Digitogorgia kuekenthali sp. nov. has been found in the SubAntarctic waters off Burdwood Bank and, in the south east of Isla Nueva in Chilean Patagonia.</t>
  </si>
  <si>
    <t>[Zapata-Guardiola, Rebeca; Lopez-Gonzalez, Pablo J.] Univ Seville, Fac Biol, Dept Fisiol &amp; Zool, E-41012 Seville, Spain</t>
  </si>
  <si>
    <t>University of Sevilla</t>
  </si>
  <si>
    <t>Zapata-Guardiola, R (corresponding author), Univ Seville, Fac Biol, Dept Fisiol &amp; Zool, Reina Mercedes 6, E-41012 Seville, Spain.</t>
  </si>
  <si>
    <t>rebzapgua@alum.us.es; pjlopez@us.es</t>
  </si>
  <si>
    <t>Lopez-González, Pablo J./Y-6440-2018; Zapata-Guardiola, Rebeca/E-6310-2010</t>
  </si>
  <si>
    <t>Lopez-González, Pablo J./0000-0002-7348-6270; Zapata-Guardiola, Rebeca/0000-0001-9106-3696</t>
  </si>
  <si>
    <t>Spanish CICYT [REN2001-4929-E/ANT, REN2003-04236]</t>
  </si>
  <si>
    <t>Spanish CICYT(Consejo Interinstitucional de Ciencia y Tecnologia (CICYT))</t>
  </si>
  <si>
    <t>The authors would like to thank Dr. R. van Soest and E. J. Beglinger (Universiteit van Amsterdam) and Bernhard Ruthensteiner and Eva Lodde (Zoologische Staatssammlung Munchen) for lending museum specimens for examination. We also acknowledge the valuable assistance of the oYcers and crew of the R/V Polarstern, and many colleagues on board during the ANT XIII/4, LAMPOS and BENDEX cruises. We take this opportunity to extend our thanks to the cruise leaders and steering committee of the cruises especially, Wolf E. Arntz (Alfred Wegener Institut, Bremerhaven), who kindly facilitated the work on board, and for the opportunity provided to collaborate in these Antarctic programmes; to Erika Mutschke and Carlos Rios (Universidad de Magallanes, Chile) for making available the material collected during the Polarstern cruise ANT XIII/4. Special thanks are also due to some friends and colleagues for their valuable assistance during ANT XIII/4 (Erika Mutschke, Carlos Rios, Americo Montiel), LAMPOS (Neus Vert and Estefan a Rodr guez) and BENDEX (Estefan a Rodriguez, Josep-Maria Gili) cruises. The authors are also thankful for comments and suggestions given by Setephen Cairns, Phil Alderslade, and the Editor. Support for this study was provided by the Spanish CICYT projects REN2001-4929-E/ANT (LAMPOS), and REN2003-04236 (BENDEX). Mr. Tony Krupa is thanked for reviewing the English version.</t>
  </si>
  <si>
    <t>10.1007/s00300-009-0707-1</t>
  </si>
  <si>
    <t>WOS:000275462500005</t>
  </si>
  <si>
    <t>La Mesa, M; Caputo, V; Eastman, JT</t>
  </si>
  <si>
    <t>La Mesa, Mario; Caputo, Vincenzo; Eastman, Joseph T.</t>
  </si>
  <si>
    <t>Some reproductive traits of the Tristan klipfish, Bovichtus diacanthus (Carmichael 1819) (Notothenioidei: Bovichtidae) from Tristan da Cunha (South Atlantic)</t>
  </si>
  <si>
    <t>Bovichtus diacanthus; Tristan da Cunha; Reproduction; Batch spawning</t>
  </si>
  <si>
    <t>PATAGONOTOTHEN-TESSELLATA RICHARDSON; BEAGLE-CHANNEL; ELEGINOPS-MACLOVINUS; NESTING-BEHAVIOR; ANTARCTIC FISHES; OOCYTE GROWTH; PARENTAL CARE; ICEFISH; PERCIFORMES; ARGENTINA</t>
  </si>
  <si>
    <t>The reproductive biology of the Tristan klipfish, Bovichtus diacanthus, was investigated by macroscopic and histological analyses of the gonads. Fish samples were collected in tide pools at Tristan da Cunha in July 2004. Most specimens of both sexes were developing, or sexually mature, with a gonadosomatic index (GSI) of 7.0-9.2% in females and 0.2-0.6% in males. Histologically, testes showed a random distribution of spermatogonia along the lobules, a condition defined as the unrestricted spermatogonial type. Ripe males exhibited lobules with all spermatogenic stages of development from spermatogonia to spermatozoa. In mature females, the ovarian follicles consisted of three main cohorts of oocytes of different sizes; the smaller one represented by previtellogenic oocytes of 15-150 mu m and the other two by yolked oocytes measuring, respectively, 300-1000 and 800-1500 mu m. The overlap between the stock of advanced yolked oocytes and the early yolked oocytes was low, decreasing progressively with final maturation. As a result, B. diacanthus was considered a batch spawner, with a spawning season extending from July to August onward. Batch fecundity, based on the most advanced yolked oocytes, was 2,047-8,317 mature oocytes/female, whereas the relative fecundity was 77-141 mature oocytes/g. In the light of the phyletically basal position of bovichtids in the suborder, the reproductive traits of B. diacanthus were compared with those previously described in other Antarctic and non-Antarctic notothenioids.</t>
  </si>
  <si>
    <t>[La Mesa, Mario] ISMAR CNR, Ist Sci Marine, I-60125 Ancona, Italy; [Caputo, Vincenzo] Univ Politecn Marche, Ist Biol &amp; Genet, I-60131 Ancona, Italy; [Eastman, Joseph T.] Ohio Univ, Dept Biomed Sci, Coll Osteopath Med, Athens, OH 45701 USA</t>
  </si>
  <si>
    <t>Consiglio Nazionale delle Ricerche (CNR); Istituto di Scienze Marine (ISMAR-CNR); Marche Polytechnic University; University System of Ohio; Ohio University</t>
  </si>
  <si>
    <t>La Mesa, M (corresponding author), ISMAR CNR, Ist Sci Marine, I-60125 Ancona, Italy.</t>
  </si>
  <si>
    <t>m.lamesa@ismar.cnr.it</t>
  </si>
  <si>
    <t>Eastman, Joseph T/A-9786-2008; Eastman, Joseph T./O-6150-2019; CNR, Ismar/P-1247-2014</t>
  </si>
  <si>
    <t>Eastman, Joseph T./0000-0003-3868-261X; CNR, Ismar/0000-0001-5351-1486</t>
  </si>
  <si>
    <t>National Science Foundation [OPP 01-32032, ANT 04-36190]; PNRA (Italian National Antarctic Research Program)</t>
  </si>
  <si>
    <t>National Science Foundation(National Science Foundation (NSF)); PNRA (Italian National Antarctic Research Program)</t>
  </si>
  <si>
    <t>We thank the captain, crew, and personnel of Raytheon Polar Services aboard the RVIB Nathaniel B. Palmer for their excellent assistance during the cruise. The ICEFISH 2004 cruise was supported by National Science Foundation Grant OPP 01-32032 to H. William Detrich (Northeastern University). This study was financially supported by the PNRA (Italian National Antarctic Research Program). J. T. Eastman was supported by National Science Foundation Grant ANT 04-36190. We thank John C. Montgomery, Eva Pisano and an anonymous referee for their comments, which greatly improved the early draft of the manuscript.</t>
  </si>
  <si>
    <t>10.1007/s00300-009-0710-6</t>
  </si>
  <si>
    <t>WOS:000275462500007</t>
  </si>
  <si>
    <t>Diez, MJ; Lovrich, GA</t>
  </si>
  <si>
    <t>Diez, Mariano J.; Lovrich, Gustavo A.</t>
  </si>
  <si>
    <t>Reproductive biology of the crab Halicarcinus planatus (Brachyura, Hymenosomatidae) in sub-Antarctic waters</t>
  </si>
  <si>
    <t>Ballast water; Reproductive strategies; Decapoda; Multiple spawning; Antarctic invaders; Southwest Atlantic Ocean</t>
  </si>
  <si>
    <t>FEMALE SNOW CRAB; DECAPOD CRUSTACEANS; BEAGLE CHANNEL; CHIONOECETES-OPILIO; CLIMATE-CHANGE; EMBRYONIC-DEVELOPMENT; PARALOMIS-GRANULOSA; SEXUAL-MATURITY; DESEADO RIVER; 1ST RECORD</t>
  </si>
  <si>
    <t>Halicarcinus planatus is the only member of the family Hymenosomatidae that occurs in the southern tip of South America. The aim of this study is to determine both the reproductive cycle and reproductive traits of the population of H. planatus nearest to southern limit of its geographical distribution. Results of this work allow us to determine two consecutive reproductive periods in this species. Maximum values of gonadosomatic index, oocyte diameter and ovarian development in March and August indicate that spawning takes place in May and September. The simultaneous ovarian maturity and the embryonic development show that female H. planatus can re-mature its ovary. The capability of H. planatus to develop their ovaries while females are ovigerous is a unique feature among the sub-Antarctic decapods and probably an adaptative advantage to extreme environments. Based on the different biological features and recent environmental changes along the Western Antarctic Peninsula, our hypothesis is that H. planatus possesses the potential to invade shallow waters and intertidal zones in this region.</t>
  </si>
  <si>
    <t>[Diez, Mariano J.; Lovrich, Gustavo A.] CADIC, CONICET, Ushuaia, Tierra Fuego, Argentina</t>
  </si>
  <si>
    <t>Consejo Nacional de Investigaciones Cientificas y Tecnicas (CONICET)</t>
  </si>
  <si>
    <t>Diez, MJ (corresponding author), CADIC, CONICET, Houssay 200,V9410CAB, Ushuaia, Tierra Fuego, Argentina.</t>
  </si>
  <si>
    <t>marianodiez@cadic.gov.ar</t>
  </si>
  <si>
    <t>Lovrich, Gustavo/0000-0001-8424-6566</t>
  </si>
  <si>
    <t>Administracion de Parques Nacionales [APN 829]; Agencia Nacional de Promocion Cientifica y Tecnologica [PICT 011385]; CONICET, Argentina</t>
  </si>
  <si>
    <t>Administracion de Parques Nacionales; Agencia Nacional de Promocion Cientifica y Tecnologica(ANPCyTSpanish Government); CONICET, Argentina(Consejo Nacional de Investigaciones Cientificas y Tecnicas (CONICET))</t>
  </si>
  <si>
    <t>We are grateful to O. Florentin, F. Tapella, P. Perez-Barros, M. P. Sotelano, M. C. Romero, G. Scioscia and M. Liljesthrom for their assistance in the field; to M. Kittlein for developing adaptation of MATURE routine for Excel. E. Spivak, S. Thatje, M. C. Romero and two anonymous reviewers provided useful suggestions for manuscript improvement. This study was funded by the Administracion de Parques Nacionales (APN 829) and Agencia Nacional de Promocion Cientifica y Tecnologica (PICT 011385). MJD has a doctoral fellowship from CONICET, Argentina. This paper is based on work done by MJD in partial fulfilment of the requirements for the PhD degree at Universidad Nacional de Mar del Plata, Argentina.</t>
  </si>
  <si>
    <t>10.1007/s00300-009-0716-0</t>
  </si>
  <si>
    <t>WOS:000275462500012</t>
  </si>
  <si>
    <t>Edwards, EWJ; Forcada, J; Crossin, GT</t>
  </si>
  <si>
    <t>Edwards, Ewan W. J.; Forcada, Jaume; Crossin, Glenn T.</t>
  </si>
  <si>
    <t>First documentation of leopard seal predation of South Georgia pintail duck</t>
  </si>
  <si>
    <t>Leopard seal; Pintail duck; Predation; South Georgia</t>
  </si>
  <si>
    <t>HYDRURGA-LEPTONYX; WINTER DISPERSAL; ANTARCTICA; ABUNDANCE; ISLAND</t>
  </si>
  <si>
    <t>Leopard seals are regular winter visitors to Bird Island, South Georgia, where they mostly prey on fur seals and penguins, and to a lesser extent on Antarctic krill and fish. Leopard seals can exploit many different species, but there are no records of predation on flying shorebirds in the wild. On 4 October 2008, an individually identified juvenile leopard seal female was observed killing and eating a South Georgia Pintail duck. It also preyed on Antarctic fur seals and gentoo and macaroni penguins during its 2-month temporary residency around the island. The varied diet of this seal exemplifies the generalist prey utilization typical of its species. Long-term diet studies at Bird Island and the published record suggest that predation on ducks is a rather exceptional finding; individual ducks are more likely to escape leopard seal attacks than penguins and provide a far less substantial ration. This note documents the first observation of this species of duck in the diet of leopard seals.</t>
  </si>
  <si>
    <t>[Edwards, Ewan W. J.; Forcada, Jaume] British Antarctic Survey, NERC, Cambridge CB3 0ET, England; [Crossin, Glenn T.] Ctr Ecol &amp; Hydrol, Abbots Ripton PE28 2LS, Hunts, England</t>
  </si>
  <si>
    <t>UK Research &amp; Innovation (UKRI); Natural Environment Research Council (NERC); NERC British Antarctic Survey; UK Centre for Ecology &amp; Hydrology (UKCEH)</t>
  </si>
  <si>
    <t>Forcada, J (corresponding author), British Antarctic Survey, NERC, Madingley Rd, Cambridge CB3 0ET, England.</t>
  </si>
  <si>
    <t>jfor@bas.ac.uk</t>
  </si>
  <si>
    <t>Forcada, Jaume/GYU-0677-2022</t>
  </si>
  <si>
    <t>Crossin, Glenn/0000-0003-1080-1189</t>
  </si>
  <si>
    <t>British Antarctic Survey; NERC [bas0100025] Funding Source: UKRI; Natural Environment Research Council [bas0100025, ceh010010] Funding Source: researchfish</t>
  </si>
  <si>
    <t>British Antarctic Survey; NERC(UK Research &amp; Innovation (UKRI)Natural Environment Research Council (NERC)); Natural Environment Research Council(UK Research &amp; Innovation (UKRI)Natural Environment Research Council (NERC))</t>
  </si>
  <si>
    <t>The authors would like to thank Dr. Tony Martin for his support to the leopard seal photo-identification programme at Bird Island. Iain Staniland provided comments to improve the manuscript. We also thank two anonymous reviewers for their helpful comments. This programme was funded by LTMS and DISCOVERY 2010 projects of the British Antarctic Survey.</t>
  </si>
  <si>
    <t>10.1007/s00300-009-0709-z</t>
  </si>
  <si>
    <t>WOS:000275462500013</t>
  </si>
  <si>
    <t>Töbe, K; Meyer, B; Fuentes, V</t>
  </si>
  <si>
    <t>Toebe, Kerstin; Meyer, Bettina; Fuentes, Veronica</t>
  </si>
  <si>
    <t>Detection of zooplankton items in the stomach and gut content of larval krill, Euphausia superba, using a molecular approach</t>
  </si>
  <si>
    <t>Krill larvae; Copepod prey; PCR; Quantitative PCR</t>
  </si>
  <si>
    <t>MARGINAL ICE-ZONE; ANTARCTIC KRILL; WEDDELL SEA; QUANTITATIVE PCR; PACK ICE; FOOD-WEB; WINTER; PREY; DNA; AMPLIFICATION</t>
  </si>
  <si>
    <t>The usefulness of a molecular approach based on polymerase chain reaction (PCR) was investigated to identify and quantify the feeding of larval krill on zooplankton organisms in the Lazarev Sea during winter in 2006. Different primers and probes of dominant copepod species (Oithona sp., Ctenocalanus citer, copepodid stages of Metridia gerlachei and Calanoides acutus), co-occurring with larval krill under sea ice during winter, were developed for quantitative PCR (qPCR) and their species specificity was tested on target and non-target species. The qPCR results showed that larval krill were exclusively feeding on Oithona sp. This result was confirmed by microscopic analysis of stomach and gut contents of larvae from the same stations.</t>
  </si>
  <si>
    <t>[Toebe, Kerstin; Meyer, Bettina] Alfred Wegener Inst Polar &amp; Marine Res, Sci Div Polar Biol Oceanog, D-27570 Bremerhaven, Germany; [Fuentes, Veronica] CSIC, Inst Ciencies Mar, Barcelona, Spain</t>
  </si>
  <si>
    <t>Helmholtz Association; Alfred Wegener Institute, Helmholtz Centre for Polar &amp; Marine Research; Consejo Superior de Investigaciones Cientificas (CSIC); CSIC - Centro Mediterraneo de Investigaciones Marinas y Ambientales (CMIMA); CSIC - Instituto de Ciencias del Mar (ICM)</t>
  </si>
  <si>
    <t>Meyer, B (corresponding author), Alfred Wegener Inst Polar &amp; Marine Res, Sci Div Polar Biol Oceanog, Handelshafen 12, D-27570 Bremerhaven, Germany.</t>
  </si>
  <si>
    <t>Bettina.Meyer@awi.de</t>
  </si>
  <si>
    <t>Fuentes, Verónica L/K-7589-2014; Meyer, Bettina/ABB-5311-2020</t>
  </si>
  <si>
    <t>Fuentes, Verónica L/0000-0002-6380-0174; Meyer, Bettina/0000-0001-6804-9896</t>
  </si>
  <si>
    <t>German Ministry of Education and Science [03F0400A]</t>
  </si>
  <si>
    <t>German Ministry of Education and Science</t>
  </si>
  <si>
    <t>This work was supported by funding from the German Ministry of Education and Science through project 03F0400A, Subproject 4 of the Lazarev Sea Krill Study (LAKRIS) Project. The LAKRIS-Project is the German contribution to the Southern Ocean-Global Ocean Ecosystem Dynamics (SO-GLOBEC) programme.</t>
  </si>
  <si>
    <t>10.1007/s00300-009-0714-2</t>
  </si>
  <si>
    <t>WOS:000275462500014</t>
  </si>
  <si>
    <t>LaCasce, JH; Isachsen, PE</t>
  </si>
  <si>
    <t>LaCasce, J. H.; Isachsen, P. E.</t>
  </si>
  <si>
    <t>The linear models of the ACC</t>
  </si>
  <si>
    <t>PROGRESS IN OCEANOGRAPHY</t>
  </si>
  <si>
    <t>ANTARCTIC CIRCUMPOLAR CURRENT; EQUIVALENT BAROTROPIC MODEL; WESTERN BOUNDARY CURRENT; SOUTHERN-OCEAN; WIND-DRIVEN; DRAKE PASSAGE; BOTTOM TOPOGRAPHY; KERGUELEN PLATEAU; SVERDRUP BALANCE; MOMENTUM BALANCE</t>
  </si>
  <si>
    <t>Discussions of the dynamics of the Antarctic Circumpolar Current (ACC) generally focus on eddies The linear, analytical models are discussed only infrequently, and none of these models has gained widespread acceptance These models nevertheless exist and exhibit interesting, and often realistic, features We revisit those models, to understand their dynamics and to assess their relevance to the ACC We focus specifically on the steady, linear, wind-driven models, and those with either a barotropic or equivalent barotropic vertical structure The most important feature distinguishing them is their choice of geostrophic contours (f/H or the equivalent), whether closed or blocked We first examine the flat bottom models With closed geostrophic contours, the solutions have a flow which is primarily along the contours and a transport which is inversely proportional to the bottom drag coefficient For realistic parameters, this transport is excessively large Solution with blocked contours instead exhibit gyres, with cross-contour flow and western boundary currents But they also have one or more circumpolar jets, which follow the geostrophic contours over most of the domain In contrast to the closed contour models, these jets have a transport which asymptotes to a constant value when the bottom drag is vanishingly weak. We then discuss solutions with bottom topography, focusing in particular on the equivalent barotropic solution The central parameter here is the vertical scale of the current, which determines the extent of the interaction with topography and the degree to which the geostiophic contours are blocked The solutions with a shallow current are less affected by topography and have closed geostrophic contours and large transports Solutions with too large vertical extent are overly-controlled by topography and exhibit only weak circumpolar transport Solutions with an intermediate vertical scale have blocked contours and also reasonable circumpolar transport. Furthermore, these solutions exhibit strikingly realistic surface height fields As in the flat bottom case, the solutions have an interior in Sverdrup balance and a circumpolar transport which asymptotes with vanishing bottom friction We demonstrate that this transport can be estimated via a contour integral: the result agrees well with the full equivalent barotropic solution Both are nevertheless roughly 50% larger than observed in Drake Passage However, the transport can be reduced to realistic values by adding lateral dissipation to the model Thus the equivalent barotropic model is successful at capturing the steering of the ACC by topography, given the vertical scale of the current However, it remains to understand what determines that scale Thermohalme forcing and lateral mixing by eddies are likely to be important (C) 2009 Elsevier Ltd. All rights reserved</t>
  </si>
  <si>
    <t>[LaCasce, J. H.] Univ Oslo, Dept Geosci, N-0315 Oslo, Norway; [Isachsen, P. E.] Norwegian Meteorol Inst, N-0313 Oslo, Norway</t>
  </si>
  <si>
    <t>University of Oslo; Norwegian Meteorological Institute</t>
  </si>
  <si>
    <t>LaCasce, JH (corresponding author), Univ Oslo, Dept Geosci, POB 1022, N-0315 Oslo, Norway.</t>
  </si>
  <si>
    <t>LaCasce, Joseph Henry/0000-0001-7655-5596</t>
  </si>
  <si>
    <t>Bipolar Atlantic Thermohaline Circulation (BIAC); Norwegian Research Council</t>
  </si>
  <si>
    <t>Bipolar Atlantic Thermohaline Circulation (BIAC); Norwegian Research Council(Research Council of Norway)</t>
  </si>
  <si>
    <t>We have enjoyed many conversations with Joe Pedlosky, and George Veroms urged us to include lateral diffusion in the EB solution. We also received helpful comments from two anonymous reviewers. The work was supported by the Bipolar Atlantic Thermohaline Circulation (BIAC) project, funded by the Norwegian Research Council.</t>
  </si>
  <si>
    <t>0079-6611</t>
  </si>
  <si>
    <t>PROG OCEANOGR</t>
  </si>
  <si>
    <t>Prog. Oceanogr.</t>
  </si>
  <si>
    <t>10.1016/j.pocean.2009.11.002</t>
  </si>
  <si>
    <t>576LI</t>
  </si>
  <si>
    <t>WOS:000276145600001</t>
  </si>
  <si>
    <t>Sinha, B; Buitenhuis, ET; Le Quéré, C; Anderson, TR</t>
  </si>
  <si>
    <t>Sinha, Bablu; Buitenhuis, Erik T.; Le Quere, Corinne; Anderson, Thomas R.</t>
  </si>
  <si>
    <t>Comparison of the emergent behavior of a complex ecosystem model in two ocean general circulation models</t>
  </si>
  <si>
    <t>SOUTHERN-OCEAN; NORTH-ATLANTIC; EMILIANIA-HUXLEYI; GLOBAL OCEAN; PHYTOPLANKTON; DYNAMICS; EXPORT; SIMULATION; IMPACT; BLOOMS</t>
  </si>
  <si>
    <t>A state-of-the-art complex marine ecosystem model, PlankTOM5 2, simulating the distribution of five plankton functional types (PFTs, mixed phytoplankton, diatoms, coccolithophores, micro and mesozooplankton), was implemented separately in two medium resolution (order 1 degrees) global ocean general circulation models (OGCMs), NEMO and OCCAM In each case, identical formulations and parameter values were used in the ecosystem model, as well as the same biogeochemical forcing (photosynthetically active radiation and input of nutrients by atmospheric dust at the ocean surface) and initial conditions. The two physical models were forced with essentially the same surface boundary conditions, subject to interpolation between the two model grids, and simulations were undertaken for years 1990-1994 Sensitivity of the ecosystem model and associated biogeochemical fields was assessed with respect to differences in the ocean physics of the two OGCMs Globally integrated bulk properties, notably annual mean primary production and total phytoplankton biomass, were similar in each case (although export showed regional differences between the models), as well as being generally consistent with available observations. In contrast, predicted distributions of individual PFTs varied markedly between the two simulations Diatoms and microzooplankton were for example predicted to dominate in the North Atlantic, North Pacific and Southern Oceans in OCCAM because of relatively strong mixing which supplied increased nutrients that favoured diatom production and which also increased the mortality of their main predators, the mesozooplankton, which struggled to recover their numbers over winter as phytoplankton were depleted In NEMO. lower mixing led to a community structure in which mixed phytoplankton and mesozooplankton were the main PFTs in the same areas Regions of dominance by coccolithophores and mixed phytoplankton were predicted in the tropics, the former group being more extensive in the subtropics in NEMO, with distributions depending primarily on the size and extent of upwelling and down-welling regions predicted by the OGCMs Results highlight the need for accuracy both when formulating the equations for, and parameterising. PFTs in models, and moreover in the representation of the physicochemical environment (C) 2009 Elsevier Ltd All rights reserved</t>
  </si>
  <si>
    <t>[Sinha, Bablu; Anderson, Thomas R.] Natl Oceanog Ctr, Southampton SO14 3ZH, Hants, England; [Buitenhuis, Erik T.; Le Quere, Corinne] Univ E Anglia, Sch Environm Sci, Norwich NR4 T7J, Norfolk, England; [Buitenhuis, Erik T.; Le Quere, Corinne] British Antarctic Survey, Cambridge CB3 0ET, England</t>
  </si>
  <si>
    <t>NERC National Oceanography Centre; University of East Anglia; UK Research &amp; Innovation (UKRI); Natural Environment Research Council (NERC); NERC British Antarctic Survey</t>
  </si>
  <si>
    <t>Sinha, B (corresponding author), Natl Oceanog Ctr, Waterfront Campus,European Way, Southampton SO14 3ZH, Hants, England.</t>
  </si>
  <si>
    <t>Anderson, Thomas R/K-5487-2012; Le Quéré, Corinne/C-2631-2017; Buitenhuis, Erik/A-7692-2012</t>
  </si>
  <si>
    <t>Le Quéré, Corinne/0000-0003-2319-0452; Buitenhuis, Erik/0000-0001-6274-5583</t>
  </si>
  <si>
    <t>UK National Environment Research Council; EU CarboOcean Project [5111176[GOCE]]; NERC [noc010005, bas0100028, quest010001, NE/G006725/1] Funding Source: UKRI; Natural Environment Research Council [NE/C516079/1, noc010005, quest010001, bas0100028, NE/G006725/1] Funding Source: researchfish</t>
  </si>
  <si>
    <t>UK National Environment Research Council(UK Research &amp; Innovation (UKRI)Natural Environment Research Council (NERC)); EU CarboOcean Project; NERC(UK Research &amp; Innovation (UKRI)Natural Environment Research Council (NERC)); Natural Environment Research Council(UK Research &amp; Innovation (UKRI)Natural Environment Research Council (NERC))</t>
  </si>
  <si>
    <t>This study was funded by the Marquest subproject of the UK National Environment Research Council QUEST Directed Research Programme. ETB acknowledges additional funding from the EU CarboOcean Project (5111176[GOCE]).</t>
  </si>
  <si>
    <t>10.1016/j.pocean.2009.10.003</t>
  </si>
  <si>
    <t>WOS:000276145600005</t>
  </si>
  <si>
    <t>Zhou, X; Fan, Z; Jiang, ZJ; Ashley, MCB; Cui, XQ; Feng, LL; Gong, XF; Hu, JY; Kulesa, CA; Lawrence, JS; Liu, GR; Luong-Van, DM; Ma, J; Moore, AM; Qin, WJ; Shang, ZH; Storey, JWV; Sun, B; Travouillon, T; Walker, CK; Wang, JL; Wang, LF; Wu, JH; Wu, ZY; Xia, LR; Yan, J; Yang, J; Yang, HG; Yuan, XY; York, D; Zhang, ZH; Zhu, ZX</t>
  </si>
  <si>
    <t>Zhou, Xu; Fan, Zhou; Jiang, Zhaoji; Ashley, M. C. B.; Cui, Xiangqun; Feng, Longlong; Gong, Xuefei; Hu, Jingyao; Kulesa, C. A.; Lawrence, J. S.; Liu, Genrong; Luong-Van, D. M.; Ma, Jun; Moore, A. M.; Qin, Weijia; Shang, Zhaohui; Storey, J. W. V.; Sun, Bo; Travouillon, T.; Walker, C. K.; Wang, Jiali; Wang, Lifan; Wu, Jianghua; Wu, Zhenyu; Xia, Lirong; Yan, Jun; Yang, Ji; Yang, Huigen; Yuan, Xiangyan; York, D.; Zhang, Zhanhai; Zhu, Zhenxi</t>
  </si>
  <si>
    <t>The First Release of the CSTAR Point Source Catalog from Dome A, Antarctica</t>
  </si>
  <si>
    <t>PHOTOMETRY; SITE</t>
  </si>
  <si>
    <t>In 2008 January the twenty-fourth Chinese expedition team successfully deployed the Chinese Small Telescope ARray (CSTAR) to Dome A, the highest point on the Antarctic plateau. CSTAR consists of four 14.5 cm optical telescopes, each with a different filter (g, r, i, and open) and has a 4.5 degrees x 4.5 degrees field of view (FOV). It operates robotically as part of the Plateau Observatory, PLATO, with each telescope taking an image every similar to 30 s throughout the year whenever it is dark. During 2008, CSTAR 1 performed almost flawlessly, acquiring more than 0.3 million i-band images for a total integration time of 1728 hr during 158 days of observations. For each image taken under good sky conditions, more than 10,000 sources down to similar to 16(th) magnitude could be detected. We performed aperture photometry on all the sources in the field to create the catalog described herein. Since CSTAR has a fixed pointing centered on the south celestial pole (decl. = -90 degrees), all the sources within the FOV of CSTAR were monitored continuously for several months. The photometric catalog can be used for studying any variability in these sources, and for the discovery of transient sources such as supernovae, gamma-ray bursts, and minor planets.</t>
  </si>
  <si>
    <t>[Zhou, Xu; Fan, Zhou; Jiang, Zhaoji; Hu, Jingyao; Ma, Jun; Wang, Jiali; Wu, Jianghua; Wu, Zhenyu; Yan, Jun] Chinese Acad Sci, Natl Astron Observ, Beijing 100012, Peoples R China; [Ashley, M. C. B.; Lawrence, J. S.; Luong-Van, D. M.; Storey, J. W. V.] Univ New S Wales, Sch Phys, Sydney, NSW 2052, Australia; [Cui, Xiangqun; Gong, Xuefei; Liu, Genrong; Xia, Lirong; Yuan, Xiangyan] Nanjing Inst Astron Opt &amp; Technol, Nanjing 210042, Peoples R China; [Feng, Longlong; Wang, Lifan; Yang, Ji; Zhu, Zhenxi] Purple Mt Observ, Nanjing 210008, Peoples R China; [Kulesa, C. A.; Walker, C. K.] Univ Arizona, Steward Observ, Tucson, AZ 85721 USA; [Lawrence, J. S.] Anglo Australian Observ, Epping, NSW 2121, Australia; [Moore, A. M.; Travouillon, T.] CALTECH, Dept Astron, Pasadena, CA 91125 USA; [Qin, Weijia; Yang, Huigen; Zhang, Zhanhai] Polar Res Inst China, Shanghai 200136, Peoples R China; [Shang, Zhaohui] Tianjin Normal Univ, Tianjin 300074, Peoples R China; [York, D.] Univ Chicago, Dept Astron &amp; Astrophys, Chicago, IL 60637 USA; [York, D.] Univ Chicago, Enrico Fermi Inst, Chicago, IL 60637 USA</t>
  </si>
  <si>
    <t>Chinese Academy of Sciences; National Astronomical Observatory, CAS; University of New South Wales Sydney; Chinese Academy of Sciences; Nanjing Institute of Astronomical Optics &amp; Technology, NAOC, CAS; Purple Mountain Observatory, CAS; Chinese Academy of Sciences; Nanjing Institute of Astronomical Optics &amp; Technology, NAOC, CAS; University of Arizona; California Institute of Technology; Polar Research Institute of China; Tianjin Normal University; University of Chicago; University of Chicago</t>
  </si>
  <si>
    <t>Zhou, X (corresponding author), Chinese Acad Sci, Natl Astron Observ, Beijing 100012, Peoples R China.</t>
  </si>
  <si>
    <t>zhouxu@bao.ac.cn</t>
  </si>
  <si>
    <t>Wang, Jiali/IQU-4490-2023; sun, bo/JFA-9978-2023</t>
  </si>
  <si>
    <t>Moore, Anna/0000-0002-2894-6936; Lawrence, Jon/0000-0002-6998-6993; Ashley, Michael/0000-0003-1412-2028</t>
  </si>
  <si>
    <t>Chinese National Natural Science Foundation [10873016, 10803007, 10473012, 10573020, 10633020, 10673012, 10603006]; National Basic Research Program of China (973 Program) [2007CB815403]; Chinese PANDA International Polar Year project; Polar Research Institute of China (PRIC); Ministry of Science and Technology of China [2008DFA20420]; Australian Research Council; Australian Antarctic Division; Directorate For Geosciences; Office of Polar Programs (OPP) [0909664] Funding Source: National Science Foundation</t>
  </si>
  <si>
    <t>Chinese National Natural Science Foundation(National Natural Science Foundation of China (NSFC)); National Basic Research Program of China (973 Program)(National Basic Research Program of China); Chinese PANDA International Polar Year project; Polar Research Institute of China (PRIC); Ministry of Science and Technology of China(Ministry of Science and Technology, China); Australian Research Council(Australian Research Council); Australian Antarctic Division; Directorate For Geosciences; Office of Polar Programs (OPP)(National Science Foundation (NSF)NSF - Directorate for Geosciences (GEO))</t>
  </si>
  <si>
    <t>This study has been supported by the Chinese National Natural Science Foundation through grants 10873016, 10803007, 10473012, 10573020, 10633020, 10673012, and 10603006, and by the National Basic Research Program of China (973 Program), No. 2007CB815403. This research is also supported by the Chinese PANDA International Polar Year project, the Polar Research Institute of China (PRIC), and the international science and technology cooperation projects 2008DFA20420 of the Ministry of Science and Technology of China. The PLATO observatory was supported by the Australian Research Council and the Australian Antarctic Division. Iridium communications were provided by the US National Science Foundation and the United States Antarctic Program. The authors wish to thank all members of the 2008 and 2009 PRIC Dome A expeditions for their heroic effort in reaching the site and for providing invaluable assistance to the expedition astronomers in setting up and servicing the PLATO observatory and its associated instrument suite. Additional financial contributions have been made by the institutions involved in this collaboration.</t>
  </si>
  <si>
    <t>10.1086/651526</t>
  </si>
  <si>
    <t>563KF</t>
  </si>
  <si>
    <t>Green Accepted, Bronze, Green Submitted</t>
  </si>
  <si>
    <t>WOS:000275129700008</t>
  </si>
  <si>
    <t>Lin, Y; Clayton, RN; Gröning, M</t>
  </si>
  <si>
    <t>Lin, Ying; Clayton, Robert N.; Groening, Manfred</t>
  </si>
  <si>
    <t>Calibration of δ17O and δ18O of international measurement standards - VSMOW, VSMOW2, SLAP, and SLAP2</t>
  </si>
  <si>
    <t>RAPID COMMUNICATIONS IN MASS SPECTROMETRY</t>
  </si>
  <si>
    <t>STABLE-ISOTOPE MEASUREMENTS; CARBON-DIOXIDE; OXYGEN; RATIOS; O-17</t>
  </si>
  <si>
    <t>Due to exhaustion of the two primary calibration materials, Vienna Standard Mean Ocean Water (VSMOW) and Standard Light Antarctic Precipitation (SLAP), two replacement materials, VSMOW2 and SLAP2, were created with isotopic compositions as close as possible to the original standards in their D/H and O-18/O-16 ratios. Measurements of the delta O-17 composition constitute therefore an appropriate independent check of the achieved isotopic adjustment. Aliquots from ampoules of VSMOW, VSMOW2, SLAP, and SLAP2 were fluorinated by BrF5 and analyzed using a dual-inlet Delta E mass spectrometer. VSMOW2 and SLAP2 were found to be indistinguishable from VSMOW and SLAP, respectively, in their delta O-17 and delta O-18 values within measurement uncertainties. This result is a confirmation of the successful isotopic matching of VSMOW2 and SLAP2 to their predecessors. Further checks of the delta O-18 value of SLAP2 seem desirable. Copyright (C) 2010 John Wiley &amp; Sons, Ltd.</t>
  </si>
  <si>
    <t>[Clayton, Robert N.] Univ Chicago, Enrico Fermi Inst, Chicago, IL 60637 USA; [Lin, Ying; Clayton, Robert N.] Univ Chicago, Dept Geophys Sci, Chicago, IL 60637 USA; [Clayton, Robert N.] Univ Chicago, Dept Chem, Chicago, IL 60637 USA; [Groening, Manfred] IAEA, Isotop Hydrol Lab, A-1400 Vienna, Austria</t>
  </si>
  <si>
    <t>University of Chicago; University of Chicago; University of Chicago; International Atomic Energy Agency</t>
  </si>
  <si>
    <t>Clayton, RN (corresponding author), Univ Chicago, Enrico Fermi Inst, 5640 S Ellis Ave, Chicago, IL 60637 USA.</t>
  </si>
  <si>
    <t>r-clayton@uchicago.edu</t>
  </si>
  <si>
    <t>Gröning, Manfred/JAN-4367-2023</t>
  </si>
  <si>
    <t>Groning, Manfred/0000-0003-1957-076X</t>
  </si>
  <si>
    <t>U.S. National Science Foundation</t>
  </si>
  <si>
    <t>U.S. National Science Foundation(National Science Foundation (NSF))</t>
  </si>
  <si>
    <t>The authors wish to thank Roberto Gonfiantini for emphasizing and recommending the 8170 calibration of international measurement standards and Tyler Cop len for initiating this study. The U.S. National Science Foundation funded the calibration. Critical reviews by two anonymous reviewers improved the manuscript.</t>
  </si>
  <si>
    <t>0951-4198</t>
  </si>
  <si>
    <t>RAPID COMMUN MASS SP</t>
  </si>
  <si>
    <t>Rapid Commun. Mass Spectrom.</t>
  </si>
  <si>
    <t>10.1002/rcm.4449</t>
  </si>
  <si>
    <t>Biochemical Research Methods; Chemistry, Analytical; Spectroscopy</t>
  </si>
  <si>
    <t>Biochemistry &amp; Molecular Biology; Chemistry; Spectroscopy</t>
  </si>
  <si>
    <t>575YX</t>
  </si>
  <si>
    <t>WOS:000276111100009</t>
  </si>
  <si>
    <t>Zhou, X; Wu, ZY; Jiang, ZJ; Cui, XQ; Feng, LL; Gong, XF; Hu, JY; Li, QS; Liu, GR; Ma, J; Wang, JL; Wang, LF; Wu, JH; Xia, LR; Yan, J; Yuan, XY; Zhai, FX; Zhang, R; Zhu, ZX</t>
  </si>
  <si>
    <t>Zhou, Xu; Wu, Zhen-Yu; Jiang, Zhao-Ji; Cui, Xiang-Qun; Feng, Long-Long; Gong, Xue-Fei; Hu, Jing-Yao; Li, Qi-Sheng; Liu, Gen-Rong; Ma, Jun; Wang, Jia-Li; Wang, Li-Fan; Wu, Jiang-Hua; Xia, Li-Rong; Yan, Jun; Yuan, Xiang-Yan; Zhai, Feng-Xiang; Zhang, Ru; Zhu, Zhen-Xi</t>
  </si>
  <si>
    <t>Testing and data reduction of the Chinese Small Telescope Array (CSTAR) for Dome A, Antarctica</t>
  </si>
  <si>
    <t>RESEARCH IN ASTRONOMY AND ASTROPHYSICS</t>
  </si>
  <si>
    <t>instrumentation: detectors; techniques: photometric; stars: variables</t>
  </si>
  <si>
    <t>PHOTOMETRY</t>
  </si>
  <si>
    <t>The Chinese Small Telescope Array (CSTAR) is the first Chinese astronomical instrument on the Antarctic ice cap. The low temperature and low pressure testing of the data acquisition system was carried out in a laboratory refrigerator and on the 4500 m Pamirs high plateau, respectively. The results from the final four nights of test observations demonstrated that CSTAR was ready for operation at Dome A, Antarctica. In this paper, we present a description of CSTAR and the performance derived from the test observations.</t>
  </si>
  <si>
    <t>[Zhou, Xu; Wu, Zhen-Yu; Jiang, Zhao-Ji; Hu, Jing-Yao; Li, Qi-Sheng; Ma, Jun; Wang, Jia-Li; Wu, Jiang-Hua; Yan, Jun] Chinese Acad Sci, Natl Astron Observ, Beijing 100012, Peoples R China; [Cui, Xiang-Qun; Gong, Xue-Fei; Liu, Gen-Rong; Xia, Li-Rong; Yuan, Xiang-Yan; Zhai, Feng-Xiang; Zhang, Ru] Chinese Acad Sci, Nanjing Inst Astron Opt &amp; Technol, Natl Astron Observ, Nanjing 210042, Peoples R China; [Zhou, Xu; Jiang, Zhao-Ji; Cui, Xiang-Qun; Feng, Long-Long; Gong, Xue-Fei; Hu, Jing-Yao; Wang, Jia-Li; Wang, Li-Fan; Yan, Jun; Yuan, Xiang-Yan; Zhu, Zhen-Xi] Chinese Acad Sci, Purple Mt Observ, Chinese Ctr Antarct Astron, Nanjing 210008, Peoples R China</t>
  </si>
  <si>
    <t>Chinese Academy of Sciences; National Astronomical Observatory, CAS; Chinese Academy of Sciences; National Astronomical Observatory, CAS; Nanjing Institute of Astronomical Optics &amp; Technology, NAOC, CAS; Purple Mountain Observatory, CAS; Chinese Academy of Sciences; Nanjing Institute of Astronomical Optics &amp; Technology, NAOC, CAS</t>
  </si>
  <si>
    <t>Wang, Jiali/IQU-4490-2023</t>
  </si>
  <si>
    <t>National Natural Science Foundation of China [10873016, 10633020, 10603006, 10803007]; National Basic Research Program of China [2007CB815403]</t>
  </si>
  <si>
    <t>National Natural Science Foundation of China(National Natural Science Foundation of China (NSFC)); National Basic Research Program of China(National Basic Research Program of China)</t>
  </si>
  <si>
    <t>This work was supported by the National Natural Science Foundation of China (Grant Nos. 10873016, 10633020, 10603006 and 10803007), and by National Basic Research Program of China (973 Program, No. 2007CB815403). We thank our colleagues at the University of New South Wales, Australia, for assistance in editing this paper.</t>
  </si>
  <si>
    <t>NATL ASTRONOMICAL OBSERVATORIES, CHIN ACAD SCIENCES</t>
  </si>
  <si>
    <t>20A DATUN RD, CHAOYANG, BEIJING, 100012, PEOPLES R CHINA</t>
  </si>
  <si>
    <t>1674-4527</t>
  </si>
  <si>
    <t>RES ASTRON ASTROPHYS</t>
  </si>
  <si>
    <t>Res. Astron. Astrophys.</t>
  </si>
  <si>
    <t>10.1088/1674-4527/10/3/009</t>
  </si>
  <si>
    <t>574BH</t>
  </si>
  <si>
    <t>WOS:000275962900009</t>
  </si>
  <si>
    <t>Larsson, LM; Vajda, V; Dybkjær, K</t>
  </si>
  <si>
    <t>Larsson, Linda M.; Vajda, Vivi; Dybkjaer, Karen</t>
  </si>
  <si>
    <t>Vegetation and climate in the latest Oligocene-earliest Miocene in Jylland, Denmark</t>
  </si>
  <si>
    <t>REVIEW OF PALAEOBOTANY AND PALYNOLOGY</t>
  </si>
  <si>
    <t>palaeobotany; palynoflora; climate change; Oligocene; Miocene; pollen; miospores; Denmark</t>
  </si>
  <si>
    <t>NORTH-SEA BASIN; NORTHWESTERN GERMANY; UPPERMOST OLIGOCENE; MIDDLE MIOCENE; STRATIGRAPHY; PARATETHYS; SUCCESSION; NEOGENE; SECTION; POLLEN</t>
  </si>
  <si>
    <t>Two exposures in Jylland, Denmark, encompassing beds of latest Oligocene to earliest Miocene age (latest Chattian-early Aquitanian) yielded well-preserved palynofloras. The assemblages indicate that Jylland was covered by extensive Taxodiaceae swamp forests in the mid-Cenozoic. Besides a Taxodiaceae-Cupressaceae association, which was overwhelmingly dominant, other common plants in this habitat were Alnus, Nyssa, Betula, Salix, Cyrilla and Myrica. Most of the trees and shrubs are well adapted to swamps and thrive under more or less flooded conditions in modern bald cypress swamps of the southeastern North America. Vegetation composition indicates that a warm-temperate climate prevailed in Denmark during the Oligocene-Miocene transition. According to calculations using the Coexistence Approach, the mean annual temperature during this time span ranged from 15.6 to 16.6 degrees C. An increase to 16.5-21.1 degrees C is inferred from the palynoflora in the upper part of the section. The earlier, cooler period possibly reflects global cooling associated with the Mi-1 glaciation event at the Oligocene-Miocene boundary. No data from the very coldest part of the Mi-I event has been recorded, as this is represented by a gravel layer (representing a hiatus) in the lowermost part of the studied succession. The length of the missing time is not known precisely, but is probably in the order of some hundred thousand years. Correlation with the well-established chronostratigraphic and sequence stratigraphic framework for the studied succession reveals that the most distinctive change in palynoflora probably reflects a shift in depositional facies (due to an increase in sea level) rather than direct climatic change. The sea-level rise is herein interpreted to be eustatic and related to melting of Antarctic ice caps at the end of the Mi-1 glaciation event. (C) 2010 Elsevier B.V. All rights reserved.</t>
  </si>
  <si>
    <t>[Larsson, Linda M.; Vajda, Vivi] Lund Univ, Div Geol, Dept Earth &amp; Ecosyst Sci, Lund, Sweden; [Dybkjaer, Karen] Geol Survey Denmark &amp; Greenland GEUS, DK-1350 Copenhagen, Denmark</t>
  </si>
  <si>
    <t>Lund University; Geological Survey Of Denmark &amp; Greenland</t>
  </si>
  <si>
    <t>Larsson, LM (corresponding author), Lund Univ, Div Geol, Dept Earth &amp; Ecosyst Sci, Lund, Sweden.</t>
  </si>
  <si>
    <t>Linda.Larsson@geol.lu.se; vivi.vajda@geol.lu.se; kd@geus.dk</t>
  </si>
  <si>
    <t>Dybkjær, Karen/G-5223-2018; Vajda, Vivi/N-7693-2018</t>
  </si>
  <si>
    <t>Vajda, Vivi/0000-0003-2987-5559</t>
  </si>
  <si>
    <t>Swedish Research Council; Lund Geological Fieldclub; Knut and Alice Wallenberg Foundation</t>
  </si>
  <si>
    <t>Swedish Research Council(Swedish Research Council); Lund Geological Fieldclub; Knut and Alice Wallenberg Foundation(Knut &amp; Alice Wallenberg Foundation)</t>
  </si>
  <si>
    <t>We would like to thank Gonzalo Moreno and the two anonymous reviewers for their valuable and constructive remarks improving this manuscript. We are further grateful to S. McLoughlin, T. Utescher and D. lvanov for valuable input which greatly benefited this study. This work was supported by the Swedish Research Council and Lund Geological Fieldclub. V. Vajda is a Royal Swedish Academy of Sciences Research Fellow supported by a grant from the Knut and Alice Wallenberg Foundation.</t>
  </si>
  <si>
    <t>0034-6667</t>
  </si>
  <si>
    <t>1879-0615</t>
  </si>
  <si>
    <t>REV PALAEOBOT PALYNO</t>
  </si>
  <si>
    <t>Rev. Palaeobot. Palynology</t>
  </si>
  <si>
    <t>10.1016/j.revpalbo.2009.12.002</t>
  </si>
  <si>
    <t>Plant Sciences; Paleontology</t>
  </si>
  <si>
    <t>570OU</t>
  </si>
  <si>
    <t>WOS:000275688400003</t>
  </si>
  <si>
    <t>Anderson, CB; Rozzi, R; Armesto, JJ; Gutiérrez, JR</t>
  </si>
  <si>
    <t>Anderson, Christopher B.; Rozzi, Ricardo; Armesto, Juan J.; Gutierrez, Julio R.</t>
  </si>
  <si>
    <t>Introduction Building a Chilean Network for Long-Term Socio-Ecological Research: Advances, perspectives and relevance</t>
  </si>
  <si>
    <t>REVISTA CHILENA DE HISTORIA NATURAL</t>
  </si>
  <si>
    <t>LTER; LTSER; South America; subantarctic; temperate</t>
  </si>
  <si>
    <t>LTER; SCIENTISTS; LTSER</t>
  </si>
  <si>
    <t>Since their formal inception in 1980, long-term ecological research (LTER) programs have served as a successful organizing framework to create research agendas and funding mechanisms that allow scientists to address meaningful ecological phenomena at the scales they occur. In its 30 years of existence, LTER has expanded its geographic range (currently the International LTER network has more than 40 country members with sites on every continent) and disciplinary foci (principally encompassing the natural and social sciences and leading some to call for a name change to long-term socio-ecological research - LTSER). Nonetheless, the temperate and subantarctic biomes of southern South America have lacked formalized long-term research sites and networks. Yet, at the same time, numerous uncoordinated long-term research efforts exist in both Chile and Argentina, and in 2008, the Institute of Ecology and Biodiversity launched Chile's first concerted effort to link three existing sites (Fray Jorge Forest National Park - 33 degrees S. Scotia Darwin Biological Station - 430 degrees S, and Omora Ethnobotanical Park - 55 degrees S). Here, we present a special feature of the Revista Chilena de Historia Natural, dedicated to LTSER, with the aim of 1) providing a synthesis of some of the most emblematic cases of long-term socio-ecological research in Chile; 2) demonstrating the value of these efforts for the integration of research, education and social outcomes, such as decision making; and 3) offering the perspective of a broad array of participants involved in these initiatives, including graduate students and associated programs from Ibero-America and North America. It is our hope that these compiled works will contribute to the consolidation of the LTSER approach in southern South America both within the academic community and also to better link academia and society.</t>
  </si>
  <si>
    <t>[Anderson, Christopher B.; Rozzi, Ricardo; Gutierrez, Julio R.] Univ Magallanes, Sub Antarctic Biocultural Conservat Program, Chile, TX USA; [Anderson, Christopher B.; Rozzi, Ricardo; Gutierrez, Julio R.] Univ Magallanes, Sub Antarctic Biocultural Conservat Program, Denton, TX USA; [Anderson, Christopher B.; Rozzi, Ricardo; Gutierrez, Julio R.] Univ N Texas, Chile, TX USA; [Anderson, Christopher B.; Rozzi, Ricardo; Gutierrez, Julio R.] Univ N Texas, Denton, TX 76203 USA; [Anderson, Christopher B.; Rozzi, Ricardo; Armesto, Juan J.] Inst Ecol &amp; Biodivers, Santiago, Chile; [Rozzi, Ricardo] Univ N Texas, Dept Philosophy &amp; Relig Studies, Denton, TX 76203 USA; [Armesto, Juan J.] Pontificia Univ Catolica Chile, Ctr Adv Studies Ecol &amp; Biodivers, Dept Ecol, Santiago, Chile; [Gutierrez, Julio R.] Univ La Serena, Dept Biol, La Serena, Chile; [Gutierrez, Julio R.] Univ La Serena, Ctr Estudios Avanzados Zonas Aridas, La Serena, Chile</t>
  </si>
  <si>
    <t>University of North Texas System; University of North Texas System; University of North Texas Denton; University of North Texas System; University of North Texas Denton; Pontificia Universidad Catolica de Chile; Universidad de La Serena; Universidad de La Serena</t>
  </si>
  <si>
    <t>Anderson, CB (corresponding author), Univ Magallanes, Sub Antarctic Biocultural Conservat Program, Chile, TX USA.</t>
  </si>
  <si>
    <t>christopher.anderson@alumni.unc.edu</t>
  </si>
  <si>
    <t>Armesto, Juan J/G-6467-2016; Anderson, Christopher/V-4882-2019; Gutierrez, Julio R/A-8367-2011; Rozzi, Ricardo/G-1047-2012</t>
  </si>
  <si>
    <t>Anderson, Christopher/0000-0001-8120-5689; Rozzi, Ricardo/0000-0001-5265-8726; Gutierrez, Julio/0000-0002-1099-1341</t>
  </si>
  <si>
    <t>SOC BIOLGIA CHILE</t>
  </si>
  <si>
    <t>SANTIAGO</t>
  </si>
  <si>
    <t>CASILLA 16164, SANTIAGO 9, CHILE</t>
  </si>
  <si>
    <t>0716-078X</t>
  </si>
  <si>
    <t>0717-6317</t>
  </si>
  <si>
    <t>REV CHIL HIST NAT</t>
  </si>
  <si>
    <t>Rev. Chil. Hist. Nat.</t>
  </si>
  <si>
    <t>609XO</t>
  </si>
  <si>
    <t>WOS:000278692100001</t>
  </si>
  <si>
    <t>Rozzi, R; Anderson, CB; Pizarro, JC; Massardo, F; Medina, Y; Mansilla, AO; Kennedy, JH; Ojeda, J; Contador, T; Morales, V; Moses, K; Poole, A; Armesto, JJ; Kalin, MT</t>
  </si>
  <si>
    <t>Rozzi, Ricardo; Anderson, Christopher B.; Cristobal Pizarro, J.; Massardo, Francisca; Medina, Yanet; Mansilla, Andres O.; Kennedy, James H.; Ojeda, Jaime; Contador, Tamara; Morales, Veronica; Moses, Kelli; Poole, Alexandria; Armesto, Juan J.; Kalin, Mary T.</t>
  </si>
  <si>
    <t>Field environmental philosophy and biocultural conservation at the Omora Ethnobotanical Park: Methodological approaches to broaden the ways of integrating the social component (S) in Long-Term Socio-Ecological Research (LTSER) Sites</t>
  </si>
  <si>
    <t>Cape Horn Biosphere Reserve; environmental ethics; metaphor; subantarctic; Sustainable Biosphere Initiative</t>
  </si>
  <si>
    <t>HORN BIOSPHERE RESERVE; NORTH-AMERICAN BEAVERS; MINK MUSTELA-VISON; CAPE-HORN; ECOLOGICAL RESEARCH; SUSTAINABLE BIOSPHERE; ETHNO-ORNITHOLOGY; TEMPERATE FORESTS; NAVARINO ISLAND; SOUTHERN CHILE</t>
  </si>
  <si>
    <t>In order to effectively address the problems derived from global environmental change, environmental scientists, citizens and decision-makers now recognize the need to integrate more fully the human or social component into ecological research. We propose that to achieve this integration, Long-Term Socio-Ecological Research (LTSER) networks offer an ideal platform, because such sites enable research at ecological, cultural, and political local scales, and at the same time allow addressing these issues at a global scale. However, this socio-ecological work still requires better articulation of programs developed at multiple geographic, ecological and political scales. In addition, until now the social component considered in LTSER programs has focused on economic factors, omitting ethical dimensions. A central reason for this omission is the lack of methodologies to systematically integrate ethics into LTSER programs. As a contribution to resolve this limitation, here we develop a methodological approach that we call field environmental philosophy. It integrates ecological research and environmental ethics into biocultural education and conservation through an interrelated four-step cycle: i) interdisciplinary ecological and philosophical research, ii) composition of metaphors, and communication through simple narratives, iii) design of guided field experiences with an ecological and ethical orientation, and iv) implementation of in situ conservation areas. This cycle has been defined a posteriori, by analyzing successful experiences of biocultural research, education and conservation program at the Omora Ethnobotanical Park (OEP) in the Cape Horn Biosphere Reserve (CHBR). The Masters of Science in Subantarctic Conservation at the University of Magallanes (UMAG) adopted this cycle as a structured methodology to design theses and academic curricula for students who are creating innovative educational and ecotourism activities, such as Ecotourism with a Hand Lens and Ethical Birding. To articulate the programs at multiples scales, the OEP functions at the local scale as a research center in the CHBR, at the national level as a cofounder and southernmost site of the Chilean LTSER network coordinated by the Institute of Ecology and Biodiversity (IEB), Chile, and at the international level as a reserve and field station of the Subantarctic Biocultural Conservation Program that is coordinated by UMAG, IEB and the University of North Texas (UNT). This organization of nested units has permitted to synergistically articulate the work at local, national and international scales. Collaborative research has led to the discovery of biological and cultural diversity singularities in the remote Magellanic subantarctic ecoregion, enabled education and conservation work with multiple social actors and institutions, and has strengthened the incorporation of environmental philosophy into socio-ecological research. In this way, OEP's program is contributing to broaden the definition of the social (S) component in LTSER, and to generate methodologies to integrate, at multiple scales, ecological and ethical dimensions into socio-ecological research, as well as biocultural education and conservation programs, which could be implemented and assessed at other LTER sites.</t>
  </si>
  <si>
    <t>[Rozzi, Ricardo; Anderson, Christopher B.; Cristobal Pizarro, J.; Massardo, Francisca; Medina, Yanet; Mansilla, Andres O.; Kennedy, James H.; Ojeda, Jaime; Contador, Tamara] Univ Magallanes, Fac Sci, Dept Nat Sci &amp; Resources, Puerto Williams, Chile; [Rozzi, Ricardo; Anderson, Christopher B.; Cristobal Pizarro, J.; Massardo, Francisca; Medina, Yanet; Mansilla, Andres O.; Kennedy, James H.; Ojeda, Jaime; Contador, Tamara] Univ Magallanes, Fac Sci, Dept Nat Sci &amp; Resources, Punta Arenas, Chile; [Rozzi, Ricardo; Anderson, Christopher B.; Cristobal Pizarro, J.; Massardo, Francisca; Medina, Yanet; Mansilla, Andres O.; Ojeda, Jaime; Morales, Veronica; Armesto, Juan J.; Kalin, Mary T.] Inst Ecol &amp; Biodivers, Santiago, Chile; [Rozzi, Ricardo; Anderson, Christopher B.; Kennedy, James H.; Contador, Tamara; Moses, Kelli; Poole, Alexandria] Univ N Texas, Dept Philosophy &amp; Relig Studies, Sub Antarctic Biocultural Conservat Program, Denton, TX 76203 USA; [Rozzi, Ricardo; Anderson, Christopher B.; Kennedy, James H.; Contador, Tamara; Moses, Kelli; Poole, Alexandria] Univ N Texas, Dept Biol Sci, Denton, TX 76203 USA</t>
  </si>
  <si>
    <t>Universidad de Magallanes; Universidad de Magallanes; University of North Texas System; University of North Texas Denton; University of North Texas System; University of North Texas Denton</t>
  </si>
  <si>
    <t>Rozzi, R (corresponding author), Univ Magallanes, Fac Sci, Dept Nat Sci &amp; Resources, Puerto Williams, Chile.</t>
  </si>
  <si>
    <t>rozzi@unt.edu</t>
  </si>
  <si>
    <t>Rozzi, Ricardo/G-1047-2012; Armesto, Juan J/G-6467-2016; Poole, Alexandria/IAN-6461-2023; Ojeda, Jaime/HHN-1455-2022; Anderson, Christopher/V-4882-2019; Pizarro, Cristobal/J-8925-2014; Contador, Tamara/AAC-2161-2021</t>
  </si>
  <si>
    <t>Rozzi, Ricardo/0000-0001-5265-8726; Anderson, Christopher/0000-0001-8120-5689; Pizarro, Cristobal/0000-0002-5240-2816; Contador, Tamara/0000-0002-0250-9877; ojeda, jaime/0000-0003-3863-9750; Mansilla, Andres/0000-0003-3505-7018; Poole, Alexandria/0000-0003-1338-7454</t>
  </si>
  <si>
    <t>Office Of The Director; Office Of Internatl Science &amp;Engineering [0854350] Funding Source: National Science Foundation</t>
  </si>
  <si>
    <t>Office Of The Director; Office Of Internatl Science &amp;Engineering(National Science Foundation (NSF)NSF - Office of the Director (OD))</t>
  </si>
  <si>
    <t>WOS:000278692100004</t>
  </si>
  <si>
    <t>Jofre, J; Massardo, F; Rozzi, R; Goffinet, B; Marino, P; Raguso, R; Navarro, NP</t>
  </si>
  <si>
    <t>Jofre, Jocelyn; Massardo, Francisca; Rozzi, Ricardo; Goffinet, Bernard; Marino, Paul; Raguso, Robert; Navarro, Nelso P.</t>
  </si>
  <si>
    <t>Phenology of Tayloria dubyi (Splachnaceae) in the peadands of the Cape Horn Biosphere Reserve</t>
  </si>
  <si>
    <t>bryophytes; Cape Horn Biosphere Reserve; phenology reproduction; Splachnaceae; sub-Antartic Magellanic ecoregion</t>
  </si>
  <si>
    <t>PATTERNS; ECOLOGY; CONSERVATION; COEXISTENCE; DISPERSAL</t>
  </si>
  <si>
    <t>The sub-Antarctic Magellanic ecoregion harbors a high diversity of bryophytes, greater than the species richness of vascular plants. Despite this fact, phenological studies on bryophytes are lacking for this ecoregion and Chile. Based on the study of the sporophytic phase of Tayloria dubyi, an endemic moss from the sub-Antarctic Magellanic ecoregion, we propose a methodology for phonological studies on austral bryophytes. We defined five phenophases, easily distinguishable with a hand-lens, which were monthly recorded during 2007 and 2008 in populations of T dubyi at the Omora Ethnobotanical Park and Mejillones Bay on Navarino Island (55 degrees S) in the Cape Horn Biosphere Reserve. The sporophytic (or reproductive) phase of T. dubyi presented a clear seasonality. After growing in November, in three months (December-February) of the austral reproductive season the sporophytes mature and release their spores; by March they are already senescent. T. dubyi belongs to the Splachnaceae family for which entomochory (dispersal of spores by insects, specifically Diptera) has been detected in the Northern Hemisphere. The period of spores release in T. dubyi coincides with the months of highest activity of Diptera which are potential dispersers of spores; hence, entomochory could also take place in sub-Antarctic Magellanic ecoregion. In sum, our work: (i) defines a methodology for phenological studies in austral bryophytes, (ii) it records a marked seasonality ion the sporophyte phase of T dubyi, and (iii) it proposes to evaluate in future research the occurrence of entomochory in Splachnaceae species growing in the sub-Antarctic peatlands and forest ecosystems in the Southern Hemisphere.</t>
  </si>
  <si>
    <t>[Jofre, Jocelyn; Massardo, Francisca; Rozzi, Ricardo; Navarro, Nelso P.] Univ Magallanes, Fac Ciencias, Programa Magister Ciencias, Punta Arenas 01855, Chile; [Jofre, Jocelyn; Massardo, Francisca; Rozzi, Ricardo] Univ Chile, Fac Ciencias, Inst Ecol &amp; Biodiversidad, Santiago, Chile; [Rozzi, Ricardo] Univ N Texas, Dept Philosophy, Denton, TX 76201 USA; [Goffinet, Bernard] Univ Connecticut, Dept Ecol &amp; Evolutionary Biol, Storrs, CT 06269 USA; [Marino, Paul] Mem Univ Newfoundland, Dept Biol, St John, NF A1B 3X9, Canada; [Raguso, Robert] Cornell Univ, Dept Neurobiol &amp; Behav, Ithaca, NY 14853 USA; [Navarro, Nelso P.] Univ Sao Paulo, Inst Biociencias, Dept Bot, BR-11461 Sao Paulo, Brazil</t>
  </si>
  <si>
    <t>Universidad de Magallanes; Universidad de Chile; University of North Texas System; University of North Texas Denton; University of Connecticut; Memorial University Newfoundland; Cornell University; Universidade de Sao Paulo</t>
  </si>
  <si>
    <t>Jofre, J (corresponding author), Univ Magallanes, Fac Ciencias, Programa Magister Ciencias, Casilla 113-D,Ave Bulnes, Punta Arenas 01855, Chile.</t>
  </si>
  <si>
    <t>jocelyn.jofre@umag.cl</t>
  </si>
  <si>
    <t>Rozzi, Ricardo/0000-0001-5265-8726</t>
  </si>
  <si>
    <t>WOS:000278692100012</t>
  </si>
  <si>
    <t>Gil, AL</t>
  </si>
  <si>
    <t>Lisbona Gil, A.</t>
  </si>
  <si>
    <t>Being a doctor ... in the Antarctic</t>
  </si>
  <si>
    <t>REVISTA CLINICA ESPANOLA</t>
  </si>
  <si>
    <t>Hosp Cent Def, Serv Endocrinol &amp; Nutr, Madrid, Spain</t>
  </si>
  <si>
    <t>Gil, AL (corresponding author), Hosp Cent Def, Serv Endocrinol &amp; Nutr, Madrid, Spain.</t>
  </si>
  <si>
    <t>alisbon@hotmail.com</t>
  </si>
  <si>
    <t>EDICIONES DOYMA S A</t>
  </si>
  <si>
    <t>BARCELONA</t>
  </si>
  <si>
    <t>TRAV DE GRACIA 17-21, 08021 BARCELONA, SPAIN</t>
  </si>
  <si>
    <t>0014-2565</t>
  </si>
  <si>
    <t>REV CLIN ESP</t>
  </si>
  <si>
    <t>Rev. Clin. Esp.</t>
  </si>
  <si>
    <t>10.1016/j.rce.2009.10.001</t>
  </si>
  <si>
    <t>Medicine, General &amp; Internal</t>
  </si>
  <si>
    <t>General &amp; Internal Medicine</t>
  </si>
  <si>
    <t>573RR</t>
  </si>
  <si>
    <t>WOS:000275932800009</t>
  </si>
  <si>
    <t>Ronzeaud, P</t>
  </si>
  <si>
    <t>Ronzeaud, Pierre</t>
  </si>
  <si>
    <t>Memoirs touching the establishment of a Christian mission in the Third World/also known as, the Austal, Southern, Antarctic and unknown lands</t>
  </si>
  <si>
    <t>REVUE D HISTOIRE LITTERAIRE DE LA FRANCE</t>
  </si>
  <si>
    <t>French</t>
  </si>
  <si>
    <t>Book Review</t>
  </si>
  <si>
    <t>PRESSES UNIV FRANCE</t>
  </si>
  <si>
    <t>PARIS CEDEX 14</t>
  </si>
  <si>
    <t>6 AVENUE REILLE, 75685 PARIS CEDEX 14, FRANCE</t>
  </si>
  <si>
    <t>0035-2411</t>
  </si>
  <si>
    <t>REV HIST LIT FR</t>
  </si>
  <si>
    <t>Rev. Hist. Litt. Fr.</t>
  </si>
  <si>
    <t>Literature, Romance</t>
  </si>
  <si>
    <t>Literature</t>
  </si>
  <si>
    <t>571XX</t>
  </si>
  <si>
    <t>WOS:000275790800016</t>
  </si>
  <si>
    <t>Bahrim, G; Iancu, C; Butu, N; Negoita, TG</t>
  </si>
  <si>
    <t>Bahrim, Gabriela; Iancu, Catalin; Butu, Nicolae; Negoita, Teodor Gheorghe</t>
  </si>
  <si>
    <t>Production of a novel microbial transglutaminase using Streptomyces sp. polar strains</t>
  </si>
  <si>
    <t>ROMANIAN BIOTECHNOLOGICAL LETTERS</t>
  </si>
  <si>
    <t>MTGase; Streptomyces sp.; carbon and nitrogen sources; response surface methodology (RSM)</t>
  </si>
  <si>
    <t>OPTIMIZATION</t>
  </si>
  <si>
    <t>Several biotechnological aspects regarding the increase in transglutaminase biosynthesis yield were studied. The Streptomyces sp. strains used in this study, coded MIUG 6P, MIUG 7P and MIUG 13P, were isolated from soils from the East Antarctic coast. These had the best results in terms of transglutaminase synthesis, thus confirming the results of a previous study concerning the isolation and strains selection of good transglutaminase producers. Amongst these, strain coded MIUG 13P had the ability to produce 0.20 UA of transglutaminase per mL of crude extract, and was thus chosen to identify the optimal composition for the fermentative medium using Response surface methodology (RSM). Response surface methodology was further used to determine the optimum values of the process variables for enzyme production. The fit of the quadratic model was found to he significant. After submerged cultivation on the optimized fermentative medium, the enzymatic activity of the Streptomyces strain MIUG 13P showed a significant increase.</t>
  </si>
  <si>
    <t>[Bahrim, Gabriela] Univ Dunarea Jos, Fac Food Sci &amp; Engn, Dept Bioengn, Galati, Romania; [Butu, Nicolae] KUK, Bucharest, Romania; [Negoita, Teodor Gheorghe] Romanian Polar Res Inst, Bucharest 4, Romania</t>
  </si>
  <si>
    <t>Dunarea De Jos University Galati</t>
  </si>
  <si>
    <t>Bahrim, G (corresponding author), Univ Dunarea Jos, Fac Food Sci &amp; Engn, Dept Bioengn, Str Domneasca 111, Galati, Romania.</t>
  </si>
  <si>
    <t>gabriela.bahrim@ugal.ro</t>
  </si>
  <si>
    <t>Bahrim, Gabriela-Elena/ABB-2043-2020</t>
  </si>
  <si>
    <t>Bahrim, Gabriela-Elena/0000-0001-8210-1793</t>
  </si>
  <si>
    <t>Cubic SRL Romania</t>
  </si>
  <si>
    <t>The authors are indebted to the Romanian Antarctic Foundation for the Antarctic soil probes used to isolate the pure streptomyce cultures. The authors gratefully acknowledge the Bioaliment Research Center (www.bioaliment.ugal.ro), Dunarea de Jos University Galati, Romania, for their scientific support and the Cubic SRL Romania for its financial support.</t>
  </si>
  <si>
    <t>ARS DOCENDI</t>
  </si>
  <si>
    <t>BUCHAREST</t>
  </si>
  <si>
    <t>SOS PANDURI 90, SECT 5, BUCHAREST, RO-050663, ROMANIA</t>
  </si>
  <si>
    <t>1224-5984</t>
  </si>
  <si>
    <t>ROM BIOTECH LETT</t>
  </si>
  <si>
    <t>Rom. Biotech. Lett.</t>
  </si>
  <si>
    <t>590NF</t>
  </si>
  <si>
    <t>WOS:000277232500018</t>
  </si>
  <si>
    <t>Balushkin, AV; Prirodina, VP</t>
  </si>
  <si>
    <t>Balushkin, A. V.; Prirodina, V. P.</t>
  </si>
  <si>
    <t>Findings of Andriashevs eel cod Muraenolepis andriashevi (Gadiformes: Muraenolepididae) at Discovery Seamount (South Atlantic)</t>
  </si>
  <si>
    <t>RUSSIAN JOURNAL OF MARINE BIOLOGY</t>
  </si>
  <si>
    <t>Eel cods (Muraenolepididae); biogeography; Antarctic; South Atlantic</t>
  </si>
  <si>
    <t>Findings of a rare fish, Andriashevs eel cod Muraenolepis andriashevi Balushkin et Prirodina, 2005 (Muraenolepididae), from Discovery Seamount (South Atlantic) are described. The new findings extend the geographical distribution area and the range of morphological variability of this species previously known only from two type-specimens from the Agulhas Bank (South Africa).</t>
  </si>
  <si>
    <t>[Balushkin, A. V.; Prirodina, V. P.] Russian Acad Sci, Inst Zool, St Petersburg 199034, Russia</t>
  </si>
  <si>
    <t>Russian Academy of Sciences; Zoological Institute of the Russian Academy of Sciences</t>
  </si>
  <si>
    <t>Balushkin, AV (corresponding author), Russian Acad Sci, Inst Zool, St Petersburg 199034, Russia.</t>
  </si>
  <si>
    <t>ichthlab@zin.ru</t>
  </si>
  <si>
    <t>Balushkin, Arcady/AAM-4225-2020</t>
  </si>
  <si>
    <t>Balushkin, Arcady/0000-0002-9422-5133</t>
  </si>
  <si>
    <t>Russian Foundation for Basic Research [09-04-00298-a]; Department of Biological Sciences RAS; Russian Academy of Sciences</t>
  </si>
  <si>
    <t>Russian Foundation for Basic Research(Russian Foundation for Basic Research (RFBR)Spanish Government); Department of Biological Sciences RAS; Russian Academy of Sciences(Russian Academy of Sciences)</t>
  </si>
  <si>
    <t>This work was supported by the Russian Foundation for Basic Research (grant no. 09-04-00298-a) and by the Department of Biological Sciences RAS and the Presidium of the Russian Academy of Sciences (projects Biological Resources of Russia: Fundamentals of Rational Use and Biodiversity and Dynamics of Gene Pool).</t>
  </si>
  <si>
    <t>1063-0740</t>
  </si>
  <si>
    <t>RUSS J MAR BIOL+</t>
  </si>
  <si>
    <t>Russ. J. Mar. Biol.</t>
  </si>
  <si>
    <t>10.1134/S1063074010020082</t>
  </si>
  <si>
    <t>594EA</t>
  </si>
  <si>
    <t>WOS:000277515600008</t>
  </si>
  <si>
    <t>Four new species of Thouarella (Anthozoa: Octocorallia: Primnoidae) from Antarctic waters</t>
  </si>
  <si>
    <t>SCIENTIA MARINA</t>
  </si>
  <si>
    <t>Cnidaria; Octocorallia; Primnoidae; Antarctica; Thouarella</t>
  </si>
  <si>
    <t>Four new Antarctic species of the genus Thouarella, all of them belonging to the subgenus Thouarella, are described and illustrated front material collected at the South Georgia and the South Sandwich Islands. and off Atka Bay (eastern Weddell Sea) on the Polarstern cruises ANT XIX/5 (LAMPOS), and ANT XXIV/2 (ANDELP-SYSTCO). The study of our new taxa allows us to describe a wider variation in the number of the distal cycles of polyp scales. as well as the existence in the genus (and subgenus) of additional species with planar colonial morphologies. The new species are compared with their closest congeners.</t>
  </si>
  <si>
    <t>[Zapata-Guardiola, Rebeca; Lopez-Gonzalez, Pablo J.] Univ Seville, Fac Biol, Dept Fisiol &amp; Zool, Seville 41012, Spain</t>
  </si>
  <si>
    <t>Zapata-Guardiola, R (corresponding author), Univ Seville, Fac Biol, Dept Fisiol &amp; Zool, Reina Mercedes 6, Seville 41012, Spain.</t>
  </si>
  <si>
    <t>Spanish CICYT [REN2001-4929-E/ ANT, POL2006-06399/CGL]</t>
  </si>
  <si>
    <t>The authors acknowledge the valuable assistance of the officers and crew of the RV Polarstern, and many colleagues on board during the LAMPOS and ANDEEP-SYSTCO cruises. We take this opportunity to extend our thanks to the cruise leaders and steering committee of the cruises (especially Wolf E. Arntz in LAMPOS and Uli Bathmann and Angelika Brandt in ANDEEP-SYSTCO), who kindly facilitated the work on board and provided the opportunity to collaborate in these Antarctic programmes. Special thanks are addressed to some friends and colleagues for their valuable assistance during the LAMPOS (Neus Vert and Estefania Rodriguez), and ANDEEP-SYSTCO (Michi Schrodl, Enrico Schwabe and Laura Wuerzberg) cruises. The authors are also thankful for comments and suggestions given by the Editor and the anonymous referees. Support for this work was provided by the Spanish CICYT projects REN2001-4929-E/ ANT (LAMPOS) and POL2006-06399/CGL (CLIMANT). Mr. Tony Krupa is thanked for reviewing the English version. This is ANDEEP publication number 123.</t>
  </si>
  <si>
    <t>CONSEJO SUPERIOR INVESTIGACIONES CIENTIFICAS-CSIC</t>
  </si>
  <si>
    <t>MADRID</t>
  </si>
  <si>
    <t>VITRUVIO 8, 28006 MADRID, SPAIN</t>
  </si>
  <si>
    <t>0214-8358</t>
  </si>
  <si>
    <t>1886-8134</t>
  </si>
  <si>
    <t>SCI MAR</t>
  </si>
  <si>
    <t>Sci. Mar.</t>
  </si>
  <si>
    <t>10.3989/scimar.2010.74n1131</t>
  </si>
  <si>
    <t>578IY</t>
  </si>
  <si>
    <t>gold, Green Submitted</t>
  </si>
  <si>
    <t>WOS:000276288200011</t>
  </si>
  <si>
    <t>Heine, C; Müller, RD; Steinberger, B; DiCaprio, L</t>
  </si>
  <si>
    <t>Heine, Christian; Mueller, R. Dietmar; Steinberger, Bernhard; DiCaprio, Lydia</t>
  </si>
  <si>
    <t>Integrating deep Earth dynamics in paleogeographic reconstructions of Australia</t>
  </si>
  <si>
    <t>TECTONOPHYSICS</t>
  </si>
  <si>
    <t>Australia; Dynamic topography; Paleo-DEMs; Inundation patterns; Plate motions; Cenozoic</t>
  </si>
  <si>
    <t>MURRAY BASIN; STRESS-FIELD; STRATIGRAPHIC SUCCESSION; LITHOSPHERIC STRUCTURE; SOUTHWEST PACIFIC; RUSSIAN PLATFORM; VERTICAL MOTIONS; EUCLA BASIN; SEA; SUBSIDENCE</t>
  </si>
  <si>
    <t>It is well documented that the Cenozoic progressive flooding of Australia, contemporaneous with a eustatic sea level fall, requires a downward tilting of the Australian Plate towards the SE Asian subduction system. Previously, this large-scale, mantle-convection driven dynamic topography effect has been approximated by computing the time-dependent vertical shifts and tilts of a plane, but the observed subsidence and uplift anomalies indicate a more complex interplay between time-dependent mantle convection and plate motion. We combine plate kinematics with a global mantle backward-advection model based on shear-wave mantle tomography, paleogeographic data, eustatic sea level estimates and basin stratigraphy to reconstruct the Australian flooding history for the last 70 Myrs on a continental scale. We compute time-dependent dynamic surface topography and continental inundation of a digital elevation model adjusted for sediment accumulation. Our model reveals two evolving dynamic topography lows, over which the Australian plate has progressively moved. We interpret the southern low to be caused by sinking slab material with an origin along the eastern Gondwana subduction zone in the Cretaceous, whereas the northern low, which first straddles northern Australia in the Oligocene, is mainly attributable to material subducted north and northeast of Australia. Our model accounts for the Paleogene exposure of the Gulf of Carpentaria region at a time when sea level was much higher than today, and explains anomalous Late Tertiary subsidence on Australia's northern, western and southern margins. The resolution of our model, which excludes short-wavelength mantle density anomalies and is restricted to depths larger than 220 km, is not sufficient to model the two well recorded episodes of major transgressions in South Australia in the Eocene and Miocene. However, the overall, long-wavelength spatio-temporal pattern of Australia's inundation record is well captured by combining our modelled dynamic topography with a recent eustatic sea level curve. We suggest that the apparent Late Cenozoic northward tilting of Australia was a stepwise function of South Australia first moving away northwards from the Gondwana subduction-related dynamic topography low in the Oligocene, now found under the Australian-Antarctic Discordance, followed by a drawing down of northern Australia as it overrode a slab burial ground now underlying much of the northern half of Australia, starting in the Miocene. Our model suggests that today's geography of Australia is strongly dependent on mantle forces. Without mantle convection, which draws Australia down by up to 300 m, nearly all of Australia's continental shelves would be exposed. We conclude that dissecting the interplay between eustasy and mantle-driven dynamic topography is critical for understanding hinterland uplift, basin subsidence, the formation and destruction of shallow epeiric seas and their facies distribution, but also for the evolution of petroleum systems. (C) 2009 Elsevier B.V. All rights reserved.</t>
  </si>
  <si>
    <t>[Heine, Christian; Mueller, R. Dietmar; DiCaprio, Lydia] Univ Sydney, Sch Geosci, EarthByte Grp, Sydney, NSW 2006, Australia; [Steinberger, Bernhard] NGU, Ctr Geodynam, Trondheim, Norway</t>
  </si>
  <si>
    <t>University of Sydney; Geological Survey of Norway</t>
  </si>
  <si>
    <t>Heine, C (corresponding author), StatoilHydro, Global Explorat Technol, Drammensveien 264, N-0246 Oslo, Norway.</t>
  </si>
  <si>
    <t>christian_heine@mac.com</t>
  </si>
  <si>
    <t>Steinberger, Bernhard/ABB-9204-2021; Steinberger, Bernhard/AAG-7148-2019; Müller, Dietmar/L-1200-2019</t>
  </si>
  <si>
    <t>Steinberger, Bernhard/0000-0002-3643-3049; Müller, Dietmar/0000-0002-3334-5764</t>
  </si>
  <si>
    <t>ARC</t>
  </si>
  <si>
    <t>ARC(Australian Research Council)</t>
  </si>
  <si>
    <t>We acknowledge Mike Sandiford for valuable discussions on the Australian flooding history. Nicholas Rawlinson and Wouter Schellart are thanked for editorial assistance. An anonymous reviewer and Mark Quigley provided many constructive remarks and helped to significantly improve the manuscript. This work was partly funded by an ARC linkage grant with ExxonMobil Upstream Research. Figures for this publication have been generated using the Generic Mapping Tools (Wessel and Smith, 1998). The electronic supplementary information contains two QuickTime animations.</t>
  </si>
  <si>
    <t>0040-1951</t>
  </si>
  <si>
    <t>1879-3266</t>
  </si>
  <si>
    <t>Tectonophysics</t>
  </si>
  <si>
    <t>10.1016/j.tecto.2009.08.028</t>
  </si>
  <si>
    <t>576UM</t>
  </si>
  <si>
    <t>WOS:000276174800012</t>
  </si>
  <si>
    <t>Bracegirdle, TJ; Kolstad, EW</t>
  </si>
  <si>
    <t>Bracegirdle, Thomas J.; Kolstad, Erik W.</t>
  </si>
  <si>
    <t>Climatology and variability of Southern Hemisphere marine cold-air outbreaks</t>
  </si>
  <si>
    <t>TELLUS SERIES A-DYNAMIC METEOROLOGY AND OCEANOGRAPHY</t>
  </si>
  <si>
    <t>ANNULAR MODES; POLAR LOWS; MESOCYCLONES; ASSOCIATIONS; CIRCULATION; TEMPERATURE; TRENDS</t>
  </si>
  <si>
    <t>Marine cold air outbreaks (MCAOs) are events where cold air flows over a relatively warm sea surface. Such outbreaks are associated with severe mesoscale weather systems that are not generally resolved in global climate models, such as polar lows and boundary-layer fronts. Here, an analysis of winter climatology and variability of MCAOs in the Southern Hemisphere (SH) is presented. Near the sea ice edge, north-south fluctuations of the Southern Annular Mode (SAM) index are key, while further north, large-scale wave disturbances are needed to move air masses far enough away from the Antarctic continent to instigate MCAOs. Unlike in the Northern Hemisphere (NH), the spatial patterns of mean and extreme values of the MCAO index differ considerably. Near 60 degrees S, both mean and extreme values of the index are similar to those found in the main MCAO regions in the NH. Further north, the mean MCAO index is quite high, but the extreme values are much lower than in the NH. We conclude that MCAOs in the SH are as widespread and can be as strong as in the NH, but severe MCAOs near densely populated regions such as the Tasman Sea are less common than in the Nordic Seas and near Japan.</t>
  </si>
  <si>
    <t>[Bracegirdle, Thomas J.] British Antarctic Survey, Cambridge CB3 0ET, England; [Kolstad, Erik W.] Bjerknes Ctr Climate Res, Bergen, Norway</t>
  </si>
  <si>
    <t>UK Research &amp; Innovation (UKRI); Natural Environment Research Council (NERC); NERC British Antarctic Survey; Bjerknes Centre for Climate Research</t>
  </si>
  <si>
    <t>Bracegirdle, TJ (corresponding author), British Antarctic Survey, Cambridge CB3 0ET, England.</t>
  </si>
  <si>
    <t>tjbra@bas.ac.uk</t>
  </si>
  <si>
    <t>Kolstad, Erik/A-2311-2015; Bracegirdle, Tom/AAD-6060-2020; Kolstad, Erik Olsøybakk/GYJ-6310-2022</t>
  </si>
  <si>
    <t>Kolstad, Erik/0000-0001-5394-9541; Bracegirdle, Thomas/0000-0002-8868-4739</t>
  </si>
  <si>
    <t>Norwegian Research Council [175992/S30]; NERC [bas0100023] Funding Source: UKRI; Natural Environment Research Council [bas0100023]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</si>
  <si>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</si>
  <si>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The authors thank the reviewers for their useful and constructive comments. Erik Kolstad's work was funded by the Norwegian Research Council through its International Polar Year programme and the project IPY-THORPEX (grant number 175992/S30). This is publication no. A256 from the Bjerknes Centre for Climate Research.</t>
  </si>
  <si>
    <t>0280-6495</t>
  </si>
  <si>
    <t>TELLUS A</t>
  </si>
  <si>
    <t>Tellus Ser. A-Dyn. Meteorol. Oceanol.</t>
  </si>
  <si>
    <t>10.1111/j.1600-0870.2009.00431.x</t>
  </si>
  <si>
    <t>Meteorology &amp; Atmospheric Sciences; Oceanography</t>
  </si>
  <si>
    <t>553AD</t>
  </si>
  <si>
    <t>WOS:000274335900010</t>
  </si>
  <si>
    <t>Choi, KS; Moon, JY; Kim, DW; Chu, PS</t>
  </si>
  <si>
    <t>Choi, Ki-Seon; Moon, Ja-Yeon; Kim, Do-Woo; Chu, Pao-Shin</t>
  </si>
  <si>
    <t>Seasonal prediction of tropical cyclone genesis frequency over the western North Pacific using teleconnection patterns</t>
  </si>
  <si>
    <t>THEORETICAL AND APPLIED CLIMATOLOGY</t>
  </si>
  <si>
    <t>SNOW COVER; SEA-ICE; INTERANNUAL VARIATION; ANTARCTIC OSCILLATION; HURRICANE FREQUENCY; SUMMER MONSOON; WINTER SNOW; VARIABILITY; CYCLOGENESIS; CIRCULATION</t>
  </si>
  <si>
    <t>This study has developed a multiple linear regression model for the seasonal prediction of the summer tropical cyclone genesis frequency (TCGF) in the western North Pacific using the three teleconnection patterns. These patterns are representative of the Siberian High Oscillation (SHO) in the East Asian continent, the North Pacific Oscillation in the North Pacific, and Antarctic Oscillation (AAO) near the Australia during the boreal spring (April-May). This statistical model is verified through the two analyses: (a) statistical method of cross validation and (b) differences between the high TCGF years and low TCGF years that is hindcasted by the statistical model. The high TCGF years are characterized by the following anomalous features: Three anomalous teleconnection patterns such as anticyclonic circulation (positive SHO phase) in the East Asian continent, pressure pattern like north-high and south-low in the North Pacific, and cyclonic circulation (negative AAO phase) near the Australia were strengthened during the period from boreal spring to boreal summer. Thus, anomalous trade winds in the tropical western Pacific (TWP) were weakened by anomalous cyclonic circulations that located in the subtropical western Pacific (SWP) in both hemispheres. In consequence, this spatial distribution of anomalous pressure pattern suppressed convection in the TWP but strengthened convection in the SWP.</t>
  </si>
  <si>
    <t>[Choi, Ki-Seon; Kim, Do-Woo] Pukyong Natl Univ, Dept Environm Atmospher Sci, Pusan 608737, South Korea; [Moon, Ja-Yeon] Univ Hawaii, Int Pacific Res Ctr, Honolulu, HI 96822 USA; [Chu, Pao-Shin] Univ Hawaii, Dept Meteorol, Honolulu, HI 96822 USA</t>
  </si>
  <si>
    <t>Pukyong National University; University of Hawaii System; University of Hawaii System</t>
  </si>
  <si>
    <t>Choi, KS (corresponding author), Pukyong Natl Univ, Dept Environm Atmospher Sci, Daeyeon 3 Dong Nam Gu, Pusan 608737, South Korea.</t>
  </si>
  <si>
    <t>choiks@kma.go.kr</t>
  </si>
  <si>
    <t>Kim, Do-Woo/0000-0002-7994-827X</t>
  </si>
  <si>
    <t>Korean Government [KRF-2008-313C00941]</t>
  </si>
  <si>
    <t>Korean Government(Korean Government)</t>
  </si>
  <si>
    <t>This work was supported by the Korea Research Foundation Grant funded by the Korean Government (KRF-2008-313C00941).</t>
  </si>
  <si>
    <t>WIEN</t>
  </si>
  <si>
    <t>SACHSENPLATZ 4-6, PO BOX 89, A-1201 WIEN, AUSTRIA</t>
  </si>
  <si>
    <t>0177-798X</t>
  </si>
  <si>
    <t>1434-4483</t>
  </si>
  <si>
    <t>THEOR APPL CLIMATOL</t>
  </si>
  <si>
    <t>Theor. Appl. Climatol.</t>
  </si>
  <si>
    <t>10.1007/s00704-009-0182-1</t>
  </si>
  <si>
    <t>558CU</t>
  </si>
  <si>
    <t>WOS:000274719000014</t>
  </si>
  <si>
    <t>Newton, PK</t>
  </si>
  <si>
    <t>Newton, Paul K.</t>
  </si>
  <si>
    <t>The N-vortex problem on a sphere: geophysical mechanisms that break integrability</t>
  </si>
  <si>
    <t>THEORETICAL AND COMPUTATIONAL FLUID DYNAMICS</t>
  </si>
  <si>
    <t>N-vortex problem on sphere; Nonintegrable Hamiltonian systems; Antarctic polar vortex</t>
  </si>
  <si>
    <t>3 POINT VORTICES; EARTHS CURVATURE; ISOLATED OBJECTS; ROTATING SPHERE; DYNAMICS; MOTION; SURFACE; TRACER; FIELD; MODEL</t>
  </si>
  <si>
    <t>We describe the dynamical system governing the evolution of a system of point vortices on a rotating spherical shell, highlighting features which break what would otherwise be an integrable problem. The importance of the misalignment of the center-of-vorticity vector associated with a cluster of point vortices with the axis of rotation is emphasized as a crucial factor in the interpretation of dynamical features for many flow configurations. We then describe two important physical mechanisms which break what would otherwise be an integrable problem-the interactions between the local center-of-vorticity vectors of more than one region of concentrated vorticity, and the coupling between the center-of-vorticity vector and the background vorticity field which supports Rossby waves. Focusing on the Polar vortex splitting event of September 2002, we describe simple (i.e., low dimensional) mechanisms that can trigger instabilities whose subsequent development cause the onset of chaotic advection and global particle transport. At the linear level, eigenvalues that oscillate between elliptic and hyperbolic configurations initiate the pinch-off process of a passive patch representing the Polar vortex. At the nonlinear level, the evolution and topological bifurcations of the streamline patterns are responsible for its further splitting, stretching, and subsequent transport over the sphere. We finish by briefly describing how to incorporate conservation of potential vorticity and the development of a model governing the probability density function associated with the point vortex system.</t>
  </si>
  <si>
    <t>Univ So Calif, Los Angeles, CA 90089 USA</t>
  </si>
  <si>
    <t>University of Southern California</t>
  </si>
  <si>
    <t>Newton, PK (corresponding author), Univ So Calif, Los Angeles, CA 90089 USA.</t>
  </si>
  <si>
    <t>newton@usc.edu</t>
  </si>
  <si>
    <t>Newton, Paul Kenneth/IUN-2377-2023</t>
  </si>
  <si>
    <t>National Science Foundation [NSF-DMS-0504308, NSF-DMS-0804629]; Division Of Mathematical Sciences; Direct For Mathematical &amp; Physical Scien [0804629] Funding Source: National Science Foundation</t>
  </si>
  <si>
    <t>National Science Foundation(National Science Foundation (NSF)); Division Of Mathematical Sciences; Direct For Mathematical &amp; Physical Scien(National Science Foundation (NSF)NSF - Directorate for Mathematical &amp; Physical Sciences (MPS))</t>
  </si>
  <si>
    <t>Funding for this work was provided by the National Science Foundation through grants NSF-DMS-0504308 and NSF-DMS-0804629. I would like to thank R. Kidambi, M. Jamaloodeen, H. Shokraneh, and G. Chamoun whose Ph. D. theses, along with the postdoctoral work of Shane Ross at USC helped develop aspects of what is described in this article. I would also like to thank colleagues from whom I have learned much including Hassan Aref, Alexey Borisov, Darren Crowdy, David Dritschel, Eva Kanso, Yoshi Kimura, Chjan Lim, Phil Marcus, Jerry Marsden, Takashi Sakajo, Mark Stremler and Tamas Tel.</t>
  </si>
  <si>
    <t>0935-4964</t>
  </si>
  <si>
    <t>1432-2250</t>
  </si>
  <si>
    <t>THEOR COMP FLUID DYN</t>
  </si>
  <si>
    <t>Theor. Comput. Fluid Dyn.</t>
  </si>
  <si>
    <t>10.1007/s00162-009-0109-6</t>
  </si>
  <si>
    <t>Mechanics; Physics, Fluids &amp; Plasmas</t>
  </si>
  <si>
    <t>Mechanics; Physics</t>
  </si>
  <si>
    <t>567DN</t>
  </si>
  <si>
    <t>WOS:000275422800016</t>
  </si>
  <si>
    <t>Under-ice technologies for detecting climate change</t>
  </si>
  <si>
    <t>UNDERWATER TECHNOLOGY</t>
  </si>
  <si>
    <t>[Summerhayes, Colin] New Zealand Oceanog Inst, Wellington, New Zealand; [Summerhayes, Colin] Woods Hole Oceanog Inst, Falmouth, MA USA; [Summerhayes, Colin] Inst Oceanog Sci Deacon Lab, Godalming, Surrey, England; [Summerhayes, Colin] New Southampton Oceanog Ctr, Southampton, Hants, England; UNESCOs Global Ocean Observing Syst GOOS Project, London, England; [Summerhayes, Colin] Sci Comm Antarctic Res, Cambridge, England; [Summerhayes, Colin] SUT, Nakhon Ratchasima, Thailand</t>
  </si>
  <si>
    <t>Woods Hole Oceanographic Institution; NERC National Oceanography Centre; University of Cambridge; Suranaree University of Technology</t>
  </si>
  <si>
    <t>Summerhayes, C (corresponding author), New Zealand Oceanog Inst, Wellington, New Zealand.</t>
  </si>
  <si>
    <t>SOC UNDERWATER TECHNOLOGY</t>
  </si>
  <si>
    <t>80 COLEMAN ST, LONDON EC2R 5BJ, ENGLAND</t>
  </si>
  <si>
    <t>1756-0543</t>
  </si>
  <si>
    <t>1756-0551</t>
  </si>
  <si>
    <t>UNDERWATER TECHNOL</t>
  </si>
  <si>
    <t>Underw. Technol.</t>
  </si>
  <si>
    <t>10.3723/ut.29.001</t>
  </si>
  <si>
    <t>Engineering, Ocean</t>
  </si>
  <si>
    <t>VD7YC</t>
  </si>
  <si>
    <t>WOS:000437619500001</t>
  </si>
  <si>
    <t>Ortega-Retuerta, E; Reche, I; Pulido-Villena, E; Agustí, S; Duarte, CM</t>
  </si>
  <si>
    <t>Ortega-Retuerta, E.; Reche, I.; Pulido-Villena, E.; Agusti, S.; Duarte, C. M.</t>
  </si>
  <si>
    <t>Distribution and photoreactivity of chromophoric dissolved organic matter in the Antarctic Peninsula (Southern Ocean)</t>
  </si>
  <si>
    <t>MARINE CHEMISTRY</t>
  </si>
  <si>
    <t>Chromophoric; Dissolved organic matter; Photobleaching; Photohumification; Southern ocean</t>
  </si>
  <si>
    <t>MOLECULAR-WEIGHT; ULTRAVIOLET-RADIATION; OPTICAL-PROPERTIES; ROSS SEA; ABSORPTION; MARINE; CARBON; COASTAL; PHYTOPLANKTON; DYNAMICS</t>
  </si>
  <si>
    <t>Chromophoric dissolved organic matter (CDOM) plays a key role regulating light attenuation in the ocean. This optically reactive pool of organic matter is driven by several physical and biological processes such as photobleaching, photohumification, and biogeneration, that act as primary sinks and sources of CDOM. In this study. we described the geographical and vertical distribution of CDOM in the Antarctic Peninsula area (Southern Ocean), and assessed its potential driving factors, with special emphasis on CDOM photo reactivity. CDOM values were between the detection limit and 2.17 m(-1) at 325 nm and between the detection limit and 0.76 m(-1) at 443 nm (average a(325) = 0.36 +/- 0.02 m(-1), average a(443) = 0-11 +/- 0.01 m(-1)). with the highest values inside Deception Island in 2004, and the lowest in the Eastern Bransfield Strait. In Bellingshausen Sea, CDOM was higher below the mixed layer suggesting a significant role of photobleaching. By contrast in the Weddell Sea maximum values were found within the mixed layer. In the Weddell Sea, a positive correlation between CDOM and both chlorophyll a and bacterial production and a negative correlation with salinity suggest a biological source of CDOM likely associated to ice melting. Salinity was also negatively related to the spectral slopes from 275 to 295 nm, considered a good proxy for DOM molecular weight. The experimental results demonstrate the photoreactive nature of CDOM, with half lives from 2.1 to 5.1 days due to photobleaching in the upper layer and duplication times from 4.9 to 15.7 days due to photohumification, that highlight the highly dynamic nature of CDOM in this area. (c) 2009 Elsevier B.V. All rights reserved.</t>
  </si>
  <si>
    <t>[Ortega-Retuerta, E.; Reche, I.] Univ Granada, Fac Ciencias, Dept Ecol, E-18071 Granada, Spain; [Ortega-Retuerta, E.; Reche, I.] Univ Granada, Inst Agua, E-18071 Granada, Spain; [Pulido-Villena, E.] CNRS, UMR 7093, Lab Oceanog Villefranche, F-06238 Villefranche Sur Mer, France; [Agusti, S.; Duarte, C. M.] UIB, CSIC, Inst Mediterraneo Estudios Avanzados, Esporles, Illes Balears, Spain</t>
  </si>
  <si>
    <t>University of Granada; University of Granada; Centre National de la Recherche Scientifique (CNRS); CNRS - National Institute for Earth Sciences &amp; Astronomy (INSU); Sorbonne Universite; Consejo Superior de Investigaciones Cientificas (CSIC); Universitat de les Illes Balears</t>
  </si>
  <si>
    <t>Ortega-Retuerta, E (corresponding author), Univ Paris 06, CNRS, UMR 7621, Observ Oceanol,LOBB, F-66651 Banyuls Sur Mer, France.</t>
  </si>
  <si>
    <t>ortega@obs-banyuls.fr</t>
  </si>
  <si>
    <t>Agusti, Susana/H-8421-2012; Duarte Quesada, Carlos Manuel/ABD-6208-2021; Duarte, Carlos M/A-7670-2013; Reche, Isabel/K-7120-2014; Agusti, Susana/G-2864-2017; Ortega-Retuerta, Eva/I-2432-2015</t>
  </si>
  <si>
    <t>Duarte, Carlos M/0000-0002-1213-1361; Reche, Isabel/0000-0003-2908-1724; Agusti, Susana/0000-0003-0536-7293; Pulido, Elvira/0000-0002-5436-2133; Ortega-Retuerta, Eva/0000-0003-0780-8347</t>
  </si>
  <si>
    <t>Spanish Ministry of Science and Technology [REN2002-04165-CO3-02, CGL2005-00076]; Spanish Ministry of Science and Education; University of Granada</t>
  </si>
  <si>
    <t>Spanish Ministry of Science and Technology(Spanish Government); Spanish Ministry of Science and Education(Spanish Government); University of Granada</t>
  </si>
  <si>
    <t>We thank the crew of R/V Las Palmas and Hesperides and Marine Technology Unit for their assistance in the field, Maria Calleja for DOC analyses, and Regino Martinez for chlorophyll a analyses. We also acknowledge two anonymous reviewers for their constructive comments on a previous version of this MS. This work was funded by the Spanish Ministry of Science and Technology (ICEPOS, REN2002-04165-CO3-02 to CD and DISPAR, CGL2005-00076 to IR). E.O.-R. was supported by fellowships of the Spanish Ministry of Science and Education and University of Granada.</t>
  </si>
  <si>
    <t>0304-4203</t>
  </si>
  <si>
    <t>1872-7581</t>
  </si>
  <si>
    <t>MAR CHEM</t>
  </si>
  <si>
    <t>Mar. Chem.</t>
  </si>
  <si>
    <t>FEB 28</t>
  </si>
  <si>
    <t>10.1016/j.marchem.2009.11.008</t>
  </si>
  <si>
    <t>Chemistry, Multidisciplinary; Oceanography</t>
  </si>
  <si>
    <t>Chemistry; Oceanography</t>
  </si>
  <si>
    <t>566AU</t>
  </si>
  <si>
    <t>WOS:000275342600004</t>
  </si>
  <si>
    <t>Chance, R; Weston, K; Baker, AR; Hughes, C; Malin, G; Carpenter, L; Meredith, MP; Clarke, A; Jickells, TD; Mann, P; Rossetti, H</t>
  </si>
  <si>
    <t>Chance, Rosie; Weston, Keith; Baker, Alex R.; Hughes, Claire; Malin, Gill; Carpenter, Lucy; Meredith, Michael P.; Clarke, Andrew; Jickells, Timothy D.; Mann, Paul; Rossetti, Helen</t>
  </si>
  <si>
    <t>Seasonal and interannual variation of dissolved iodine speciation at a coastal Antarctic site</t>
  </si>
  <si>
    <t>Iodine speciation; Iodide; Iodate; Seawater; Primary production; Phytoplankton; Southern Ocean; Western Antarctic Peninsula</t>
  </si>
  <si>
    <t>NORTHERN MARGUERITE BAY; MARINE-PHYTOPLANKTON; WATER-COLUMN; INORGANIC IODINE; INSHORE WATERS; PACIFIC-OCEAN; PENINSULA; SEAWATER; IODATE; SEA</t>
  </si>
  <si>
    <t>Dissolved iodine speciation in surface seawater at a coastal Antarctic site has been studied over a period spanning three austral summers. The sampling site is biologically productive, with a summertime algal bloom accompanying strong seasonal variations in physical and chemical parameters. The results suggest a seasonal cycle in which iodide concentrations increase and iodate concentrations decrease during the summer, though the magnitude of these changes appears to be subject to considerable interannual variability. Iodide concentrations were typically very low, with minimum values of 10 to 20 nM at the beginning and end of the ice-free summer periods and summertime maxima of about 35 nM in 2005/06, 150 nM in 2006/07 and 82 nM in 2007/08. More detailed observations of iodide and iodate concentrations made during summer 2005/06 demonstrated that the accumulation of iodide was strongly correlated with integrated biological primary productivity, with an implied I/C assimilation ratio of 1.6 x 10(-4). (c) 2009 Elsevier B.V. All rights reserved.</t>
  </si>
  <si>
    <t>[Chance, Rosie; Carpenter, Lucy] Univ York, Dept Chem, York YO10 5DD, N Yorkshire, England; [Chance, Rosie; Weston, Keith; Baker, Alex R.; Hughes, Claire; Malin, Gill; Jickells, Timothy D.] Univ E Anglia, Sch Environm Sci, Lab Global Marine &amp; Atmospher Chem, Norwich NR4 7TJ, Norfolk, England; [Meredith, Michael P.; Clarke, Andrew; Mann, Paul; Rossetti, Helen] British Antarctic Survey, NERC, Cambridge CB3 0ET, England</t>
  </si>
  <si>
    <t>University of York - UK; University of East Anglia; UK Research &amp; Innovation (UKRI); Natural Environment Research Council (NERC); NERC British Antarctic Survey</t>
  </si>
  <si>
    <t>Chance, R (corresponding author), Univ York, Dept Chem, York YO10 5DD, N Yorkshire, England.</t>
  </si>
  <si>
    <t>rjc508@york.ac.uk</t>
  </si>
  <si>
    <t>Carpenter, Laura/JPY-0437-2023; Malin, Gill/C-6985-2009; Carpenter, Lucy J/E-6742-2013; Baker, Alex R/D-1233-2011; Mann, Paul/H-7268-2014</t>
  </si>
  <si>
    <t>Baker, Alex/0000-0002-8365-8953; Meredith, Michael/0000-0002-7342-7756; Weston, Keith/0000-0001-7573-0348; Mann, Paul/0000-0002-6221-3533; Malin, Gill/0000-0002-3639-9215; Carpenter, Lucy/0000-0002-6257-3950; Chance, Rosie/0000-0002-5906-176X</t>
  </si>
  <si>
    <t>NERC [NE/D006546/1, NE/E013430/1, NE/D006538/1, bas0100028] Funding Source: UKRI; Office of Polar Programs (OPP); Directorate For Geosciences [0823101] Funding Source: National Science Foundation; Natural Environment Research Council [NE/B501039/1, NER/G/S/2002/00024, bas0100028, NE/E013430/1, NE/D006546/1, NE/D006538/1] Funding Source: researchfish</t>
  </si>
  <si>
    <t>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</si>
  <si>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10.1016/j.marchem.2009.11.009</t>
  </si>
  <si>
    <t>WOS:000275342600007</t>
  </si>
  <si>
    <t>Oppenheimer, C; Kyle, P; Eisele, F; Crawford, J; Huey, G; Tanner, D; Kim, S; Mauldin, L; Blake, D; Beyersdorf, A; Buhr, M; Davis, D</t>
  </si>
  <si>
    <t>Oppenheimer, Clive; Kyle, Philip; Eisele, Fred; Crawford, Jim; Huey, Greg; Tanner, David; Kim, Saewung; Mauldin, Lee; Blake, Don; Beyersdorf, Andreas; Buhr, Martin; Davis, Doug</t>
  </si>
  <si>
    <t>Atmospheric chemistry of an Antarctic volcanic plume</t>
  </si>
  <si>
    <t>TRANSFORM INFRARED-SPECTROSCOPY; SOUTH-POLE; ISCAT 2000; AEROSOL-PARTICLES; GAS EMISSIONS; ST-HELENS; MT-EREBUS; AIRBORNE; SULFUR; NITROGEN</t>
  </si>
  <si>
    <t>We report measurements of the atmospheric plume emitted by Erebus volcano, Antarctica, renowned for its persistent lava lake. The observations were made in December 2005 both at source, with an infrared spectrometer sited on the crater rim, and up to 56 km downwind, using a Twin Otter aircraft; with the two different measurement platforms, plume ages were sampled ranging from &lt;1 min to as long as 9 h. Three species (CO, carbonyl sulfide (OCS), and SO2) were measured from both air and ground. While CO and OCS were conserved in the plume, consistent with their long atmospheric lifetimes, the downwind measurements indicate a SO2/CO ratio about 20% of that observed at the crater rim, suggesting rapid chemical conversion of SO2. The aircraft measurements also identify volcanogenic H2SO4, HNO3 and, recognized for the first time in a volcanic plume, HO2NO2. We did not find NOx in the downwind plume despite previous detection of NO2 above the crater. This suggests that near-source NOx was quickly oxidized to HNO3 and HO2NO2, and probably NO3(aq)2-, possibly in tandem with the conversion of SO2 to sulfate. These fast processes may have been facilitated by cloud processing in the dense plume immediately downwind from the crater. A further striking observation was O-3 depletion of up to similar to 35% in parts of the downwind plume. This is likely to be due to the presence of reactive halogens (BrO and ClO) formed through heterogeneous processes in the young plume. Our analysis adds to the growing evidence for the tropospheric reactivity of volcanic plumes and shows that Erebus volcano has a significant impact on Antarctic atmospheric chemistry, at least locally in the Southern Ross Sea area.</t>
  </si>
  <si>
    <t>[Oppenheimer, Clive] Univ Cambridge, Dept Geog, Cambridge CB2 3EN, England; [Kyle, Philip] New Mexico Inst Min &amp; Technol, Dept Earth &amp; Environm Sci, Socorro, NM 87801 USA; [Eisele, Fred; Mauldin, Lee] Natl Ctr Atmospher Res, Div Atmospher Chem, Boulder, CO 80305 USA; [Crawford, Jim] NASA, Langley Res Ctr, Hampton, VA 23681 USA; [Huey, Greg; Tanner, David; Kim, Saewung; Davis, Doug] Georgia Inst Technol, Sch Earth &amp; Atmospher Sci, Atlanta, GA 30332 USA; [Blake, Don; Beyersdorf, Andreas] Univ Calif Irvine, Dept Chem, Irvine, CA 92697 USA; [Buhr, Martin] Air Qual Design Inc, Golden, CO 80403 USA</t>
  </si>
  <si>
    <t>University of Cambridge; New Mexico Institute of Mining Technology; National Center Atmospheric Research (NCAR) - USA; National Aeronautics &amp; Space Administration (NASA); NASA Langley Research Center; University System of Georgia; Georgia Institute of Technology; University of California System; University of California Irvine</t>
  </si>
  <si>
    <t>Oppenheimer, C (corresponding author), Univ Cambridge, Dept Geog, Downing Pl, Cambridge CB2 3EN, England.</t>
  </si>
  <si>
    <t>co200@cam.ac.uk</t>
  </si>
  <si>
    <t>Beyersdorf, Andreas J/N-1247-2013; Kim, Saewung/E-4089-2012; NCEO, COMET+`/A-3443-2013; Oppenheimer, Clive/G-9881-2013; Crawford, James/L-6632-2013</t>
  </si>
  <si>
    <t>Oppenheimer, Clive/0000-0003-4506-7260; Crawford, James/0000-0002-6982-0934; Blake, Donald/0000-0002-8283-5014</t>
  </si>
  <si>
    <t>National Science Foundation; Leverhulme Trust; EU; NERC National Centre for Earth Observation; Natural Environment Research Council [come20001, earth010007] Funding Source: researchfish; NERC [come20001] Funding Source: UKRI</t>
  </si>
  <si>
    <t>National Science Foundation(National Science Foundation (NSF)); Leverhulme Trust(Leverhulme Trust); EU(European Union (EU)); NERC National Centre for Earth Observation(UK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</si>
  <si>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generously supported by grants from the Office of Polar Programs, National Science Foundation, to P. R. K. and D. D. and by a study abroad fellowship awarded to C.O. by the Leverhulme Trust. C.O. also acknowledges support from the EU Framework 6 project NOVAC and the NERC National Centre for Earth Observation. D. D. is grateful to William Neff for his retrieval of MET data used to help characterize plume drift velocity, to Darlene Slusher for her efforts in drafting early versions of several figures and providing modifications to these, and to several students and technicians who contributed to the data collection process, namely, Will Wallace and Ed Kosciuch. We thank the three referees for thorough reviews, Yinon Rudich for editorial evaluation and advice, Tjarda Roberts, Rob Martin, Rod Jones, and Tony Cox for discussions, and Mike Burton for providing the FTIR spectral retrieval code.</t>
  </si>
  <si>
    <t>FEB 27</t>
  </si>
  <si>
    <t>D04303</t>
  </si>
  <si>
    <t>10.1029/2009JD011910</t>
  </si>
  <si>
    <t>562GA</t>
  </si>
  <si>
    <t>WOS:000275036600002</t>
  </si>
  <si>
    <t>Venables, H; Moore, CM</t>
  </si>
  <si>
    <t>Venables, Hugh; Moore, C. Mark</t>
  </si>
  <si>
    <t>Phytoplankton and light limitation in the Southern Ocean: Learning from high-nutrient, high-chlorophyll areas</t>
  </si>
  <si>
    <t>NATURAL IRON FERTILIZATION; EXPORT EXPERIMENT CROZEX; MIXED-LAYER DEPTH; PACIFIC-OCEAN; BLOOM; GROWTH; ENRICHMENT; PLATEAU; GEORGIA; SEAWIFS</t>
  </si>
  <si>
    <t>Most of the Southern Ocean is a high-nutrient, low-chlorophyll (HNLC) area. There are exceptions to this situation downstream of some of the islands, where iron from the islands or surrounding shallow plateau fertilizes the mixed layer and causes a phytoplankton bloom in spring and summer. The main locations where this occurs are downstream of the South Georgia, Crozet, and Kerguelen islands. Data on mixed layer depths from Argo float profiles together with Sea-viewing Wide Field-of-view Sensor chlorophyll a (chl a) and photosynthetically available radiation from these high-nutrient, high-chlorophyll (HNHC) areas are combined to study the effects of mixed layer-averaged light availability on phytoplankton concentrations in areas where iron limitation has been lifted. The results of this analysis are then transferred to HNLC areas to assess the potential importance of light limitation through the year. We conclude that light limitation does not significantly constrain the annual integrated standing stock of chl a in the HNLC Southern Ocean.</t>
  </si>
  <si>
    <t>[Venables, Hugh] British Antarctic Survey, Cambridge CB3 0ET, England; [Moore, C. Mark] Univ Southampton, Natl Oceanog Ctr, Southampton SO14 3ZH, Hants, England</t>
  </si>
  <si>
    <t>UK Research &amp; Innovation (UKRI); Natural Environment Research Council (NERC); NERC British Antarctic Survey; NERC National Oceanography Centre; University of Southampton</t>
  </si>
  <si>
    <t>Venables, H (corresponding author), British Antarctic Survey, High Cross,Madingley Rd, Cambridge CB3 0ET, England.</t>
  </si>
  <si>
    <t>hjv@bas.ac.uk</t>
  </si>
  <si>
    <t>Moore, Mark/0000-0002-9541-6046</t>
  </si>
  <si>
    <t>NERC [bas010017, NE/C518114/2, bas0100028] Funding Source: UKRI; Natural Environment Research Council [bas010017, bas0100028, NE/C518114/2] Funding Source: researchfish</t>
  </si>
  <si>
    <t>C02015</t>
  </si>
  <si>
    <t>10.1029/2009JC005361</t>
  </si>
  <si>
    <t>562GD</t>
  </si>
  <si>
    <t>WOS:000275036900001</t>
  </si>
  <si>
    <t>Pavankumar, TL; Sinha, AK; Ray, MK</t>
  </si>
  <si>
    <t>Pavankumar, Theetha L.; Sinha, Anurag K.; Ray, Malay K.</t>
  </si>
  <si>
    <t>All Three Subunits of RecBCD Enzyme Are Essential for DNA Repair and Low-Temperature Growth in the Antarctic Pseudomonas syringae Lz4W</t>
  </si>
  <si>
    <t>GRAM-NEGATIVE BACTERIA; ESCHERICHIA-COLI; HOMOLOGOUS RECOMBINATION; CHI-RECOGNITION; RECA PROTEIN; SCHIRMACHER OASIS; NUCLEASE ACTIVITY; GENE REPLACEMENT; MUTANTS; REPLICATION</t>
  </si>
  <si>
    <t>Background: The recD mutants of the Antarctic Pseudomonas syringae Lz4W are sensitive to DNA-damaging agents and fail to grow at 4 degrees C. Generally, RecD associates with two other proteins (RecB and RecC) to produce RecBCD enzyme, which is involved in homologous recombination and DNA repair in many bacteria, including Escherichia coli. However, RecD is not essential for DNA repair, nor does its deletion cause any growth defects in E. coli. Hence, the assessment of the P. syringae RecBCD pathway was imperative. Methodology/Principal Findings: Mutational analysis and genetic complementation studies were used to establish that the individual null-mutations of all three genes, recC, recB, and recD, or the deletion of whole recCBD operon of P. syringae, lead to growth inhibition at low temperature, and sensitivity to UV and mitomycin C. Viability of the mutant cells dropped drastically at 4 degrees C, and the mutants accumulated linear chromosomal DNA and shorter DNA fragments in higher amounts compared to 22 degrees C. Additional genetic data using the mutant RecBCD enzymes that were inactivated either in the ATPase active site of RecB (RecB(K29Q)) or RecD (RecD(K229Q)), or in the nuclease center of RecB (RecB(D1118A) and RecB(Delta nuc)) suggested that, while the nuclease activity of RecB is not so critical in vivo, the ATP-dependent functions of both RecB and RecD are essential. Surprisingly, E. coli recBCD or recBC alone on plasmid could complement the defects of the Delta recCBD strain of P. syringae. Conclusions/Significance: All three subunits of the RecBCD(Ps) enzyme are essential for DNA repair and growth of P. syringae at low temperatures (4 degrees C). The RecD requirement is only a function of the RecBCD complex in the bacterium. The RecBCD pathway protects the Antarctic bacterium from cold-induced DNA damages, and is critically dependent on the helicase activities of both RecB and RecD subunits, but not on the nuclease of RecBCD(Ps) enzyme.</t>
  </si>
  <si>
    <t>[Pavankumar, Theetha L.; Sinha, Anurag K.; Ray, Malay K.] CSIR, Ctr Cellular &amp; Mol Biol, Hyderabad, Andhra Pradesh, India</t>
  </si>
  <si>
    <t>Pavankumar, TL (corresponding author), CSIR, Ctr Cellular &amp; Mol Biol, Hyderabad, Andhra Pradesh, India.</t>
  </si>
  <si>
    <t>malay@ccmb.res.in</t>
  </si>
  <si>
    <t>Sinha, Anurag Kumar/GXA-0049-2022; Pavankumar, Theetha L/R-6118-2017</t>
  </si>
  <si>
    <t>Sinha, Anurag Kumar/0000-0002-6051-4930; Pavankumar, Theetha L/0000-0003-1845-9592; Sinha, Anurag/0000-0002-1034-6334</t>
  </si>
  <si>
    <t>Institute, Centre for Cellular and Molecular Biology, Hyderabad; Council of Scientific and Industrial Research (CSIR)</t>
  </si>
  <si>
    <t>Institute, Centre for Cellular and Molecular Biology, Hyderabad; Council of Scientific and Industrial Research (CSIR)(Council of Scientific &amp; Industrial Research (CSIR) - India)</t>
  </si>
  <si>
    <t>The work was an in-house project of the Institute, Centre for Cellular and Molecular Biology, Hyderabad, which is funded by the Council of Scientific and Industrial Research (CSIR), an autonomous body under the Government of India. The Centre is a nonprofit research organization devoted to basic research. The funders has no role in study design, data collection and analysis, decision to publish, or preparation of the manuscript.</t>
  </si>
  <si>
    <t>FEB 25</t>
  </si>
  <si>
    <t>e9412</t>
  </si>
  <si>
    <t>10.1371/journal.pone.0009412</t>
  </si>
  <si>
    <t>560SY</t>
  </si>
  <si>
    <t>Green Submitted, Green Published, gold</t>
  </si>
  <si>
    <t>WOS:000274924300004</t>
  </si>
  <si>
    <t>New criteria for systematic mapping and reliability assessment of monogenetic volcanic vent alignments and elongate volcanic vents for crustal stress analyses</t>
  </si>
  <si>
    <t>Monogenetic cinder cones; Vent alignments; Vent elongation; Stress indicators; San Francisco volcanic field; Mount Morning volcano</t>
  </si>
  <si>
    <t>TECTONIC STRESS; EXTENSION FRACTURES; POSSIBLE INDICATORS; FIELD; EMPLACEMENT; MAGMA; PALEOSTRESS; ORIENTATION; INTRUSION; PATTERNS</t>
  </si>
  <si>
    <t>Linear arrays of monogenetic volcanic vent alignments represent an important source of stress/strain data from volcanic regions of the Earth and other planets. Currently, however, there is no standard methodology for mapping vent alignments or for assessing alignment reliability, which are essential to defining a robust stress datum from vent alignments. Here we define a systematic method for defining monogenetic vent alignments by mapping the locations and shapes of vents. Elongation of vents into elliptical shapes is directly related to the trend of subsurface fissures that control alignments. Elongated vents therefore are critical for defining reliable regional vent alignments, and also provide an independent means for assessing stress directions. Our reliability assessment system (A &gt; B &gt; C &gt; D) for vent alignments is based on the number of vents, the standard deviation of vent center points from a best-fit line, the numbers and types of elongate vents, the standard deviation of long axes of elliptical vents from a best-fit line, and, in cases where alignments lack elongate vents, by vent spacing distances. We quantified morphometric parameters of well-defined fissure-fed vent alignments from polygenetic volcanoes and platform volcanic fields to establish appropriate threshold values for reliability assessments. In this new method, the combined analysis of vent locations and shapes optimizes the process of alignment mapping and the assessment of the reliability of alignments to be incorporated in stress analyses. We provide quality-ranking schemes for stress data derived from reliability-assessed vent alignments and from elongate vents. We demonstrate the utility of this new mapping and assessment methodology by analyzing monogenetic cinder cone fields within a platform volcanic field (the San Francisco volcanic field in Arizona) and within a volcanic field on the flank of a polygenetic volcano (Mount Morning in Antarctica). (C) 2009 Elsevier B.V. All rights reserved.</t>
  </si>
  <si>
    <t>[Paulsen, Timothy S.] Univ Wisconsin, Dept Geol, Oshkosh, WI USA; [Wilson, Terry J.] Ohio State Univ, Byrd Polar Res Ctr, Columbus, OH 43210 USA; [Wilson, Terry J.] Ohio State Univ, Sch Earth Sci, Columbus, OH 43210 USA</t>
  </si>
  <si>
    <t>Paulsen, TS (corresponding author), Univ Wisconsin, Dept Geol, Oshkosh, WI USA.</t>
  </si>
  <si>
    <t>NSF [OPP-990970, OPP-9910879]; University of Wisconsin Oshkosh Faculty</t>
  </si>
  <si>
    <t>NSF(National Science Foundation (NSF)); University of Wisconsin Oshkosh Faculty</t>
  </si>
  <si>
    <t>This work was funded by NSF grant OPP-990970 to T. Wilson and NSF grant OPP-9910879 and University of Wisconsin Oshkosh Faculty Development Program sabbatical grants to T. Paulsen. We thank William Bosworth and John Reinecker for the helpful critiques that improved this manuscript. We also thank Bea Csatho for providing the LIDAR data of the Mount Moming area, Paul Morin (Antarctic Geospatial Information Center) for helping produce Fig. 2d, Yaron Felus for support in the field and lab aspects of this research, Peter Braddock for the field assistance, PHI Helicopters for providing us with excellent support during our vent mapping, and Rick Allmendinger for providing his stereonet program. Yaron Felus wrote the best-fit ellipse program for Arcview (R). Christie Demosthenous provided reviews that clarified drafts of this manuscript.</t>
  </si>
  <si>
    <t>10.1016/j.tecto.2009.08.025</t>
  </si>
  <si>
    <t>571YC</t>
  </si>
  <si>
    <t>WOS:000275791400003</t>
  </si>
  <si>
    <t>Liu, XH; Huang, FX; Kong, P; Fang, AM; Li, XL; Ju, YT</t>
  </si>
  <si>
    <t>Liu, Xiaohan; Huang, Feixin; Kong, Ping; Fang, Aimin; Li, Xiaoli; Ju, Yitai</t>
  </si>
  <si>
    <t>History of ice sheet elevation in East Antarctica: Paleoclimatic implications</t>
  </si>
  <si>
    <t>Grove Mountains; fluctuation of ice surface; spore-pollen assemblage; cosmogenic nuclide exposure age; Pliocene</t>
  </si>
  <si>
    <t>PRINCE-CHARLES MOUNTAINS; PLIOCENE SORSDAL FORMATION; GROVE MOUNTAINS; VICTORIA LAND; AMERY OASIS; MIDDLE PLIOCENE; VESTFOLD HILLS; EXPOSURE AGES; RADOK LAKE; GLACIATION</t>
  </si>
  <si>
    <t>The multi-disciplinary study of past ice surface elevations in the Grove Mountains of interior East Antarctica provides direct land-based data on the behavior of the East Antarctic Ice Sheet since the Pliocene. The glacial geology, the ages of cold desert soils, the depositional environment of younger moraine sedimentary boulders and their spore-pollen assemblages combine to imply a possible significant shrinkage of the Ice Sheet before the Middle Pliocene Epoch, with the Ice Sheet margin retreating south of the Grove Mountains (similar to 450 km south from its present coastal position). Exposure age measurements of bedrock indicate that the elevation of the ice surface in the Grove Mountains region subsequently rose at about mid-Pliocene to at least 200 m higher than today's levels. The ice surface then progressively lowered, with some minor fluctuations. Middle to Late Pleistocene exposure ages found on the lowest samples. at the ice/bedrock contact line, indicate a long period with ice surface elevations kept at the current level or complex fluctuation history during the Quaternary Epoch. (C) 2009 Elsevier B.V. All rights reserved.</t>
  </si>
  <si>
    <t>[Liu, Xiaohan; Kong, Ping; Fang, Aimin; Li, Xiaoli] Chinese Acad Sci, Inst Geol &amp; Geophys, Beijing 100029, Peoples R China; [Liu, Xiaohan; Huang, Feixin] Chinese Acad Sci, Inst Tibetan Plateau Res, Beijing 100085, Peoples R China; [Huang, Feixin; Ju, Yitai] China Met Geol Bur, Mineral Resources Inst, Beijing 100025, Peoples R China</t>
  </si>
  <si>
    <t>Chinese Academy of Sciences; Institute of Geology &amp; Geophysics, CAS; Chinese Academy of Sciences; Institute of Tibetan Plateau Research, CAS</t>
  </si>
  <si>
    <t>Liu, XH (corresponding author), Chinese Acad Sci, Inst Geol &amp; Geophys, Beijing 100029, Peoples R China.</t>
  </si>
  <si>
    <t>xhliu@mail.iggcas.ac.cn</t>
  </si>
  <si>
    <t>Li, Xiaoli/GYQ-7384-2022</t>
  </si>
  <si>
    <t>National Natural Science Foundation of China [40631004, 40506003]; Chinese Polar Research Administration</t>
  </si>
  <si>
    <t>National Natural Science Foundation of China(National Natural Science Foundation of China (NSFC)); Chinese Polar Research Administration</t>
  </si>
  <si>
    <t>This work was supported by grants from National Natural Science Foundation of China (40631004 and 40506003), and field logistics was supported by the Chinese Polar Research Administration grants during 1998-2005. We thank Professor Paul Tapponnier and Kenneth J. Hsu for their constructive comments. We thank Professor Peter Barrett and Tim Naish, together with Editor Claude Jaupart for their insightful and patient comments that helped to improve this study. We thank Dr. Bill Isherwood for assistance with the wording of this manuscript.</t>
  </si>
  <si>
    <t>FEB 20</t>
  </si>
  <si>
    <t>10.1016/j.epsl.2009.12.008</t>
  </si>
  <si>
    <t>565PK</t>
  </si>
  <si>
    <t>WOS:000275306200005</t>
  </si>
  <si>
    <t>Wang, PX; Tian, J; Lourens, LJ</t>
  </si>
  <si>
    <t>Wang, Pinxian; Tian, Jun; Lourens, Lucas J.</t>
  </si>
  <si>
    <t>Obscuring of long eccentricity cyclicity in Pleistocene oceanic carbon isotope records</t>
  </si>
  <si>
    <t>long eccentricity; carbon isotope; oceanic carbon reservoir; Pliocene; Pleistocene; Ocean Drilling Program</t>
  </si>
  <si>
    <t>HEMISPHERE ICE SHEETS; INDIAN-OCEAN; CLIMATE RESPONSE; MIDDLE MIOCENE; SOLAR-SYSTEM; TIMESCALE; EVOLUTION; FLUCTUATIONS; OLIGOCENE; CYCLES</t>
  </si>
  <si>
    <t>Long eccentricity (400-kyr) cycles in carbon isotope records from the Pacific and Atlantic oceans and the Mediterranean sea of the past 5.0 Ma are compared. All records show maximum delta delta C-13 values (delta(13)Cmax) at eccentricity minima during the Pliocene, but this relationship obscured in the Pleistocene after similar to 1.6 Ma in particular for the open ocean deep-water delta C-13 records. Since a clear anti-phase relationship was set up between oceanic 6180 and delta C-13 in the 100-kyr hand from this time, we attribute the obscured 400-kyr signal to a major change in the oceanic carbon reservoir probably associated with restructure of the Southern Ocean. A similar change occurred in the Miocene at 13.9 Ma when the 400-kyr cyclicity in delta C-13 records flattened out together with a drastic cooling and Antarctic ice-sheet expansion. A remarkable exception is the Mediterranean surface water delta C-13 record, which remained paced by the long-term eccentricity cycle throughout the Pliocene and Pleistocene, suggesting a low-latitude climatic origin of the 400-kyr signal that is independent of glacial-interglacial forcing. Since the Earth is currently passing through an eccentricity minimum, it is crucial to understand the nature of the delta(13)max events. (C) 2009 Elsevier B.V. All rights reserved.</t>
  </si>
  <si>
    <t>[Wang, Pinxian; Tian, Jun] Tongji Univ, State Key Lab Marine Geol, Shanghai 200092, Peoples R China; [Lourens, Lucas J.] Univ Utrecht, Dept Earth Sci, Fac Geosci, Utrecht, Netherlands</t>
  </si>
  <si>
    <t>Tongji University; Utrecht University</t>
  </si>
  <si>
    <t>Wang, PX (corresponding author), Tongji Univ, State Key Lab Marine Geol, Shanghai 200092, Peoples R China.</t>
  </si>
  <si>
    <t>pxwang@tongji.edu.cn</t>
  </si>
  <si>
    <t>U.S. National Science Foundation [NSF]; National Basic Research Program of China [2007CB815902]</t>
  </si>
  <si>
    <t>U.S. National Science Foundation [NSF](National Science Foundation (NSF)); National Basic Research Program of China(National Basic Research Program of China)</t>
  </si>
  <si>
    <t>The authors express their gratitude to anonymous reviewers for their critical comments and constructive advices which helped to improve the manuscript. Dr. Qianyu Li is acknowledged for discussions and comments on an early version of the manuscript. This research used samples and data provided by the Ocean Drilling Program [ODP]. ODP is sponsored by the U.S. National Science Foundation [NSF] and participating countries under management of joint Oceanographic Institutions [JOI], Inc. This work was supported by the National Basic Research Program of China (Grant No. 2007CB815902).</t>
  </si>
  <si>
    <t>10.1016/j.epsl.2009.12.028</t>
  </si>
  <si>
    <t>WOS:000275306200009</t>
  </si>
  <si>
    <t>Williams, T; van de Flierdt, T; Hemming, SR; Chung, E; Roy, M; Goldstein, SL</t>
  </si>
  <si>
    <t>Williams, Trevor; van de Flierdt, Tina; Hemming, Sidney R.; Chung, Elena; Roy, Martin; Goldstein, Steven L.</t>
  </si>
  <si>
    <t>Evidence for iceberg armadas from East Antarctica in the Southern Ocean during the late Miocene and early Pliocene</t>
  </si>
  <si>
    <t>ice-rafted debris; Antarctica; Pliocene; thermochronology; provenance; Ocean Drilling Program; Leg 188; Site 1165</t>
  </si>
  <si>
    <t>PRINCE-CHARLES MOUNTAINS; FINE-GRAINED SEDIMENT; ICE-RAFTED DEBRIS; 40AR/39AR AGES; SEA-LEVEL; PRYDZ BAY; MARINE SEDIMENTS; ROSS EMBAYMENT; ODP SITE-1165; GLACIER AREA</t>
  </si>
  <si>
    <t>Sediments from Ocean Drilling Program Site 1165 in the Indian Ocean sector of the Southern Ocean (off Prydz Bay) contain a series of layers that are rich in ice-rafted debris (IRD). Here we present evidence that IRD-rich layers at Site 1165 at 7, 4.8, and 3.5 Ma record short-lived, massive discharges of icebergs from Wilkes Land and Adelie Land, more than 1500 kilometers to the east of the depositional site. This distant Source of icebergs is clearly defined by the presence of IRD hornblende grains with 40Ar/39Ar ages of 1200-1100 Ma and 1550-1500 Ma, ages that are not found on the East Antarctic continent in locations closer to Site 1165. This observation requires enormous amounts of detritus-carrying drifting icebergs, most likely in the form of large icebergs. These events probably reflect destabilization, surge. and break-up of ice streams on the Wilkes Land and Adelie Land margins of the East Antarctic Ice Sheet, in the vicinity of the low-lying Aurora and Wilkes Basins. They occurred under warming conditions, but each coast seems to have produced ice-rafting events independently, at different times. The data presented here constitute the first evidence of far-traveled icebergs from specific source areas around the East Antarctic perimeter. Launch of these icebergs may have happened during quite dramatic events, perhaps analogous to Heinrich Events in the North Atlantic. (C) 2009 Elsevier B.V. All rights reserved.</t>
  </si>
  <si>
    <t>[Williams, Trevor; van de Flierdt, Tina; Hemming, Sidney R.; Chung, Elena; Roy, Martin; Goldstein, Steven L.] Lamont Doherty Earth Observ, Palisades, NY 10964 USA; [van de Flierdt, Tina; Hemming, Sidney R.; Goldstein, Steven L.] Columbia Univ, Dept Earth &amp; Environm Sci, Palisades, NY 10964 USA; [van de Flierdt, Tina] Univ London Imperial Coll Sci Technol &amp; Med, Dept Earth Sci &amp; Engn, London SW7 2AZ, England; [Chung, Elena] Univ Maryland, College Pk, MD 20742 USA; [Roy, Martin] Univ Quebec, Montreal, PQ H3C 3P8, Canada</t>
  </si>
  <si>
    <t>Columbia University; Columbia University; Imperial College London; University System of Maryland; University of Maryland College Park; University of Quebec; University of Quebec Montreal</t>
  </si>
  <si>
    <t>Williams, T (corresponding author), Lamont Doherty Earth Observ, 61 Route 9W, Palisades, NY 10964 USA.</t>
  </si>
  <si>
    <t>trevor@ldeo.columbia.edu; tina.vandeflierdt@imperial.ac.uk; sidney@ldeo.columbia.edu; roy.martin@uclam.ca; steveg@ldeo.columbia.edu</t>
  </si>
  <si>
    <t>Williams, Trevor/L-7670-2014</t>
  </si>
  <si>
    <t>Goldstein, Steven L/0000-0001-7252-8064; Hemming, Sidney/0000-0001-8117-2303</t>
  </si>
  <si>
    <t>US National Science Foundation (NSF); NSF OPP [OPP00-88054, ANT05-48918, ANT05-38580]; NERC [NE/H014144/1] Funding Source: UKRI; Natural Environment Research Council [NE/H014144/1] Funding Source: researchfish</t>
  </si>
  <si>
    <t>US National Science Foundation (NSF)(National Science Foundation (NSF)); NSF OPP(National Science Foundation (NSF)NSF - Directorate for Geosciences (GEO)); NERC(UK Research &amp; Innovation (UKRI)Natural Environment Research Council (NERC)); Natural Environment Research Council(UK Research &amp; Innovation (UKRI)Natural Environment Research Council (NERC))</t>
  </si>
  <si>
    <t>This research used samples provided by the Ocean Drilling Program (ODP). ODP was sponsored by the US National Science Foundation (NSF) and participating countries under management of joint oceanographic Institutions (JOI), Inc. We gratefully acknowledge reviews of this article by Michael Flowerdew, Amelia Shevenell, and Philip O'Brien. Measurements on the Site 1165 samples were conducted as part of E. Chung's REU summer internship at Lamont-Doherty Earth Observatory. Malka Machlus is gratefully acknowledged for help in the argon lab. This research was funded by NSF OPP grants OPP00-88054 to SLG and SRH, ANT05-48918 to TvdF, SRH, and SLG, and ANT05-38580 to SRH, SLG, and TvdF.</t>
  </si>
  <si>
    <t>10.1016/j.epsl.2009.12.031</t>
  </si>
  <si>
    <t>WOS:000275306200012</t>
  </si>
  <si>
    <t>Nakamura, T; Isoda, Y; Mitsudera, H; Takagi, S; Nagasawa, M</t>
  </si>
  <si>
    <t>Nakamura, T.; Isoda, Y.; Mitsudera, H.; Takagi, S.; Nagasawa, M.</t>
  </si>
  <si>
    <t>Breaking of unsteady lee waves generated by diurnal tides</t>
  </si>
  <si>
    <t>TIDAL FLOW; VARIABILITY; CLIMATE; OCEAN</t>
  </si>
  <si>
    <t>Diapyenal mixing caused through breaking of large-amplitude internal lee waves generated by sub-inertial diurnal tides, which are modulated with a 18.6-year period, is hypothesized to be fundamental to both the intermediate-layer ventilation and the bi-decadal oscillation around the North Pacific Ocean. The first observational evidence of such wave breaking is presented here. The breaking wave observed had similar to 200 m height and similar to 1 km width, and its associated diapycnal mixing was estimated to be similar to 1.5 m(2) s(-1), with a temporal average similar to 10(4) times larger than typical values in the open oceans. Our estimate suggests that a similar mixing process occurs globally, particularly around the Pacific and Antarctic Oceans. Citation: Nakamura, T., Y. Isoda, H. Mitsudera, S. Takagi, and M. Nagasawa (2010), Breaking of unsteady lee waves generated by diurnal tides, Geophys. Res. Lett., 37, L04602, doi: 10.1029/2009GL041456.</t>
  </si>
  <si>
    <t>[Nakamura, T.; Mitsudera, H.] Hokkaido Univ, Inst Low Temp Sci, Pan Okhotsk Res Ctr, Sapporo, Hokkaido 0600819, Japan; [Isoda, Y.] Hokkaido Univ, Fac Fisheries, Hakodate, Hokkaido 0418611, Japan; [Takagi, S.] Hokkaido Univ, Sch Fisheries, Hakodate, Hokkaido 0418611, Japan; [Nagasawa, M.] Univ Tokyo, Grad Sch Sci, Dept Earth &amp; Planetary Sci, Tokyo 1130033, Japan</t>
  </si>
  <si>
    <t>Hokkaido University; Hokkaido University; Hokkaido University; University of Tokyo</t>
  </si>
  <si>
    <t>Nakamura, T (corresponding author), Hokkaido Univ, Inst Low Temp Sci, Pan Okhotsk Res Ctr, Sapporo, Hokkaido 0600819, Japan.</t>
  </si>
  <si>
    <t>nakamura@lowtem.hokudai.ac.jp</t>
  </si>
  <si>
    <t>nakamura, tomohiro/E-2351-2012; Mitsudera, Humio/E-3241-2012</t>
  </si>
  <si>
    <t>nakamura, tomohiro/0000-0001-7632-2733; Mitsudera, Humio/0000-0001-9481-6921</t>
  </si>
  <si>
    <t>Scientific Research and for Young Scientists; NEDO; Grants-in-Aid for Scientific Research [20221002, 22106010, 22221001] Funding Source: KAKEN</t>
  </si>
  <si>
    <t>Scientific Research and for Young Scientists(Ministry of Education, Culture, Sports, Science and Technology, Japan (MEXT)Japan Society for the Promotion of ScienceGrants-in-Aid for Scientific Research (KAKENHI)); NEDO(New Energy and Industrial Technology Development Organization (NEDO)); Grants-in-Aid for Scientific Research(Ministry of Education, Culture, Sports, Science and Technology, Japan (MEXT)Japan Society for the Promotion of ScienceGrants-in-Aid for Scientific Research (KAKENHI))</t>
  </si>
  <si>
    <t>We thank scientists who joined the cruise and the captain and crew of the R. V. Oshoro-Maru for their support in the observations. This work was supported by Grants-in-Aid for Scientific Research and for Young Scientists, and by NEDO. Numerical analysis was done on the Pan-Okhotsk Information System of ILTS.</t>
  </si>
  <si>
    <t>1944-8007</t>
  </si>
  <si>
    <t>L04602</t>
  </si>
  <si>
    <t>10.1029/2009GL041456</t>
  </si>
  <si>
    <t>558ZK</t>
  </si>
  <si>
    <t>WOS:000274788900001</t>
  </si>
  <si>
    <t>Chang, YS; Rosati, AJ; Vecchi, GA</t>
  </si>
  <si>
    <t>Chang, You-Soon; Rosati, Anthony J.; Vecchi, Gabriel A.</t>
  </si>
  <si>
    <t>Basin patterns of global sea level changes for 2004-2007</t>
  </si>
  <si>
    <t>Sea level budget; Satellite altimetry; Argo; GRACE; Basin-scale</t>
  </si>
  <si>
    <t>OCEAN HEAT-CONTENT; IN-SITU; TEMPERATURE; GRACE; VARIABILITY; SALINITY</t>
  </si>
  <si>
    <t>Based on independent observations, we estimate the sea level budget and linear trends for individual ocean basins and the world ocean during 2004-2007. Even though it is confirmed that the seasonal variation of global sea level is balanced by the different sea level components (total sea level change from satellite altimetry equals to the sum of the steric height contribution obtained by Argo profiles and any variability in ocean mass observed from GRACE), basin-scale sea level budgets show very different characteristics. Sea level budgets over the South Pacific and Antarctic Ocean maintain a good balance both on seasonal to interannual time scales. Meanwhile, only the satellite altimeter data exhibits a large 4-year trend over the South Indian Ocean. This basin significantly impacts the magnitude of the disagreement for the global sea level budget. Large differences among the 3 different gravity fields related to the hydrologic signals in the Atlantic and Indian Ocean could be one of the major causes of the imbalance in the global sea level budget. (C) 2009 Elsevier B.V. All rights reserved.</t>
  </si>
  <si>
    <t>[Chang, You-Soon; Rosati, Anthony J.; Vecchi, Gabriel A.] Geophys Fluid Dynam Lab, Princeton, NJ USA</t>
  </si>
  <si>
    <t>National Oceanic Atmospheric Admin (NOAA) - USA</t>
  </si>
  <si>
    <t>Chang, YS (corresponding author), Princeton Univ, GFDL NOAA, Forrestal Campus,201 Forrestal Rd, Princeton, NJ 08540 USA.</t>
  </si>
  <si>
    <t>You-Soon.Chang@noaa.gov</t>
  </si>
  <si>
    <t>Vecchi, Gabriel/A-2413-2008</t>
  </si>
  <si>
    <t>Vecchi, Gabriel/0000-0002-5085-224X; Chang, You-Soon/0000-0002-8625-1876</t>
  </si>
  <si>
    <t>Visiting Scientist Program at the National Oceanic and Atmospheric Administration's Geophysical Fluid Dynamics Laboratory (NOAA/GFDL); CNES; NASA</t>
  </si>
  <si>
    <t>Visiting Scientist Program at the National Oceanic and Atmospheric Administration's Geophysical Fluid Dynamics Laboratory (NOAA/GFDL)(National Oceanic Atmospheric Admin (NOAA) - USA); CNES(Centre National D'etudes Spatiales); NASA(National Aeronautics &amp; Space Administration (NASA))</t>
  </si>
  <si>
    <t>This research was supported by the Visiting Scientist Program at the National Oceanic and Atmospheric Administration's Geophysical Fluid Dynamics Laboratory (NOAA/GFDL), administered by the University Corporation for Atmospheric Research (UCAR). We acknowledge the international Argo program for the rich publicly-available database. These data were collected and made freely available by the International Argo Project and the national programs that contribute to it. (http://www.argo.ucsd.edu, http://argojcom-mops.org). Argo is a pilot program of the Global Ocean Observing System. We are also grateful to Dr. Dean Roemmich for providing their gridded Argo dataset. The altimeter products were produced by SSALTO/DUACS and distributed by AVISO with support from CNES. GRACE data were processed by D. P. Chambers, supported by the NASA Earth Science REASON GRACE Project, and are available at http://grace.jpl.nasa.gov. We thank Drs. R.J. Stouffer, K.W. Dixon,and anonymous reviewers for their comments on the earlier version of this manuscript.</t>
  </si>
  <si>
    <t>10.1016/j.jmarsys.2009.11.003</t>
  </si>
  <si>
    <t>561NX</t>
  </si>
  <si>
    <t>WOS:000274985800010</t>
  </si>
  <si>
    <t>Boichu, M; Oppenheimer, C; Tsanev, V; Kyle, PR</t>
  </si>
  <si>
    <t>Boichu, Marie; Oppenheimer, Clive; Tsanev, Vitchko; Kyle, Philip R.</t>
  </si>
  <si>
    <t>High temporal resolution SO2 flux measurements at Erebus volcano, Antarctica</t>
  </si>
  <si>
    <t>JOURNAL OF VOLCANOLOGY AND GEOTHERMAL RESEARCH</t>
  </si>
  <si>
    <t>volcanic degassing; DOAS spectroscopy; high time resolution gas flux</t>
  </si>
  <si>
    <t>SOUFRIERE HILLS VOLCANO; MOUNT EREBUS; SULFUR; EMISSIONS; DYNAMICS; PLUME; SPECTROSCOPY; CONVECTION; ERUPTIONS; BEHAVIOR</t>
  </si>
  <si>
    <t>The measurement of SO2 flux from volcanoes is of major importance for monitoring and hazard assessment purposes, and for evaluation of the environmental impact of volcanic emissions. We propose here a novel technique for accurate and high time resolution estimations of the gas flux. We use two wide field of view UV spectrometers capable of collecting, instantaneously, light from thin parallel cross-sections of the whole gas plume, obviating the need for either traversing, scanning or imaging. It enables tracking of inhomogeneities in the gas cloud from which accurate evaluation of the plume velocity can be made by correlation analysis. The method has been successfully applied on Mt. Erebus volcano (Antarctica). It yields estimations of the plume velocity and gas flux at unprecedented time resolution (1 Hz) and high accuracy (uncertainty of 33%). During a similar to 2 h experiment on 26 December 2006, SO2 flux varied between 0.17 and 0.89 +/- 0.2 kg s(-1) with a vertical plume velocity varying between I and 2.5 +/- 0.1 m s(-1). These measurements provide insight into the short-term variations of the passive degassing of this volcano renowned for its active lava lake. A cyclicity in flux, ranging from about 11-24 min, is evident. We propose two physical mechanisms to explain this degassing pattern, associated to periodic supply of either gas-rich magma or gas alone into the lake. The dual-wide field of view DOAS technique promises better integration of geochemical and geophysical observations and new insights into gas and magma dynamics, as well as processes of magma storage and gas segregation at active volcanoes. Crown Copyright (C) 2009 Published by Elsevier B.V. All rights reserved.</t>
  </si>
  <si>
    <t>[Boichu, Marie; Oppenheimer, Clive; Tsanev, Vitchko] Univ Cambridge, Dept Geog, Cambridge CB2 3EN, England; [Kyle, Philip R.] New Mexico Inst Min &amp; Technol, Dept Earth &amp; Environm Sci, Socorro, NM 87801 USA</t>
  </si>
  <si>
    <t>University of Cambridge; New Mexico Institute of Mining Technology</t>
  </si>
  <si>
    <t>Boichu, M (corresponding author), Univ Cambridge, Dept Geog, Downing Pl, Cambridge CB2 3EN, England.</t>
  </si>
  <si>
    <t>mb632@cam.ac.uk; co200@cam.ac.uk; vip20@cam.ac.uk; kyle@nmt.edu</t>
  </si>
  <si>
    <t>Oppenheimer, Clive/G-9881-2013</t>
  </si>
  <si>
    <t>Oppenheimer, Clive/0000-0003-4506-7260</t>
  </si>
  <si>
    <t>NSF [OPP-0229305, ANT-0538414]; United States Antarctic Program; Leverhulme Trust; EU; European Commission [VolcanGas 14018]; NSF</t>
  </si>
  <si>
    <t>NSF(National Science Foundation (NSF)); United States Antarctic Program; Leverhulme Trust(Leverhulme Trust); EU(European Union (EU)); European Commission(European Union (EU)European Commission Joint Research Centre); NSF(National Science Foundation (NSF))</t>
  </si>
  <si>
    <t>We gratefully acknowledge support from the NSF Office of Polar Programs grants (OPP-0229305; ANT-0538414) and the United States Antarctic Program. CO also thanks the Leverhulme Trust for a Study Abroad Fellowship and the EU Framework 6 programme, which supported the project NOVAC. MB thanks the European Commission for an Intra-European Marie-Curie Fellowship (Project VolcanGas 14018), and Olivier De Viron for fruitful discussions concerning signal analysis. CO and PK warmly acknowledge their companions in Science Event G-081 and the helicopter pilots, and the staff based at McMurdo Station. They are particularly grateful to Dr. Tom Wagner (then NSF Program Manager for Antarctic Geology and Geophysics) for his Support. Finally, we thank Nicole Bobrowski and Michael Burton for their reviews which allowed to greatly improve the manuscript.</t>
  </si>
  <si>
    <t>0377-0273</t>
  </si>
  <si>
    <t>1872-6097</t>
  </si>
  <si>
    <t>J VOLCANOL GEOTH RES</t>
  </si>
  <si>
    <t>J. Volcanol. Geotherm. Res.</t>
  </si>
  <si>
    <t>10.1016/j.jvolgeores.2009.11.020</t>
  </si>
  <si>
    <t>566SH</t>
  </si>
  <si>
    <t>WOS:000275392900006</t>
  </si>
  <si>
    <t>Lebar, MD; Baker, BJ</t>
  </si>
  <si>
    <t>Lebar, Matthew D.; Baker, Bill J.</t>
  </si>
  <si>
    <t>Synthesis of the C3-14 fragment of palmerolide A using a chiral pool based strategy</t>
  </si>
  <si>
    <t>TETRAHEDRON</t>
  </si>
  <si>
    <t>Tunicate; Macrolide; Melanoma</t>
  </si>
  <si>
    <t>OLEFIN CROSS-METATHESIS; MARINE NATURAL-PRODUCT; REVISED STRUCTURES; A SYNTHESIS; MACROLIDE; SULFONES; CANCER</t>
  </si>
  <si>
    <t>Palmerolide A, a potent and selective inhibitor of melanoma cell growth, is a macrocylic polyketide isolated from the Antarctic tunicate Synoicum adareanum. Palmerolide A targets transmembrane proton Pumps, the vacuolar-ATPases, and induces autophagy, but in a manner independent of HIF-1 alpha activation. Herein we report a synthesis of the C3-14 fragment of palmerolide A using readily available polyols as chiral building blocks for entry into structure/activity studies of the macrocycle. (C) 2009 Published by Elsevier Ltd.</t>
  </si>
  <si>
    <t>[Lebar, Matthew D.; Baker, Bill J.] Univ S Florida, Dept Chem, Tampa, FL 33620 USA</t>
  </si>
  <si>
    <t>State University System of Florida; University of South Florida</t>
  </si>
  <si>
    <t>Baker, BJ (corresponding author), Univ S Florida, Dept Chem, 4202 E Fowler Ave CHE205, Tampa, FL 33620 USA.</t>
  </si>
  <si>
    <t>bjbaker@cas.usf.edu</t>
  </si>
  <si>
    <t>Lebar, Matthew/0000-0003-4910-1438</t>
  </si>
  <si>
    <t>National Science Foundation [OPP-0442857, ANT-0838776]; Directorate For Geosciences; Office of Polar Programs (OPP) [0838776] Funding Source: National Science Foundation</t>
  </si>
  <si>
    <t>National Science Foundation(National Science Foundation (NSF)); Directorate For Geosciences; Office of Polar Programs (OPP)(National Science Foundation (NSF)NSF - Directorate for Geosciences (GEO))</t>
  </si>
  <si>
    <t>We would like to thank the National Science Foundation's Office of Polar Programs for financial support (OPP-0442857 and ANT-0838776).</t>
  </si>
  <si>
    <t>0040-4020</t>
  </si>
  <si>
    <t>Tetrahedron</t>
  </si>
  <si>
    <t>10.1016/j.tet.2009.12.007</t>
  </si>
  <si>
    <t>Chemistry, Organic</t>
  </si>
  <si>
    <t>Science Citation Index Expanded (SCI-EXPANDED); Index Chemicus (IC); Current Chemical Reactions (CCR-EXPANDED)</t>
  </si>
  <si>
    <t>560EV</t>
  </si>
  <si>
    <t>WOS:000274885700002</t>
  </si>
  <si>
    <t>Marx, FG; Uhen, MD</t>
  </si>
  <si>
    <t>Marx, Felix G.; Uhen, Mark D.</t>
  </si>
  <si>
    <t>Climate, Critters, and Cetaceans: Cenozoic Drivers of the Evolution of Modern Whales</t>
  </si>
  <si>
    <t>ANTARCTIC CIRCUMPOLAR CURRENT; SOUTHERN-OCEAN; DYNAMICS; NUTRIENT</t>
  </si>
  <si>
    <t>Modern cetaceans, a poster child of evolution, play an important role in the ocean ecosystem as apex predators and nutrient distributors, as well as evolutionary stepping stones for the deep sea biota. Recent discussions on the impact of climate change and marine exploitation on current cetacean populations may benefit from insights into what factors have influenced cetacean diversity in the past. Previous studies suggested that the rise of diatoms as dominant marine primary producers and global temperature change were key factors in the evolution of modern whales. Based on a comprehensive diversity data set, we show that much of observed cetacean paleodiversity can indeed be explained by diatom diversity in conjunction with variations in climate as indicated by oxygen stable isotope records (delta(18)O).</t>
  </si>
  <si>
    <t>[Marx, Felix G.] Univ Otago, Dept Geol, Dunedin 9016, Otago, New Zealand; [Marx, Felix G.] Univ Bristol, Dept Earth Sci, Bristol BS8 1RJ, Avon, England; [Uhen, Mark D.] George Mason Univ, Dept Atmospher Ocean &amp; Earth Sci, Fairfax, VA 22030 USA</t>
  </si>
  <si>
    <t>University of Otago; University of Bristol; George Mason University</t>
  </si>
  <si>
    <t>Marx, FG (corresponding author), Univ Otago, Dept Geol, 360 Leith Walk,POB 56, Dunedin 9016, Otago, New Zealand.</t>
  </si>
  <si>
    <t>f.g.marx@bristol.ac.uk</t>
  </si>
  <si>
    <t>Uhen, Mark D/AAZ-3158-2020; Marx, Felix Georg/AAI-3480-2021</t>
  </si>
  <si>
    <t>Uhen, Mark D/0000-0002-2689-0801; Marx, Felix Georg/0000-0002-1029-4001</t>
  </si>
  <si>
    <t>University of Otago</t>
  </si>
  <si>
    <t>We thank three referees for their comments, as well as G. Hunt for advice and help with R programming and M. Katz for the provision of data. L. Kavalieris, I. Jolliffe, M. Carrano, D. Thomas, M. Benton, and the participants of the August 2009 Encyclopedia of Life synthesis meeting on marine tetrapod evolution at the Field Museum, Chicago, provided advice and helpful discussions about earlier versions of this work and related topics. F. M. was supported by a University of Otago Postgraduate Scholarship. This is Paleobiology Database publication 108.</t>
  </si>
  <si>
    <t>FEB 19</t>
  </si>
  <si>
    <t>10.1126/science.1185581</t>
  </si>
  <si>
    <t>556XE</t>
  </si>
  <si>
    <t>WOS:000274625800039</t>
  </si>
  <si>
    <t>Castillo, PR; Clague, DA; Davis, AS; Lonsdale, PF</t>
  </si>
  <si>
    <t>Castillo, P. R.; Clague, D. A.; Davis, A. S.; Lonsdale, P. F.</t>
  </si>
  <si>
    <t>Petrogenesis of Davidson Seamount lavas and its implications for fossil spreading center and intraplate magmatism in the eastern Pacific</t>
  </si>
  <si>
    <t>fossil spreading center; near-ridge seamount; eastern Pacific; MORB; intraplate magmatism; mantle metasomatism</t>
  </si>
  <si>
    <t>MANTLE HETEROGENEITY BENEATH; ANTARCTIC-PHOENIX RIDGE; OCEAN-ISLAND; BAJA-CALIFORNIA; MELTING EXPERIMENTS; CONTINENTAL-MARGIN; CENOZOIC VOLCANISM; MIOCENE VOLCANISM; SOCORRO ISLAND; 3 GPA</t>
  </si>
  <si>
    <t>Seafloor spreading causes abundant magmatism along active ocean spreading centers, but the cause of magmatism along fossil spreading centers is enigmatic. Samples collected from Davidson Seamount, a typical volcanic ridge along an abandoned spreading center in the eastern Pacific, consist of an alkalic basalt to trachyte lava series; transitional basalts were sampled from another part of the abandoned axis, 20 km from the seamount. All samples experienced complex fractional crystallization prior to eruption, but they all share a common, compositionally heterogeneous mantle source. The parental magmas of the transitional basalts were produced from this source at higher degree of melting than those of the alkalic lava series. The composition of Davidson lavas overlaps with those of ridges along other fossil spreading centers and isolated near-and off-ridge seamounts in the eastern Pacific. Together they define a compositional continuum ranging from tholeiitic, normal mid-ocean ridge basalt (MORB)-like to alkalic, ocean island basalt (OIB)-like, similar to lavas that form linear island chains and ridges. We propose that this entire compositional spectrum of intraplate lavas that do not form linear volcanic chains in the eastern Pacific results from variations in the degree of partial melting of a common, compositionally heterogeneous mantle source. This source consists of more easily melted, geochemically enriched components of varying sizes and amounts embedded in a depleted lherzolitic matrix. Large degree of partial melting produces normal MORB-like melts represented by some near-ridge seamount lavas, whereas small degree of melting produces OIB-like fossil spreading center lavas. The small degree of partial melting beneath recently abandoned spreading centers results from either buoyancy-driven decompression melting of the hot lithospheric and asthenospheric mantle material beneath active spreading centers or rapid motion, with respect to the underlying asthenosphere, of abandoned spreading axes that are thickening over a fertile mantle. Mid-Tertiary volcanic rocks in coastal California, which are compositionally akin to intraplate lavas, are interpreted to be small degree partial melts of the same compositionally heterogeneous sub-Pacific mantle that has upwelled through windows in a subducted slab.</t>
  </si>
  <si>
    <t>[Castillo, P. R.; Lonsdale, P. F.] Univ Calif San Diego, Scripps Inst Oceanog, La Jolla, CA 92093 USA; [Clague, D. A.; Davis, A. S.] MBARI, Moss Landing, CA 95039 USA</t>
  </si>
  <si>
    <t>University of California System; University of California San Diego; Scripps Institution of Oceanography; Monterey Bay Aquarium Research Institute</t>
  </si>
  <si>
    <t>Castillo, PR (corresponding author), Univ Calif San Diego, Scripps Inst Oceanog, 9500 Gilman Dr, La Jolla, CA 92093 USA.</t>
  </si>
  <si>
    <t>pcastillo@ucsd.edu</t>
  </si>
  <si>
    <t>NOAA's West Coast NURP Office; NSF [OCE0550237]; Monterey Bay Aquarium Research Institute through David and Lucile Packard Foundation</t>
  </si>
  <si>
    <t>NOAA's West Coast NURP Office; NSF(National Science Foundation (NSF)); Monterey Bay Aquarium Research Institute through David and Lucile Packard Foundation</t>
  </si>
  <si>
    <t>We wish to thank the Captain and crew of the R/V Western Flyer and the ROV Tiburon pilots, G. Fitton and an anonymous reviewer for helpful comments and suggestions, and V. Salters for thorough editorial handling. We also thank NOAA's Sanctuary Program, the BBC, and Tessa Hill for including our work during their dives to Davidson. Jenny Paduan provided assistance during the dives, with the curation of the rock samples and their preparation for chemical analysis, and made the map in Figure 1. P.C. and P. L. were supported by a grant from NOAA's West Coast NURP Office and by NSF OCE0550237 grant to P. C. and D. R. Hilton. D. A. C. and A. S. D. were supported by the Monterey Bay Aquarium Research Institute through a grant from the David and Lucile Packard Foundation.</t>
  </si>
  <si>
    <t>FEB 18</t>
  </si>
  <si>
    <t>Q02005</t>
  </si>
  <si>
    <t>10.1029/2009GC002992</t>
  </si>
  <si>
    <t>559AC</t>
  </si>
  <si>
    <t>WOS:000274791100001</t>
  </si>
  <si>
    <t>Gómez-Gutiérrez, J; Robinson, CJ; Kawaguchi, S; Nicol, S</t>
  </si>
  <si>
    <t>Gomez-Gutierrez, Jaime; Robinson, Carlos J.; Kawaguchi, So; Nicol, Stephen</t>
  </si>
  <si>
    <t>Parasite diversity of Nyctiphanes simplex and Nematoscelis difficilis (Crustacea: Euphausiacea) along the northwestern coast of Mexico</t>
  </si>
  <si>
    <t>DISEASES OF AQUATIC ORGANISMS</t>
  </si>
  <si>
    <t>Parasites; Parasitoids; Euphausiids; Nyctiphanes simplex; Nematoscelis difficilis; Bahia Magdalena; Gulf of California</t>
  </si>
  <si>
    <t>GULF-OF-CALIFORNIA; DAYTIME SURFACE SWARMS; CONTINUOUS PLANKTON RECORDS; LARVAL ANISAKIS-SIMPLEX; PRINCE-WILLIAM-SOUND; BAJA-CALIFORNIA; ANTARCTIC KRILL; SCHOOLING BEHAVIOR; NORTH-ATLANTIC; DET KRABBE</t>
  </si>
  <si>
    <t>The diversity of parasites found on Nyctiphanes simplex and Nematoscelis difficilis (Order Euphausiacea) was compared during 10 oceanographic Cruises made off both coasts of the Baja California peninsula, Mexico. We tested the hypothesis that N. simplex has a more diverse parasitic assemblage than N. difficilis because it is a neritic species, has larger population abundance, and tends to form denser and more compact swarms than N. difficilis. These biological and behavioral features may enhance parasite transmission within swarms, We detected 6 types of ectoparasites: (1) epibiotic diatoms Licmophora sp.; (2) Ephelotidae suctorian ciliates; (3) Foettingeriidae exuviotrophic apostome ciliates; (4) an unidentified epicaridean cryptoniscus larvae (isopoda); and 2 castrators: (5) the ectoparasitic Dajidae isopod Notophryxus lateralis and (6) the ellobiopsid mesoparasite Thalassomyces fagei. We also detected 7 types of endoparasites: (1) an undescribed Collinia ciliate (Apostomatida); 3 types of Cestoda: (2) a Tetrarhynchobothruium sp. (Trypanorhyncha), (3) Echinobothrium sp. (Diphyllidea: Echinobothyriidae), and (4) unidentified metacestode; (5) a Trematoda Paronatrema-like metacercaria (Syncoeliidae); (6) the nematode Anisakis simplex (L3); and (7) Polymorphidae acantocephalan larvae (acanthor, acanthella, and cystacanth larval stages). N. simplex is affected by all types of parasites, except the isopod N. lateralis, having a considerably larger parasitic diversity and prevalence rates than N. difficilis, which is only infested with 3 types of ectoparasites and T fagei. Euphausiid swarming is an adaptive behavior for reproduction, protection against predators, and increased efficiency in food searching, but has a negative effect Clue to parasitism. Although the advantages of aggregation must overcome the reduction of population and individual fitness induced by parasites, we demonstrated that all types of parasites can affect similar to 14%, of N. simplex individuals. Collinia spp. endoparasitoids must occasionally have a significant influence on population mortality with potential epizootic events.</t>
  </si>
  <si>
    <t>[Gomez-Gutierrez, Jaime] Ctr Interdisciplinario Ciencias Marinas, Dept Plancton &amp; Ecol Marina, La Paz 23096, Baja California, Mexico; [Robinson, Carlos J.] Univ Nacl Autonoma Mexico, Lab Ecol Pesquerias, Inst Ciencias Mar &amp; Limnol, Mexico City 04510, DF, Mexico; [Gomez-Gutierrez, Jaime; Kawaguchi, So; Nicol, Stephen] Australian Antarctic Div, Dept Environm Water Heritage &amp; Arts, Kingston, Tas 7050, Australia</t>
  </si>
  <si>
    <t>Universidad Nacional Autonoma de Mexico; Australian Antarctic Division</t>
  </si>
  <si>
    <t>Gómez-Gutiérrez, J (corresponding author), Ctr Interdisciplinario Ciencias Marinas, Dept Plancton &amp; Ecol Marina, AP 592, La Paz 23096, Baja California, Mexico.</t>
  </si>
  <si>
    <t>SNI II; COFAA-IPN; EDI-IPN; Instituto Politecnico Nacional-Centro Interdisciplinario de Ciencias Marinas [SIP2009090]; Consejo Nacional de Ciencia y Tecnologia [2004-01-144, S007-2005-1-11717]; Instituto de Ciencias del Mar y Limnologia of the Universidad Nacional Autonoma de Mexico [PAPIIT IN219502, PAPIIT IN210622]; Instituto Politecnico Nacional; CONACyT [79528]</t>
  </si>
  <si>
    <t>SNI II; COFAA-IPN; EDI-IPN; Instituto Politecnico Nacional-Centro Interdisciplinario de Ciencias Marinas; Consejo Nacional de Ciencia y Tecnologia(Consejo Nacional de Ciencia y Tecnologia (CONACyT)); Instituto de Ciencias del Mar y Limnologia of the Universidad Nacional Autonoma de Mexico; Instituto Politecnico Nacional; CONACyT(Consejo Nacional de Ciencia y Tecnologia (CONACyT))</t>
  </si>
  <si>
    <t>We thank S. Martinez-Gomez (CICI-MAR) for his intense work analyzing samples to estimate euphausiid abundances summarized in Table 1, R, Overstreet (University of Southern Mississippi) for his valuable comments on an earlier draft, and I. Garate-Lizarraga (CICIMAR) for the identification of epibiotic diatoms. All the parasite identifications are the responsibility of the first author, We also thank the crew of the RV 'El Puma' and graduate students and scientists from the Fisheries Ecology Laboratory (ICMyL-UNAM), UABCS, and CICIMAR for their cooperation in collecting zooplankton samples. J.G.G. and C.J.R. were supported by SNI II fellowships; J.G.G. received COFAA-IPN and EDI-IPN grants. This study was financed by Instituto Politecnico Nacional-Centro Interdisciplinario de Ciencias Marinas (SIP2009090), Consejo Nacional de Ciencia y Tecnologia (2004-01-144, S007-2005-1-11717), and Instituto de Ciencias del Mar y Limnologia of the Universidad Nacional Autonoma de Mexico (PAPIIT IN219502 and IN210622). This manuscript was written during a sabbatical research stay at the Australian Antarctic Division (AAD) at Kingston, Tasmania, co-funded by Instituto Politecnico Nacional and CONACyT (79528). We thank A. Smithies and G. Watt for their valuable help in the AAD library to obtain all the references requested.</t>
  </si>
  <si>
    <t>INTER-RESEARCH</t>
  </si>
  <si>
    <t>OLDENDORF LUHE</t>
  </si>
  <si>
    <t>NORDBUNTE 23, D-21385 OLDENDORF LUHE, GERMANY</t>
  </si>
  <si>
    <t>0177-5103</t>
  </si>
  <si>
    <t>1616-1580</t>
  </si>
  <si>
    <t>DIS AQUAT ORGAN</t>
  </si>
  <si>
    <t>Dis. Aquat. Org.</t>
  </si>
  <si>
    <t>FEB 17</t>
  </si>
  <si>
    <t>10.3354/dao02155</t>
  </si>
  <si>
    <t>Fisheries; Veterinary Sciences</t>
  </si>
  <si>
    <t>569FQ</t>
  </si>
  <si>
    <t>WOS:000275582400008</t>
  </si>
  <si>
    <t>Ferencz, C; Lichtenberger, J; Hamar, D; Ferencz, OE; Steinbach, P; Székely, B; Parrot, M; Lefeuvre, F; Berthelier, JJ; Clilverd, M</t>
  </si>
  <si>
    <t>Ferencz, Csaba; Lichtenberger, Janos; Hamar, Daniel; Ferencz, Orsolya E.; Steinbach, Peter; Szekely, Balazs; Parrot, Michel; Lefeuvre, Francois; Berthelier, Jean-Jacques; Clilverd, Mark</t>
  </si>
  <si>
    <t>An unusual VLF signature structure recorded by the DEMETER satellite</t>
  </si>
  <si>
    <t>FIELD EXPERIMENT; WHISTLERS; FREQUENCY; SIMULATION; MODE; PROPAGATION</t>
  </si>
  <si>
    <t>A type of electromagnetic phenomenon has been found in the electric VLF data measured by the low Earth orbit DEMETER satellite, which was nonidentified earlier as a different class of electromagnetic VLF events. The phenomenon, termed as swallow-tailed whistler (STW) after its shape, seems to be similar to a whistler, but following the main trace, an additional trace appears with monotonously increasing frequency. The secondary trace, lasting less than 80 ms within the recorded 20 kHz bandwidth joins at a given Starting Furcation Frequency. In a 7 month long time interval three series of strong STWs were found in a geographically confined search zone. Further, 10 weak STW periods have been identified by a thorough review of a 2 month long recording. Several STWs were found by the investigation of randomly selected DEMETER burst VLF recording acquired globally. On the basis of comparisons with previous studies, we can exclude that this phenomenon is generated by plasma processes in the vicinity of the satellite though the formation mechanism of this (ionospheric) signal is so far unclear. It is possible that this event type appeared in earlier records too, however, without identification.</t>
  </si>
  <si>
    <t>[Ferencz, Csaba; Lichtenberger, Janos; Hamar, Daniel; Ferencz, Orsolya E.; Szekely, Balazs] Eotvos Lorand Univ, Space Res Grp, H-1117 Budapest, Hungary; [Steinbach, Peter] Hungarian Acad Sci, MTA ELTE Res Grp Geol Geophys &amp; Space Sci, H-1117 Budapest, Hungary; [Parrot, Michel; Lefeuvre, Francois] Univ Orleans, CNRS, LPCE, F-45071 Orleans, France; [Berthelier, Jean-Jacques] Observ St Maur, CETP, F-94100 St Maur Des Fosses, France; [Clilverd, Mark] British Antarctic Survey, Cambridge CB3 0ET, England</t>
  </si>
  <si>
    <t>Eotvos Lorand University; Hungarian Academy of Sciences; Universite de Orleans; Centre National de la Recherche Scientifique (CNRS); UK Research &amp; Innovation (UKRI); Natural Environment Research Council (NERC); NERC British Antarctic Survey</t>
  </si>
  <si>
    <t>Ferencz, C (corresponding author), Eotvos Lorand Univ, Space Res Grp, Pazmany PS 1-A, H-1117 Budapest, Hungary.</t>
  </si>
  <si>
    <t>spacerg@sas.elte.hu</t>
  </si>
  <si>
    <t>Székely, Balázs/I-4540-2012; Lichtenberger, Janos/K-1034-2018</t>
  </si>
  <si>
    <t>Székely, Balázs/0000-0002-6552-4329; Lichtenberger, Janos/0000-0001-9175-9255; Parrot, Michel/0000-0003-0905-5721</t>
  </si>
  <si>
    <t>Hungarian Space Office [TP 276]; Hungarian National Scientific Fund [OTKA T037611, F037603]; Natural Environment Research Council [bas0100023] Funding Source: researchfish; NERC [bas0100023] Funding Source: UKRI</t>
  </si>
  <si>
    <t>Hungarian Space Office; Hungarian National Scientific Fund; Natural Environment Research Council(UK Research &amp; Innovation (UKRI)Natural Environment Research Council (NERC)); NERC(UK Research &amp; Innovation (UKRI)Natural Environment Research Council (NERC))</t>
  </si>
  <si>
    <t>Authors are grateful to the Guest Investigator program issued by CNES for the DEMETER mission for supplying the raw data. The projects TP 276 of the Hungarian Space Office and OTKA T037611 and F037603 of the Hungarian National Scientific Fund are acknowledged. B. Szekely contributed as Bekesy Gyorgy postdoctoral fellow.</t>
  </si>
  <si>
    <t>A02210</t>
  </si>
  <si>
    <t>10.1029/2009JA014636</t>
  </si>
  <si>
    <t>559AF</t>
  </si>
  <si>
    <t>Green Published, Bronze, Green Accepted</t>
  </si>
  <si>
    <t>WOS:000274791400001</t>
  </si>
  <si>
    <t>Skidmore, M; Tranter, M; Tulaczyk, S; Lanoil, B</t>
  </si>
  <si>
    <t>Skidmore, Mark; Tranter, Martyn; Tulaczyk, Slawek; Lanoil, Brian</t>
  </si>
  <si>
    <t>Hydrochemistry of ice stream beds - evaporitic or microbial effects?</t>
  </si>
  <si>
    <t>HYDROLOGICAL PROCESSES</t>
  </si>
  <si>
    <t>ice sheet hydrology; hydrochemistry; biogeochemistry; ice stream beds; pore waters</t>
  </si>
  <si>
    <t>HAUT GLACIER DAROLLA; WEST ANTARCTICA; SUBGLACIAL WATER; LAKE VOSTOK; BENEATH; MELTWATER; DISCHARGE; ORIGIN; ZONE; HYDROGEOCHEMISTRY</t>
  </si>
  <si>
    <t>Recently, new data have been acquired on the chemical composition of waters within the glacial till beneath the Kamb Ice Stream (KIS, formerly Ice Stream C) and the Bindschadler Ice Stream (BIS, formerly Ice Stream D), two of the arteries of ice loss from the Antarctic Ice Sheet (AIS). We compare this water chemistry with basally stored subglacial waters from Arctic and Alpine glaciers and the only other measurements of sub-ice sheet chemistry to date, that emerging from beneath Law Dome near Casey Station, SW Antarctica, during a jokulhlaup. We find that the chemistries pose significant questions about the hydrology and biogeochemistry of ice sheet beds. Copyright (C) 2010 John Wiley &amp; Sons, Ltd.</t>
  </si>
  <si>
    <t>[Tranter, Martyn] Univ Bristol, Sch Geog Sci, Bristol Glaciol Ctr, Bristol BS8 1SS, Avon, England; [Skidmore, Mark; Lanoil, Brian] Univ Calif Riverside, Dept Environm Sci, Riverside, CA 95251 USA; [Tulaczyk, Slawek] Univ Calif Santa Cruz, Dept Earth &amp; Planetary Sci, Santa Cruz, CA 95064 USA</t>
  </si>
  <si>
    <t>University of Bristol; University of California System; University of California Riverside; University of California System; University of California Santa Cruz</t>
  </si>
  <si>
    <t>Tranter, M (corresponding author), Univ Bristol, Sch Geog Sci, Bristol Glaciol Ctr, Bristol BS8 1SS, Avon, England.</t>
  </si>
  <si>
    <t>m.tranter@bristol.ac.uk</t>
  </si>
  <si>
    <t>Skidmore, Mark L/I-4317-2018; Lanoil, Brian/A-2657-2014; Tulaczyk, Slawek/O-7375-2018; Tranter, Martyn/E-3722-2010</t>
  </si>
  <si>
    <t>Lanoil, Brian/0000-0001-8603-8330; Tulaczyk, Slawek/0000-0002-9711-4332; Tranter, Martyn/0000-0003-2071-3094</t>
  </si>
  <si>
    <t>NSF [0314293, 0087486, 0096302]; Directorate For Geosciences [0087486] Funding Source: National Science Foundation; Directorate For Geosciences; Office of Polar Programs (OPP) [0096302, 0314293] Funding Source: National Science Foundation; Office of Polar Programs (OPP) [0087486]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</si>
  <si>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</si>
  <si>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work was supported by NSF Grants 0314293 (to B. D. L.), 0087486 and 0096302 (to S. T.) through the Office of Polar Programs. S. Vogel extracted the pore waters from the cores. P. Resketo and J. Strong (University of California-Riverside, Riverside, CA, USA) conducted geochemical analyses.</t>
  </si>
  <si>
    <t>0885-6087</t>
  </si>
  <si>
    <t>1099-1085</t>
  </si>
  <si>
    <t>HYDROL PROCESS</t>
  </si>
  <si>
    <t>Hydrol. Process.</t>
  </si>
  <si>
    <t>FEB 15</t>
  </si>
  <si>
    <t>10.1002/hyp.7580</t>
  </si>
  <si>
    <t>Water Resources</t>
  </si>
  <si>
    <t>549KR</t>
  </si>
  <si>
    <t>WOS:000274048400011</t>
  </si>
  <si>
    <t>Mardon, J; Nesterova, AP; Traugott, J; Saunders, SM; Bonadonna, F</t>
  </si>
  <si>
    <t>Mardon, J.; Nesterova, A. P.; Traugott, J.; Saunders, S. M.; Bonadonna, F.</t>
  </si>
  <si>
    <t>Insight of scent: experimental evidence of olfactory capabilities in the wandering albatross (Diomedea exulans)</t>
  </si>
  <si>
    <t>Diomedea exulans; behaviour; multimodal; olfaction; vision; signal-detection theory</t>
  </si>
  <si>
    <t>PROCELLARIIFORM SEABIRDS; FORAGING BEHAVIOR; SEXUAL SEGREGATION; ANTARCTIC SEABIRDS; DIMETHYL SULFIDE; PETRELS; ATTRACTION; DIMORPHISM; STRATEGIES; SEARCH</t>
  </si>
  <si>
    <t>Wandering albatrosses routinely forage over thousands of kilometres of open ocean, but the sensory mechanisms used in the food search itself have not been completely elucidated. Recent telemetry studies show that some spatial behaviours of the species are consistent with the 'multimodal foraging strategy' hypothesis which proposes that birds use a combination of olfactory and visual cues while foraging at sea. The 'multimodal foraging strategy' hypothesis, however, still suffers from a lack of experimental evidence, particularly regarding the olfactory capabilities of wandering albatrosses. As an initial step to test the hypothesis, we carried out behavioural experiments exploring the sensory capabilities of adult wandering albatrosses at a breeding colony. Three two-choice tests were designed to investigate the birds' response to olfactory and visual stimuli, individually or in combination. Perception of the different stimuli was assessed by comparing the amount of exploration directed towards an 'experimental' display or a 'control' display. Our results indicate that birds were able to perceive the three types of stimulus presented: olfactory, visual and combined. Moreover, olfactory and visual cues were found to have additional effects on the exploratory behaviours of males. This simple experimental demonstration of reasonable olfactory capabilities in the wandering albatross supports the 'multimodal foraging strategy' and is consistent with recent hypotheses of the evolutionary history of procellariiforms.</t>
  </si>
  <si>
    <t>[Mardon, J.; Nesterova, A. P.; Bonadonna, F.] CNRS, Ctr Ecol Fonctionnelle &amp; Evolut, Behav Ecol Grp, F-34033 Montpellier, France; [Mardon, J.; Saunders, S. M.] Univ Western Australia, Sch Biomed Biomol &amp; Chem Sci, AECR Grp, Perth, WA 6009, Australia; [Traugott, J.] Tech Univ Munich, Inst Flight Syst Dynam, Munich, Germany</t>
  </si>
  <si>
    <t>Centre National de la Recherche Scientifique (CNRS); Universite de Montpellier; University of Western Australia; Technical University of Munich</t>
  </si>
  <si>
    <t>Mardon, J (corresponding author), CNRS, Ctr Ecol Fonctionnelle &amp; Evolut, Behav Ecol Grp, F-34033 Montpellier, France.</t>
  </si>
  <si>
    <t>jerome.mardon@cefe.cnrs.fr</t>
  </si>
  <si>
    <t>Nesterova, Anna Alexandrovna/ACA-9089-2022; Bonadonna, Francesco/A-7456-2008</t>
  </si>
  <si>
    <t>Nesterova, Anna Alexandrovna/0000-0002-8106-4887; Bonadonna, Francesco/0000-0002-2702-5801</t>
  </si>
  <si>
    <t>Institut Polaire Francais Paul-Emile Victor (IPEV) [354]; National Science Foundation International Research Fellowship [0700939]; Office Of The Director; Office Of Internatl Science &amp;Engineering [0700939] Funding Source: National Science Foundation</t>
  </si>
  <si>
    <t>Institut Polaire Francais Paul-Emile Victor (IPEV); National Science Foundation International Research Fellowship(National Science Foundation (NSF)); Office Of The Director; Office Of Internatl Science &amp;Engineering(National Science Foundation (NSF)NSF - Office of the Director (OD))</t>
  </si>
  <si>
    <t>This work was funded and supported by the Institut Polaire Francais Paul-Emile Victor (IPEV) Program ETHOTAAF no. 354 and National Science Foundation International Research Fellowship (no. 0700939) to A. P. Nesterova. The authors wish to thank C. Couchoux for field assistance as well as Dr D. Van Valkenburg for an introduction to signal detection theory. Dr F. S. Dobson provided valuable comments on earlier versions of the manuscript.</t>
  </si>
  <si>
    <t>COMPANY OF BIOLOGISTS LTD</t>
  </si>
  <si>
    <t>BIDDER BUILDING CAMBRIDGE COMMERCIAL PARK COWLEY RD, CAMBRIDGE CB4 4DL, CAMBS, ENGLAND</t>
  </si>
  <si>
    <t>10.1242/jeb.032979</t>
  </si>
  <si>
    <t>550TI</t>
  </si>
  <si>
    <t>WOS:000274152400012</t>
  </si>
  <si>
    <t>De Santis, L; Brancolini, G; Donda, F; O'Brien, P</t>
  </si>
  <si>
    <t>De Santis, Laura; Brancolini, Giuliano; Donda, Federica; O'Brien, Phil</t>
  </si>
  <si>
    <t>Cenozoic deformation in the George V Land continental margin (East Antarctica)</t>
  </si>
  <si>
    <t>marine seismics; tectonics; sedimentary basin processes</t>
  </si>
  <si>
    <t>NORTHERN VICTORIA-LAND; WILKES LAND; SOUTHEASTERN AUSTRALIA; SEDIMENTARY BASINS; SOUTHERN MARGIN; ROSS; RECONSTRUCTION; EXTENSION; ANOMALIES; BASEMENT</t>
  </si>
  <si>
    <t>This investigation is based on the analysis of multichannel seismic data collected in the continental shelf of the George V Land, between 140 degrees E and 155 degrees E on the East Antarctic margin. Most of the East Antarctic continental shelf is covered by permanent, thick sea and terrestrial ice and it is therefore still unexplored. This is the reason why the tectonic deformation affecting the Antarctic margin during the Mesozoic rift from the Australian plate and the Cenozoic post-rift phase is poorly known. The few coastal polynyas (such as the Mertz polynya, in the George V Land continental shelf) are the only places where the oldest sedimentary section can be studied with the existing technology. The data presented were not collected to address tectonic questions, however the relevance of this study is to document for the first time the occurrence of rift and post-rift tectonic structures in the sedimentary section near the coast, where the oldest sediment section is shallowest. These considerations are particularly relevant as Mertz-Ninnis trough, also known as George V Basin is located near the area of transition (around the Spencer Fracture Zone) between the extensionally-dominated Wilkes Land-Great Australian Bight Basin conjugate segment of the Australian-Antarctic Rift and the transtensional, strike-slip kinematics of the Otway Basin-South Tasman Rise-Oates Land segment. The tectonic structure in the George V Land sector presented in this study is two-fold with two rift phases: one being connected to the breakup process and the later one associated to a change in plate rotation. A former extensional phase opened structural grabens, with axis oriented WNW-ESE and possibly NE-SW. A latter transpressional phase reactivated previous structures and tilted, faulted and folded sedimentary strata, located in the inner continental shelf. The first tectonic phase is likely related with the Cretaceous rifting between the Antarctic and Australian plates. The second tectonic phase might be related to the onset of the fast spreading phase of Pacific-Indian Ocean, that caused uplift, inversion and folding of post-rift strata in a narrow east-west oriented region, near coastal basement outcrop, in Paleocene-Eocene times. (C) 2009 Elsevier B.V. All rights reserved.</t>
  </si>
  <si>
    <t>[De Santis, Laura; Brancolini, Giuliano; Donda, Federica] Ist Nazl Oceanog &amp; Geofis Sperimentale OGS Triest, Trieste, Italy; [O'Brien, Phil] Geosci Australia, Canberra, ACT 2601, Australia</t>
  </si>
  <si>
    <t>Istituto Nazionale di Oceanografia e di Geofisica Sperimentale; Geoscience Australia</t>
  </si>
  <si>
    <t>De Santis, L (corresponding author), Ist Nazl Oceanog &amp; Geofis Sperimentale OGS Triest, Trieste, Italy.</t>
  </si>
  <si>
    <t>ldesantis@ogs.trieste.it</t>
  </si>
  <si>
    <t>O'Brien, Philip/0000-0003-3446-3292; De Santis, Laura/0000-0002-7752-7754; Donda, Federica/0000-0002-1284-5866</t>
  </si>
  <si>
    <t>Italian Programma Nazionale di Ricerche in Antartide (PNRA); Australian National Antarctic Research Expeditions (ANARE); WEGA; MOGAM</t>
  </si>
  <si>
    <t>The WEGA cruise was funded by Italian Programma Nazionale di Ricerche in Antartide (PNRA) and Australian National Antarctic Research Expeditions (ANARE) agencies (Brancolini and Harris, 2000). This work was funded by the PNRA under the WEGA and MOGAM projects. We thank the Institute Francaise du Petrole and United Geological Survey for kindly providing access to the seismic data throughout the Antarctic Seismic Data Library System. We would like to thank Belinda Brown for her input in an early phase of this project.</t>
  </si>
  <si>
    <t>10.1016/j.margeo.2009.12.001</t>
  </si>
  <si>
    <t>560AN</t>
  </si>
  <si>
    <t>WOS:000274874100001</t>
  </si>
  <si>
    <t>Luckman, A; Padman, L; Jansen, D</t>
  </si>
  <si>
    <t>Luckman, Adrian; Padman, Laurie; Jansen, Daniela</t>
  </si>
  <si>
    <t>Persistent iceberg groundings in the western Weddell Sea, Antarctica</t>
  </si>
  <si>
    <t>Antarctica; Ocean circulation; Bathymetry; Sea ice; Envisat ASAR; Larsen C Ice Shelf</t>
  </si>
  <si>
    <t>ICE-SHELF; RONNE ICE; DRIFT; DEFORMATION; OCEAN</t>
  </si>
  <si>
    <t>We use the time-average of a series of satellite synthetic aperture radar (SAR) images from 2005 to 2007 to identify grounded icebergs in the western Weddell Sea. Satellite laser altimetry along repeated ground tracks confirms that regions of high mean backscatter are associated with stationary, tabular icebergs. The altimeter data also provide iceberg freeboard, from which we infer maximum ice draft assuming the lightly-grounded limit and a two-layer density model consistent with a source at Filchner-Ronne Ice Shelf. The maximum iceberg draft agrees very well with the ocean depth at a point where the bathymetry is well constrained by ship soundings. However, for an extensive region near 71 degrees S, south of Larsen C Ice Shelf, the maximum grounding depth for several icebergs reveals the ocean to be locally more than 200 m shallower than in bathymetry products. This previously uncharted bank is expected to have a profound effect on the northward flow of the western Weddell Gyre and the cross-slope transport of offshore warm deep water towards the eastern Antarctic Peninsula ice shelves. Passive microwave data also show that sea-ice concentration is reduced in the vicinity of this group of grounded icebergs, indicating an iceberg influence on ocean/atmosphere heat and freshwater exchanges. Crown Copyright (C)2009 Published by Elsevier Inc. All rights reserved.</t>
  </si>
  <si>
    <t>[Luckman, Adrian; Jansen, Daniela] Swansea Univ, Sch Environm &amp; Soc, Swansea SA2 8PP, W Glam, Wales; [Padman, Laurie] Earth &amp; Space Res, Corvallis, OR 97333 USA</t>
  </si>
  <si>
    <t>Swansea University</t>
  </si>
  <si>
    <t>Luckman, A (corresponding author), Swansea Univ, Sch Environm &amp; Soc, Singleton Pk, Swansea SA2 8PP, W Glam, Wales.</t>
  </si>
  <si>
    <t>A.Luckman@Swansea.ac.uk</t>
  </si>
  <si>
    <t>Luckman, Adrian/GVS-1716-2022; Padman, Laurence/AAH-3808-2021; Jansen, Daniela/AAG-2773-2019</t>
  </si>
  <si>
    <t>Luckman, Adrian/0000-0002-9618-5905; Padman, Laurence/0000-0003-2010-642X; Jansen, Daniela/0000-0002-4412-5820</t>
  </si>
  <si>
    <t>UK Natural Environment Research Council [NE/E012914/1]; NASA [NNG05GR58G]; National Science Foundation [OPP-0338101]; NERC [NE/E013414/1, NE/E012914/1] Funding Source: UKRI; Natural Environment Research Council [NE/E012914/1, NE/E013414/1] Funding Source: researchfish</t>
  </si>
  <si>
    <t>UK Natural Environment Research Council(UK Research &amp; Innovation (UKRI)Natural Environment Research Council (NERC)); NASA(National Aeronautics &amp; Space Administration (NASA)); National Science Foundation(National Science Foundation (NSF)); NERC(UK Research &amp; Innovation (UKRI)Natural Environment Research Council (NERC)); Natural Environment Research Council(UK Research &amp; Innovation (UKRI)Natural Environment Research Council (NERC))</t>
  </si>
  <si>
    <t>We are grateful to ESA for provision of the GMM and WSM SAR data (IPY AO project 4119). We also thank the ICESat Science Project and the NSIDC for distribution of the ICESat data (see http://icesat.gsfc.nasa.gov and http://nsidc.org/data/icesat) Detailed reviews by Keith Nicholls and Ted Scambos contributed greatly to the final manuscript. Daniela Jansen is supported by the UK Natural Environment Research Council (AFI: NE/E012914/1). Laurie Padman was supported by NASA grant NNG05GR58G and the National Science Foundation grant OPP-0338101. This is ESR contribution number 130. We thank our colleagues at the British Antarctic Survey for valuable discussions.</t>
  </si>
  <si>
    <t>360 PARK AVE SOUTH, NEW YORK, NY 10010-1710 USA</t>
  </si>
  <si>
    <t>10.1016/j.rse.2009.09.009</t>
  </si>
  <si>
    <t>553MF</t>
  </si>
  <si>
    <t>WOS:000274370400013</t>
  </si>
  <si>
    <t>Lei, RB; Li, ZJ; Cheng, B; Zhang, ZH; Heil, P</t>
  </si>
  <si>
    <t>Lei, Ruibo; Li, Zhijun; Cheng, Bin; Zhang, Zhanhai; Heil, Petra</t>
  </si>
  <si>
    <t>Annual cycle of landfast sea ice in Prydz Bay, east Antarctica</t>
  </si>
  <si>
    <t>HEAT-FLUX; THERMAL-CONDUCTIVITY; SALINITY; OCEAN; TEMPERATURE; THICKNESS; GROWTH; SHEBA</t>
  </si>
  <si>
    <t>Under the Chinese National Antarctic Research Expedition program in 2006, the annual thermal mass balance of landfast ice in the vicinity of Zhongshan Station, Prydz Bay, east Antarctica, was investigated. Sea ice formed from mid-February onward, and maximum ice thickness occurred in late November. Snow cover remained thin, and blowing snow caused frequent redistribution of the snow. The vertical ice salinity showed a question-mark- shaped'' profile for most of the ice growth season, which only turned into an I-shaped'' profile after the onset of ice melt. The oceanic heat flux as estimated from a flux balance at ice-ocean interface using internal ice temperatures decreased from 11.8 (+/- 3.5) W m(-2) in April to an annual minimum of 1.9 (+/- 2.4) W m(-2) in September. It remained low through late November, in mid-December it increased sharply to about 20.0 W m(-2). Simulations applying the modified versions of Stefan's law, taking account the oceanic heat flux and ice-atmosphere coupling, compare well with observed ice growth. There was no obvious seasonal cycle for the thermal conductivity of snow cover, which was also derived from internal ice temperatures. Its annual mean was 0.20 (+/- 0.04) W m(-1) degrees C-1.</t>
  </si>
  <si>
    <t>[Lei, Ruibo; Li, Zhijun; Cheng, Bin] Dalian Univ Technol, State Key Lab Coastal &amp; Offshore Engn, Dalian 116024, Peoples R China; [Cheng, Bin] Finnish Meteorol Inst, FIN-00931 Helsinki, Finland; [Zhang, Zhanhai] Polar Res Inst China, State Ocean Adm, Key Lab Polar Sci, Shanghai 200136, Peoples R China; [Heil, Petra] Univ Tasmania, Australian Antarctic Div, Hobart, Tas 7001, Australia; [Heil, Petra] Univ Tasmania, Antarctic Climate &amp; Ecosyst Cooperat Res Ctr, Hobart, Tas 7001, Australia</t>
  </si>
  <si>
    <t>Dalian University of Technology; Finnish Meteorological Institute; Polar Research Institute of China; University of Tasmania; Australian Antarctic Division; University of Tasmania; Antarctic Climate &amp; Ecosystems Cooperative Research Centre (ACE CRC)</t>
  </si>
  <si>
    <t>Lei, RB (corresponding author), Dalian Univ Technol, State Key Lab Coastal &amp; Offshore Engn, Dalian 116024, Peoples R China.</t>
  </si>
  <si>
    <t>leiruibo@hotmail.com</t>
  </si>
  <si>
    <t>Cheng, Bin/D-4354-2013; Li, Zhijun/A-5299-2019</t>
  </si>
  <si>
    <t>Cheng, Bin/0000-0001-8156-8412; Li, Zhijun/0000-0002-2897-0450; Heil, Petra/0000-0003-2078-0342</t>
  </si>
  <si>
    <t>National Natural Science Foundation of China [40676001, 40233032]; National Key Technology R&amp; D Program in the 11th Five Year Plan of China [2006BAB18B03]; Ministry of Education in Finland</t>
  </si>
  <si>
    <t>National Natural Science Foundation of China(National Natural Science Foundation of China (NSFC)); National Key Technology R&amp; D Program in the 11th Five Year Plan of China(National Key Technology R&amp;D Program); Ministry of Education in Finland</t>
  </si>
  <si>
    <t>This study was supported by the National Natural Science Foundation of China under contracts 40676001 and 40233032 and by the National Key Technology R&amp; D Program in the 11th Five Year Plan of China under contract 2006BAB18B03. The first author was supported by a CIMO scholarship from Ministry of Education in Finland when preparing the revised manuscript. We are grateful to Chinese Arctic and Antarctic Administration for its logistic support. We are grateful to L. Dong, X. Liu, W. Jin, and. S. Du for their field support. We would like to acknowledge the meteorological stations of Zhongshan and Progress II for providing atmospheric data. Two anonymous reviewers and the editor are thanked for their comments, which considerably improved this work.</t>
  </si>
  <si>
    <t>FEB 6</t>
  </si>
  <si>
    <t>C02006</t>
  </si>
  <si>
    <t>10.1029/2008JC005223</t>
  </si>
  <si>
    <t>553HW</t>
  </si>
  <si>
    <t>WOS:000274358100001</t>
  </si>
  <si>
    <t>Vancoppenolle, M; Goosse, H; de Montety, A; Fichefet, T; Tremblay, B; Tison, JL</t>
  </si>
  <si>
    <t>Vancoppenolle, Martin; Goosse, Hugues; de Montety, Anne; Fichefet, Thierry; Tremblay, Bruno; Tison, Jean-Louis</t>
  </si>
  <si>
    <t>Modeling brine and nutrient dynamics in Antarctic sea ice: The case of dissolved silica</t>
  </si>
  <si>
    <t>WESTERN WEDDELL-SEA; PACK-ICE; THICKNESS DISTRIBUTION; THERMODYNAMIC MODEL; SALINITY PROFILE; MASS-BALANCE; SNOW; OCEAN; GROWTH; ALGAE</t>
  </si>
  <si>
    <t>Sea ice ecosystems are characterized by microalgae living in brine inclusions. The growth rate of ice algae depends on light and nutrient supply. Here, the interactions between nutrients and brine dynamics under the influence of algae are investigated using a one-dimensional model. The model includes snow and ice thermodynamics with brine physics and an idealized sea ice biological component, characterized by one nutrient, namely, dissolved silica (DSi). In the model, DSi follows brine motion and is consumed by ice algae. Depending on physical ice characteristics, the brine flow is either advective, diffusive, or turbulent. The vertical profiles of ice salinity and DSi concentration are solutions of advection-diffusion equations. The model is configured to simulate the typical thermodynamic regimes of first-year Antarctic pack ice. The simulated vertical profiles of salinity and DSi qualitatively reproduce observations. Analysis of results highlights the role of convection in the lowermost 5-10 cm of ice. Convection mixes saline, nutrient-poor brine with comparatively fresh, nutrient-rich seawater. This implies a rejection of salt to the ocean and a flux of DSi to the ice. In the presence of growing algae, the simulated ocean-to-ice DSi flux increases by 0-115% compared to an abiotic situation. In turn, primary production and brine convection act in synergy to form a nutrient pump. The other important processes are the flooding of the surface by seawater and the percolation of meltwater. The former refills nutrients near the ice surface in spring. The latter, if present, tends to expell nutrients from the ice in summer.</t>
  </si>
  <si>
    <t>[Vancoppenolle, Martin; Goosse, Hugues; de Montety, Anne; Fichefet, Thierry] Catholic Univ Louvain, Inst Astron &amp; Geophys Georges Lemaitre, B-1348 Louvain, Belgium; [Tremblay, Bruno] McGill Univ, Dept Atmospher &amp; Ocean Sci, Montreal, PQ H3A 2K6, Canada; [Tison, Jean-Louis] Univ Libre Bruxelles, Lab Glaciol, B-1050 Brussels, Belgium</t>
  </si>
  <si>
    <t>Universite Catholique Louvain; McGill University; Universite Libre de Bruxelles</t>
  </si>
  <si>
    <t>Vancoppenolle, M (corresponding author), Catholic Univ Louvain, Inst Astron &amp; Geophys Georges Lemaitre, Chemin Cyclotron 2, B-1348 Louvain, Belgium.</t>
  </si>
  <si>
    <t>vancop@ast.ucl.ac.be</t>
  </si>
  <si>
    <t>Vancoppenolle, Martin/B-3750-2011; Vancoppenolle, Martin/AAA-7711-2022; Tison, Jean-Louis/F-4065-2015</t>
  </si>
  <si>
    <t>Vancoppenolle, Martin/0000-0002-7573-8582; Vancoppenolle, Martin/0000-0002-7573-8582; Tison, Jean-Louis/0000-0002-9758-3454</t>
  </si>
  <si>
    <t>FNRS</t>
  </si>
  <si>
    <t>FNRS(Fonds de la Recherche Scientifique - FNRS)</t>
  </si>
  <si>
    <t>Martin Vancoppenolle and Hugues Goosse are supported by FNRS. Steve Ackley, Chris Fritsen, Katia Groznaia, and members of the Sea ice Biogeochemistry in a changing CLIMate (SIBCLIM) and Asessing the sensitivity of the Southern Ocean's biological carbon pump to climate change (BELCANTO) communities as well as SIMBA-IPY cruise participants and staff are acknowledged for discussions. The two Referees and Editor are gratefully acknowledged for careful review of the manuscript. This work was done within the framework of the project BELCANTO (funded by the Belgian Science Federal Policy Office).</t>
  </si>
  <si>
    <t>FEB 4</t>
  </si>
  <si>
    <t>C02005</t>
  </si>
  <si>
    <t>10.1029/2009JC005369</t>
  </si>
  <si>
    <t>553HV</t>
  </si>
  <si>
    <t>WOS:000274358000001</t>
  </si>
  <si>
    <t>Hudson, SR; Kato, S; Warren, SG</t>
  </si>
  <si>
    <t>Hudson, Stephen R.; Kato, Seiji; Warren, Stephen G.</t>
  </si>
  <si>
    <t>Evaluating CERES angular distribution models for snow using surface reflectance observations from the East Antarctic Plateau</t>
  </si>
  <si>
    <t>ENERGY SYSTEM INSTRUMENT; RADIATIVE-TRANSFER; PART I; CLOUDS; ATMOSPHERE</t>
  </si>
  <si>
    <t>Clouds and the Earth's radiant energy system (CERES) is a satellite-based remote sensing system designed to monitor the Earth's radiation budget. In this paper we examine uncertainties in the angular distribution models (ADMs) used by CERES over permanently snow covered surfaces with clear skies. These ADMs are a key part of the CERES data processing algorithms, used to convert the observed upwelling radiance to an estimate of the upwelling hemispheric flux. We model top-of-atmosphere anisotropic reflectance factors using an atmospheric radiative transfer model with a lower boundary condition based on extensive reflectance observations made at Dome C, Antarctica. The model results and subsequent analysis show that the CERES operational clear-sky permanent-snow ADMs are appropriate for use over Dome C, with differences of less than 5% between the model results and the ADMs at most geometries used by CERES operationally. We show that the uncertainty introduced into the flux estimates through the use of the modeled radiances used in the ADM development is small when the fluxes are averaged over time and space. Finally, we show that variations in the angular distribution of radiance at the top of the atmosphere due to atmospheric variability over permanently snow covered regions are in most cases unlikely to mask the real variations in flux caused by these atmospheric variations.</t>
  </si>
  <si>
    <t>[Hudson, Stephen R.] Norwegian Polar Res Inst, Polar Environm Ctr, N-9296 Tromso, Norway; [Kato, Seiji] NASA, Langley Res Ctr, Climate Sci Branch, Hampton, VA 23681 USA; [Warren, Stephen G.] Univ Washington, Dept Atmospher Sci, Seattle, WA 98195 USA</t>
  </si>
  <si>
    <t>Norwegian Polar Institute; National Aeronautics &amp; Space Administration (NASA); NASA Langley Research Center; University of Washington; University of Washington Seattle</t>
  </si>
  <si>
    <t>Hudson, SR (corresponding author), Norwegian Polar Res Inst, Polar Environm Ctr, N-9296 Tromso, Norway.</t>
  </si>
  <si>
    <t>hudson@npolar.no; seiji.kato@nasa.gov; sgw@atmos.washington.edu</t>
  </si>
  <si>
    <t>Hudson, Stephen/ABD-9923-2020; Keyes, Dennis/AAZ-9285-2021</t>
  </si>
  <si>
    <t>Hudson, Stephen/0000-0002-6498-9167;</t>
  </si>
  <si>
    <t>National Science Foundation grants [OPP-00-03826, ANT-06-36993]; Norwegian Research Council [176096/S30]</t>
  </si>
  <si>
    <t>National Science Foundation grants(National Science Foundation (NSF)); Norwegian Research Council(Research Council of Norway)</t>
  </si>
  <si>
    <t>We thank Richard Brandt, Bruce Wielicki, Norman Loeb, Tom Charlock, and Zhonghai Jin for useful discussions and two anonymous reviewers for their helpful comments. This research was supported by National Science Foundation grants OPP-00-03826 and ANT-06-36993. Hudson also received funding from the Norwegian Research Council through its IPY program and the project iAOOS Norway (grant number 176096/S30).</t>
  </si>
  <si>
    <t>FEB 3</t>
  </si>
  <si>
    <t>D03101</t>
  </si>
  <si>
    <t>10.1029/2009JD012624</t>
  </si>
  <si>
    <t>553HK</t>
  </si>
  <si>
    <t>WOS:000274356900006</t>
  </si>
  <si>
    <t>Kosch, MJ; Anderson, C; Makarevich, RA; Carter, BA; Fiori, RAD; Conde, M; Dyson, PL; Davies, T</t>
  </si>
  <si>
    <t>Kosch, M. J.; Anderson, C.; Makarevich, R. A.; Carter, B. A.; Fiori, R. A. D.; Conde, M.; Dyson, P. L.; Davies, T.</t>
  </si>
  <si>
    <t>First E region observations of mesoscale neutral wind interaction with auroral arcs</t>
  </si>
  <si>
    <t>FIELD-ALIGNED CURRENTS; INTERPLANETARY MAGNETIC-FIELD; VERTICAL THERMOSPHERIC WINDS; FABRY-PEROT-INTERFEROMETER; GENERAL-CIRCULATION MODEL; INCOHERENT-SCATTER; ELECTRIC-FIELDS; PARTICLE-PRECIPITATION; GEOMAGNETIC-ACTIVITY; GRAVITY-WAVES</t>
  </si>
  <si>
    <t>We report the first observations of E region neutral wind fields and their interaction with auroral arcs at mesoscale spatial resolution during geomagnetically quiet conditions at Mawson, Antarctica. This was achieved by using a scanning Doppler imager, which can observe thermospheric neutral line-of-sight winds and temperatures simultaneously over a wide field of view. In two cases, the background E region wind field was perpendicular to an auroral arc, which when it appeared caused the wind direction within similar to 50 km of the arc to rotate parallel along the arc, reverting to the background flow direction when the arc disappeared. This was observed under both westward and eastward plasma convection. The wind rotations occurred within 7-16 min. In one case, as an auroral arc propagated from the horizon toward the local zenith, the background E region wind field became significantly weaker but remained unaffected where the arc had not passed through. We demonstrate through modeling that these effects cannot be explained by height changes in the emission layer. The most likely explanation seems to be the greatly enhanced ion drag associated with the increased plasma density and localized ionospheric electric field associated with auroral arcs. In all cases, the F region neutral wind appeared less affected by the auroral arc, although its presence is clear in the data.</t>
  </si>
  <si>
    <t>[Kosch, M. J.] Univ Lancaster, Dept Commun Syst, Lancaster LA1 4WA, England; [Anderson, C.; Makarevich, R. A.; Carter, B. A.; Dyson, P. L.; Davies, T.] La Trobe Univ, Dept Phys, Melbourne, Vic 3086, Australia; [Fiori, R. A. D.] Univ Saskatchewan, ISAS, Saskatoon, SK S7N 5E2, Canada; [Conde, M.] Univ Alaska Fairbanks, Inst Geophys, Fairbanks, AK 99775 USA; [Fiori, R. A. D.] Nat Resources Canada, Geomagnet Lab, Ottawa, ON, Canada</t>
  </si>
  <si>
    <t>Lancaster University; La Trobe University; University of Saskatchewan; University of Alaska System; University of Alaska Fairbanks; Natural Resources Canada</t>
  </si>
  <si>
    <t>Kosch, MJ (corresponding author), Univ Lancaster, Dept Commun Syst, Lancaster LA1 4WA, England.</t>
  </si>
  <si>
    <t>m.kosch@lancaster.ac.uk</t>
  </si>
  <si>
    <t>Carter, Brett/J-2224-2012; Makarevich, Roman/H-4542-2013</t>
  </si>
  <si>
    <t>Carter, Brett/0000-0003-4881-3345; Fiori, Robyn/0000-0002-7313-8890; Kosch, Michael Jurgen/0000-0003-2846-3915</t>
  </si>
  <si>
    <t>Australian Research Council [DP0557369, DP0770366]; Australian Antarctic Science Program; Institute of Advanced Study at La Trobe University, Melbourne, Australia; Science and Technology Facilities Council [ST/F003005/1] Funding Source: researchfish; Australian Research Council [DP0557369, DP0770366] Funding Source: Australian Research Council; STFC [ST/F003005/1] Funding Source: UKRI</t>
  </si>
  <si>
    <t>Australian Research Council(Australian Research Council); Australian Antarctic Science Program; Institute of Advanced Study at La Trobe University, Melbourne, Australia; Science and Technology Facilities Council(UK Research &amp; Innovation (UKRI)Science &amp; Technology Facilities Council (STFC)); Australian Research Council(Australian Research Council); STFC(UK Research &amp; Innovation (UKRI)Science &amp; Technology Facilities Council (STFC))</t>
  </si>
  <si>
    <t>Operation of the Southern Hemisphere SuperDARN radars is supported by the national funding agencies of Australia, France, Japan, South Africa, and the United Kingdom. The CTIP model was run through the Community Coordinated Modelling Centre (http://ccmc.gsfc.nasa.gov). IMF data are supported by the NASA/ACE program. The Mawson ionosonde is operated by the Ionospheric Prediction Service (IPS) of Australia (http://www.ips.gov.au/). This research has been supported by the Australian Research Council's Discovery Projects DP0557369 and DP0770366 and by the Australian Antarctic Science Program. M.J.K. acknowledges support from the Institute of Advanced Study at La Trobe University, Melbourne, Australia.</t>
  </si>
  <si>
    <t>A02303</t>
  </si>
  <si>
    <t>10.1029/2009JA014697</t>
  </si>
  <si>
    <t>553IK</t>
  </si>
  <si>
    <t>WOS:000274359700006</t>
  </si>
  <si>
    <t>Baran, JM; Carbotte, SM; Cochran, JR; Nedimovic, MR</t>
  </si>
  <si>
    <t>Baran, Janet M.; Carbotte, Suzanne M.; Cochran, James R.; Nedimovic, Mladen R.</t>
  </si>
  <si>
    <t>Upper crustal seismic structure along the Southeast Indian Ridge: Evolution from 0 to 550 ka and variation with axial morphology</t>
  </si>
  <si>
    <t>Southeast Indian Ridge; crustal evolution; layer 2B; multichannel seismic; layer 2A</t>
  </si>
  <si>
    <t>EAST PACIFIC RISE; AUSTRALIAN-ANTARCTIC DISCORDANCE; UPPER OCEANIC-CRUST; DE-FUCA RIDGE; MID-ATLANTIC RIDGE; LAYER 2A; EMPLACEMENT PROCESSES; MIDOCEAN RIDGE; SPREADING RATE; ACCRETION</t>
  </si>
  <si>
    <t>The seismic structure of uppermost crust evolves after crustal formation with precipitation of alteration minerals during ridge-flank hydrothermal circulation. However, key parameters of crustal evolution including depth extent and rates of change in crustal properties, and factors contributing to this evolution remain poorly understood. Here, long-offset multichannel seismic data are used to study the evolution of seismic layer 2A and uppermost 2B from 0 to 550 ka at three segments of the intermediate spreading rate Southeast Indian Ridge. The segments differ in on-axis morphology and structure with crustal magma bodies imaged at axial high and rifted high segments P1 and P2, but not at axial valley segment S1 and marked differences in thermal conditions within the upper crust are inferred. One-dimensional travel time modeling of common midpoint supergathers is used to determine the thickness and velocity of layer 2A and velocity of uppermost 2B. At all three segments, layer 2A velocities are higher in 550 ka crust than on-axis (by 7-14%) with the largest increases at segments P1 and P2. Velocities increase more rapidly (by 125 ka) at P1 with spatial variations in velocity gradients linked to location of the underlying crustal magma body. We attribute these differences in crustal evolution to higher rates of fluid flow and temperatures of reaction at these ridge segments where crustal magma bodies are present. Layer 2A thickens off-axis at segments P1 and P2 but not at S1; both off-axis volcanic thickening and downward propagation of a cracking front linked to the vigor of axial hydrothermal activity could contribute to these differences. In zero-age crust, layer 2B velocities are significantly lower at segments P1 and P2 than S1 (5.0, 5.4, and 5.8 km/s respectively), whereas similar velocities are measured off-axis at all segments (5.7-5.9 km/s). Lower on-axis 2B velocities at segments P1 and P2 can be partly attributed to thinner layer 2A, with lower overburden pressures leading to higher porosities in shallowest 2B. However, other factors must also contribute. Likely candidates include subaxial deformation due to magmatic processes and enhanced cracking with axial hydrothermal activity at these segments with crustal magma bodies.</t>
  </si>
  <si>
    <t>[Baran, Janet M.; Carbotte, Suzanne M.; Cochran, James R.; Nedimovic, Mladen R.] Columbia Univ, Lamont Doherty Earth Observ, Earth Inst, Palisades, NY 10964 USA; [Nedimovic, Mladen R.] Dalhousie Univ, Dept Earth Sci, Life Sci Ctr, Halifax, NS B3H 4J1, Canada</t>
  </si>
  <si>
    <t>Columbia University; Dalhousie University</t>
  </si>
  <si>
    <t>Baran, JM (corresponding author), Columbia Univ, Lamont Doherty Earth Observ, Earth Inst, 61 Route 9W, Palisades, NY 10964 USA.</t>
  </si>
  <si>
    <t>carbotte@ldeo.columbia.edu</t>
  </si>
  <si>
    <t>Nedimovic, Mladen/B-8459-2009; Nedimovic, Mladen/Q-6865-2019</t>
  </si>
  <si>
    <t>Nedimovic, Mladen/0000-0003-0327-5192;</t>
  </si>
  <si>
    <t>NSF [OCE99-11720]</t>
  </si>
  <si>
    <t>Thanks to Pablo Canales, Gail Christeson and Ingo Grevemeyer for their insightful reviews which greatly improved the manuscript. We thank Captain Mark Landow, the officers, crew, and scientific staff of R/V Maurice Ewing for their assistance under often extremely difficult weather and sea conditions. We thank John Diebold for his assistance with JDseis. The GMT software package [Wessel and Smith, 1995] was used extensively in the preparation Figures 1-10. This project was supported with funding from the NSF under OCE99-11720 to J.R.C. and S. M. C. This paper is LDEO contribution 7305.</t>
  </si>
  <si>
    <t>FEB 2</t>
  </si>
  <si>
    <t>Q02001</t>
  </si>
  <si>
    <t>10.1029/2009GC002629</t>
  </si>
  <si>
    <t>553WB</t>
  </si>
  <si>
    <t>WOS:000274396400001</t>
  </si>
  <si>
    <t>Pichevin, LE; Ganeshram, RS; Francavilla, S; Arellano-Torres, E; Pedersen, TF; Beaufort, L</t>
  </si>
  <si>
    <t>Pichevin, Laetitia E.; Ganeshram, Raja S.; Francavilla, Stephen; Arellano-Torres, Elsa; Pedersen, Tom F.; Beaufort, Luc</t>
  </si>
  <si>
    <t>Interhemispheric leakage of isotopically heavy nitrate in the eastern tropical Pacific during the last glacial period</t>
  </si>
  <si>
    <t>INTERTROPICAL CONVERGENCE ZONE; ARABIAN SEA DENITRIFICATION; OXYGEN-ISOTOPE RECORDS; ATMOSPHERIC N2O; LATE QUATERNARY; NORTH PACIFIC; PRODUCTIVITY VARIATIONS; GREENLAND CLIMATE; NITROGEN ISOTOPE; ICE CORE</t>
  </si>
  <si>
    <t>We present new high-resolution N isotope records from the Gulf of Tehuantepec and the Nicaragua Basin spanning the last 50-70 ka. The Tehuantepec site is situated within the core of the north subtropical denitrification zone while the Nicaragua site is at the southern boundary. The delta N-15 record from Nicaragua shows an Antarctic timing similar to denitrification changes observed off Peru-Chile but is radically different from the northern records. We attribute this to the leakage of isotopically heavy nitrate from the South Pacific oxygen minimum zone (OMZ) into the Nicaragua Basin. The Nicaragua record leads the other eastern tropical North Pacific (ETNP) records by about 1000 years because denitrification peaks in the eastern tropical South Pacific (ETSP) before denitrification starts to increase in the Northern Hemisphere OMZ, i.e., during warming episodes in Antarctica. We find that the influence of the heavy nitrate leakage from the ETSP is still noticeable, although attenuated, in the Gulf of Tehuantepec record, particularly at the end of the Heinrich events, and tends to alter the recording of millennial timescale denitrification changes in the ETNP. This implies (1) that sedimentary delta N-15 records from the southern parts of the ETNP cannot be used straightforwardly as a proxy for local denitrification and (2) that denitrification history in the ETNP, like in the Arabian Sea, is synchronous with Greenland temperature changes. These observations reinforce the conclusion that on millennial timescales during the last ice age, denitrification in the ETNP is strongly influenced by climatic variations that originated in the highlatitude North Atlantic region, while commensurate changes in Southern Ocean hydrography more directly, and slightly earlier, affected oxygen concentrations in the ETSP. Furthermore, the delta N-15 records imply ongoing physical communication across the equator in the shallow subsurface continuously over the last 50-70 ka.</t>
  </si>
  <si>
    <t>[Pichevin, Laetitia E.; Ganeshram, Raja S.; Francavilla, Stephen; Arellano-Torres, Elsa] Univ Edinburgh, Sch Geosci, Grant Inst, Edinburgh EH10 3JW, Midlothian, Scotland; [Pedersen, Tom F.] Univ Victoria, Sch Earth &amp; Ocean Sci, Victoria, BC V8W 3V6, Canada; [Beaufort, Luc] CEREGE, F-13545 Aix En Provence 4, France</t>
  </si>
  <si>
    <t>University of Edinburgh; University of Victoria; Aix-Marseille Universite</t>
  </si>
  <si>
    <t>Pichevin, LE (corresponding author), Univ Edinburgh, Sch Geosci, Grant Inst, W Main Rd, Edinburgh EH10 3JW, Midlothian, Scotland.</t>
  </si>
  <si>
    <t>laetitia.pichevin@ed.ac.uk</t>
  </si>
  <si>
    <t>Beaufort, Luc/AAH-5305-2021; Ganeshram, Raja S/JPX-5314-2023; Beaufort, Luc/ABG-2289-2021; Arellano-Torres, Elsa/L-2863-2017</t>
  </si>
  <si>
    <t>Beaufort, Luc/0000-0001-6055-9373; Arellano-Torres, Elsa/0000-0001-5237-8636; Pichevin, Laetitia/0000-0003-2685-6926</t>
  </si>
  <si>
    <t>Marie Curie Intra-European; Natural Environment Research Council (NERC); European Science Foundation; Natural Environment Research Council [NE/E017738/1] Funding Source: researchfish; NERC [NE/E017738/1] Funding Source: UKRI</t>
  </si>
  <si>
    <t>Marie Curie Intra-European(European Union (EU)); Natural Environment Research Council (NERC)(UK Research &amp; Innovation (UKRI)Natural Environment Research Council (NERC)); European Science Foundation(European Science Foundation (ESF)); Natural Environment Research Council(UK Research &amp; Innovation (UKRI)Natural Environment Research Council (NERC)); NERC(UK Research &amp; Innovation (UKRI)Natural Environment Research Council (NERC))</t>
  </si>
  <si>
    <t>This research has been funded by a Marie Curie Intra-European fellowship to L. E. P. and support from the Natural Environment Research Council (NERC) to R. S. G. and L. E. P. The cores were retrieved by the R/V Marion Dufresne through the IMAGES IV program and supported by European Science Foundation Grant to R. S. G. We thank the NERC Radiocarbon laboratory and Steve Moreton for radiocarbon analysis. The authors are grateful for the coring wizardry of Yvon Balut and his team on board the Marion Dufresne and thank I. Hendy, G. Leduc, C. Blanchet, and A. Chan for thoughtful discussions. We are very grateful to C. Chilcott for his help with the C/N analyses. T. Pool performed the cross correlations between the delta15N records, for which we are very thankful.</t>
  </si>
  <si>
    <t>PA1204</t>
  </si>
  <si>
    <t>10.1029/2009PA001754</t>
  </si>
  <si>
    <t>553IR</t>
  </si>
  <si>
    <t>Green Submitted, Green Published, Bronze</t>
  </si>
  <si>
    <t>WOS:000274360400001</t>
  </si>
  <si>
    <t>Egevang, C; Stenhouse, IJ; Phillips, RA; Petersen, A; Fox, JW; Silk, JRD</t>
  </si>
  <si>
    <t>Egevang, Carsten; Stenhouse, Iain J.; Phillips, Richard A.; Petersen, Aevar; Fox, James W.; Silk, Janet R. D.</t>
  </si>
  <si>
    <t>Tracking of Arctic terns Sterna paradisaea reveals longest animal migration</t>
  </si>
  <si>
    <t>at-sea hotspot; global wind systems; geolocator; trans-equatorial migration</t>
  </si>
  <si>
    <t>DISPERSAL; SEABIRDS; OCEAN; AREAS</t>
  </si>
  <si>
    <t>The study of long-distance migration provides insights into the habits and performance of organisms at the limit of their physical abilities. The Arctic tern Sterna paradisaea is the epitome of such behavior; despite its small size (&lt;125 g), banding recoveries and at-sea surveys suggest that its annual migration from boreal and high Arctic breeding grounds to the Southern Ocean may be the longest seasonal movement of any animal. Our tracking of 11 Arctic terns fitted with miniature (1.4-g) geolocators revealed that these birds do indeed travel huge distances (more than 80,000 km annually for some individuals). As well as confirming the location of the main wintering region, we also identified a previously unknown oceanic stopover area in the North Atlantic used by birds from at least two breeding populations (from Greenland and Iceland). Although birds from the same colony took one of two alternative southbound migration routes following the African or South American coast, all returned on a broadly similar, sigmoidal trajectory, crossing from east to west in the Atlantic in the region of the equatorial Intertropical Convergence Zone. Arctic terns clearly target regions of high marine productivity both as stopover and wintering areas, and exploit prevailing global wind systems to reduce flight costs on long-distance commutes.</t>
  </si>
  <si>
    <t>[Egevang, Carsten] Greenland Inst Nat Resources, Nuuk, Greenland; [Egevang, Carsten] Aarhus Univ, Dept Arctic Environm, Natl Environm Res Inst, DK-4000 Roskilde, Denmark; [Phillips, Richard A.; Fox, James W.; Silk, Janet R. D.] British Antarctic Survey, Nat Environm Res Council, Cambridge CB3 0ET, England; [Petersen, Aevar] Iceland Inst Nat Hist, IS-125 Reykjavik, Iceland</t>
  </si>
  <si>
    <t>Greenland Institute of Natural Resources; Aarhus University; UK Research &amp; Innovation (UKRI); Natural Environment Research Council (NERC); NERC British Antarctic Survey</t>
  </si>
  <si>
    <t>Egevang, C (corresponding author), Greenland Inst Nat Resources, DK 3900, Nuuk, Greenland.</t>
  </si>
  <si>
    <t>cep@dmu.dk</t>
  </si>
  <si>
    <t>Bond, Alexander L/A-3786-2010</t>
  </si>
  <si>
    <t>Stenhouse, Iain/0000-0003-3614-9862; Fox, James W./0000-0002-3107-696X</t>
  </si>
  <si>
    <t>Commission for Scientific Research in Greenland (KVUG); Greenland Institute of Natural Resources; National Environmental Research Institute, Aarhus University; Natural Environment Research Council [bas0100025] Funding Source: researchfish; NERC [bas0100025] Funding Source: UKRI</t>
  </si>
  <si>
    <t>Commission for Scientific Research in Greenland (KVUG); Greenland Institute of Natural Resources; National Environmental Research Institute, Aarhus University; Natural Environment Research Council(UK Research &amp; Innovation (UKRI)Natural Environment Research Council (NERC)); NERC(UK Research &amp; Innovation (UKRI)Natural Environment Research Council (NERC))</t>
  </si>
  <si>
    <t>We thank the SeaWiFS project for providing data on chlorophyll concentrations. Two anonymous referees gave invaluable comments on earlier drafts of the paper. We thank L. M. Rasmussen and M. W. Kristensen for field assistance and Danish Polar Centre, Polog, and Sledge patrol Sirius for logistic assistance. For funding, we thank the Commission for Scientific Research in Greenland (KVUG), Greenland Institute of Natural Resources, and National Environmental Research Institute, Aarhus University.</t>
  </si>
  <si>
    <t>10.1073/pnas.0909493107</t>
  </si>
  <si>
    <t>552MV</t>
  </si>
  <si>
    <t>Green Published, Green Submitted</t>
  </si>
  <si>
    <t>WOS:000274296300050</t>
  </si>
  <si>
    <t>Buckeridge, JS; Newman, WA</t>
  </si>
  <si>
    <t>Buckeridge, John S.; Newman, William A.</t>
  </si>
  <si>
    <t>A review of the subfamily Eliminiinae (Cirripedia: Thoracica: Austrobalanidae), including a new genus, Protelminius nov., from the Oligocene of New Zealand</t>
  </si>
  <si>
    <t>Balanomorpha; Tetraclitoidea; Austrominius; Elminius; Hexaminius; Matellionius; Protelminius; Antarctic; Australia; New Zealand; South America; South Africa; Europe (introduced)</t>
  </si>
  <si>
    <t>BARNACLES; ELMINIUS; OCEAN; GLACIATION; HISTORY; CHILE; TAXA</t>
  </si>
  <si>
    <t>The Elminiinae, comprising the four-plated taxa Elminius Leach, 1825 (one species), Austrominius Buckeridge, 1983 (six species), dagger Matellionius Buckeridge, 1983 (one species), a new Oligocene genus, dagger Protelminius (one species), plus the six-plated Hexaminius Foster, 1982a (two species), is reviewed and current geographic distributions of its species updated. While originally restricted to southern Australia, New Zealand and southernmost South America, one species, A. modestus (Darwin, 1854), was introduced to England during World War II and is now more widely distributed in Europe. The status of four questionable species of Austrominius, currently attributed to a restricted region within South Australia, is discussed. A re-evaluation of the subfamily's morphology, triggered by recent phylogenetic studies, suggests it be removed from the lower Balanoidea and placed closest to the lower Tetraclitoidea, i.e. to a position envisaged for Elminius s.l. in Darwin (1854). The fossil record of the revised Austrobalanidae is re-evaluated in light of palaeogeography, indicating that the family may have originated during the Eocene in waters off what is now the Antarctic Peninsula.</t>
  </si>
  <si>
    <t>[Buckeridge, John S.] RMIT Univ, Earth &amp; Ocean Syst Res Grp, Melbourne, Vic 3001, Australia; [Newman, William A.] Univ Calif San Diego, Scripps Inst Oceanog, La Jolla, CA 92093 USA</t>
  </si>
  <si>
    <t>Royal Melbourne Institute of Technology (RMIT); University of California System; University of California San Diego; Scripps Institution of Oceanography</t>
  </si>
  <si>
    <t>Buckeridge, JS (corresponding author), RMIT Univ, Earth &amp; Ocean Syst Res Grp, Melbourne, Vic 3001, Australia.</t>
  </si>
  <si>
    <t>john.buckeridge@rmit.edu.au</t>
  </si>
  <si>
    <t>550KY</t>
  </si>
  <si>
    <t>WOS:000274127900003</t>
  </si>
  <si>
    <t>Lee, JE; Hughes, KA</t>
  </si>
  <si>
    <t>Lee, Jennifer E.; Hughes, Kevin A.</t>
  </si>
  <si>
    <t>Focused tourism needs focused monitoring</t>
  </si>
  <si>
    <t>[Lee, Jennifer E.] Univ Stellenbosch, ZA-7600 Stellenbosch, South Africa</t>
  </si>
  <si>
    <t>Stellenbosch University</t>
  </si>
  <si>
    <t>Lee, JE (corresponding author), Univ Stellenbosch, ZA-7600 Stellenbosch, South Africa.</t>
  </si>
  <si>
    <t>NERC [bas010020] Funding Source: UKRI; Natural Environment Research Council [bas010020] Funding Source: researchfish</t>
  </si>
  <si>
    <t>FEB</t>
  </si>
  <si>
    <t>10.1017/S0954102009990782</t>
  </si>
  <si>
    <t>559YJ</t>
  </si>
  <si>
    <t>Green Accepted, Bronze</t>
  </si>
  <si>
    <t>WOS:000274868100001</t>
  </si>
  <si>
    <t>Willmott, V; Rampen, SW; Domack, E; Canals, M; Damsté, JSS; Schouten, S</t>
  </si>
  <si>
    <t>Willmott, V.; Rampen, S. W.; Domack, E.; Canals, M.; Damste, J. S. Sinninghe; Schouten, S.</t>
  </si>
  <si>
    <t>Holocene changes in Proboscia diatom productivity in shelf waters of the north-western Antarctic Peninsula</t>
  </si>
  <si>
    <t>biogeochemistry; lipids; Southern Ocean; UCDW; upwelling</t>
  </si>
  <si>
    <t>HYDROXY METHYL ALKANOATES; LONG-CHAIN DIOLS; N-ALKYL DIOLS; SEA-ICE; CLIMATE-CHANGE; PHYTOPLANKTON ASSEMBLAGES; MARINE-SEDIMENTS; GERLACHE STRAITS; PALMER-DEEP; RECORD</t>
  </si>
  <si>
    <t>Diatoms are important primary producers in present day Antarctic waters but their relative significance in the past is less clear. In this Study We used long-chain diols to reconstruct Proboscia diatom productivity in shelf waters of the western Antarctic Peninsula over the last 8500 yr. Biomarker lipid analysis revealed the presence of a suite of long-chain diols in the sediments, mainly comprising the C-28 and C-30 1,14-diol isomers derived from Proboscia diatoms and C-28 and C-30 1,13-diols derived from other unknown algae. The relative importance of Proboscia diatoms was assessed using the relative abundances of 1, 14-diols versus 1, 13-diols, which showed that Proboscia diatoms were relatively more abundant during the Late Holocene, suggesting that stronger upwelling of circumpolar waters Occurred at that time. The variations in the diol index strongly correlate with melt events in the Siple Dome ice core, Suggesting that the climatic processes responsible for changes in mean summer temperature, open marine influence and atmospheric cyclonic activity recorded at Siple Dome, also controlled the productivity of Proboscia diatoms on the western Antarctic Peninsula region.</t>
  </si>
  <si>
    <t>[Willmott, V.; Rampen, S. W.; Damste, J. S. Sinninghe; Schouten, S.] NIOZ Royal Netherlands Inst Sea Res, Dept Marine Organ Biogeochem, NL-1790 AB Den Burg, Texel, Netherlands; [Domack, E.] Hamilton Coll, Dept Geosci, Clinton, NY 13323 USA; [Canals, M.] Univ Barcelona, Dept Estratig Paleontol &amp; Geociencies Marines, GRC Geociencies Marines, E-08028 Barcelona, Spain</t>
  </si>
  <si>
    <t>Utrecht University; Royal Netherlands Institute for Sea Research (NIOZ); Hamilton College; University of Barcelona</t>
  </si>
  <si>
    <t>Willmott, V (corresponding author), NIOZ Royal Netherlands Inst Sea Res, Dept Marine Organ Biogeochem, POB 59, NL-1790 AB Den Burg, Texel, Netherlands.</t>
  </si>
  <si>
    <t>veronica.willmott@nioz.nl</t>
  </si>
  <si>
    <t>Willmott Puig, Veronica/AGN-3478-2022; Canals, Miquel/F-4922-2013; Sinninghe Damste, Jaap/F-6128-2011</t>
  </si>
  <si>
    <t>Willmott Puig, Veronica/0000-0002-6552-8901; Canals, Miquel/0000-0001-5267-7601; Sinninghe Damste, Jaap/0000-0002-8683-1854; Rampen, Sebastiaan/0000-0002-1092-6363</t>
  </si>
  <si>
    <t>US National Science Foundation [OPP-000306, -0338142]; Earth and Life Sciences Division of the Netherlands Organization for Scientific Research (NWO-ALW)</t>
  </si>
  <si>
    <t>US National Science Foundation(National Science Foundation (NSF)); Earth and Life Sciences Division of the Netherlands Organization for Scientific Research (NWO-ALW)(Netherlands Organization for Scientific Research (NWO))</t>
  </si>
  <si>
    <t>We cordially thank the crew of RV Nathaniel B. Palmer, Raytheon Polar Services technicians, and the science staff of cruise NBP01-07, and Antarctic Marine Geology Research Facility staff members for their help in sampling, description and core logging of the sediment cores. Sediment cores were recovered with the support of a US National Science Foundation grant (OPP-000306 and -0338142) to Hamilton College. This study was supported by a VICI-grant to SS from the Earth and Life Sciences Division of the Netherlands Organization for Scientific Research (NWO-ALW). This is a GRC Geociencies Marines (ref. 2005SGR00152) contribution to the Spanish CONSOLIDER-INGENIO 2010 (CSD2007-00067) project.</t>
  </si>
  <si>
    <t>10.1017/S095410200999037X</t>
  </si>
  <si>
    <t>WOS:000274868100002</t>
  </si>
  <si>
    <t>Hendry, KR; Rickaby, REM; de Hoog, JCM; Weston, K; Rehkamper, M</t>
  </si>
  <si>
    <t>Hendry, Katharine R.; Rickaby, Rosalind E. M.; de Hoog, Jan C. M.; Weston, Keith; Rehkamper, Mark</t>
  </si>
  <si>
    <t>The cadmium-phosphate relationship in brine: biological versus physical control over micronutrients in sea ice environments</t>
  </si>
  <si>
    <t>Antarctica coastal waters; biogeochemistry; nutrients; trace elements</t>
  </si>
  <si>
    <t>SOUTHERN-OCEAN; BELLINGSHAUSEN SEA; WEDDELL SEA; MARINE-PHYTOPLANKTON; CARBONIC-ANHYDRASE; PHOSPHORUS RATIO; MARGUERITE BAY; ORGANIC-CARBON; PARTICLE-FLUX; WATER COLUMN</t>
  </si>
  <si>
    <t>Despite supporting productive ecosystems in the high latitudes, the relationship between macro- and micronutrients in sea ice environments and their impact oil Surface productivity is poorly documented. In seawater, the macronutrient phosphate and the micronutrient cadmium follow similar distributions, which are controlled by biological processes in surface waters. We investigated cadmium and phosphate ill sea ice brine, and the biological and physical processes controlling their distribution. Cadmium concentrations in sea ice brine ranged from 0.09-2.4 nmol kg(-1), and correlated well with salinity. Our results show that micronutrients in sea ice are most probably sourced from the seawater from which it froze rather than external Sources Such as atmospheric deposition. The weak correlation between sea ice cadmium and phosphate, and the positive relationship between cadmium and biomass, Suggests against biological uptake being a principal control over micronutrient distribution even in a highly productive Setting. Instead, brine expulsion and dilution play a dominant role in cadmium distribution in sea ice. Nutrient dilution within brine channels during melting, and contrasting sea ice and open water phytoplankton populations, suggests that late spring sea ice is not a significant source of nutrients or biomass to seawater. We suggest that future changes in sea ice seasonality may impact nutrient distribution and Antarctic marine ecosystems.</t>
  </si>
  <si>
    <t>[Hendry, Katharine R.; Rickaby, Rosalind E. M.; de Hoog, Jan C. M.] Univ Oxford, Dept Earth Sci, Oxford OX1 3PR, England; [Weston, Keith] Univ E Anglia, Sch Environm Sci, Lab Global Marine &amp; Atmospher Chem, Norwich NR4 7TJ, Norfolk, England; [Rehkamper, Mark] Univ London Imperial Coll Sci Technol &amp; Med, Dept Earth Sci &amp; Engn, London SW7 2AZ, England</t>
  </si>
  <si>
    <t>University of Oxford; University of East Anglia; Imperial College London</t>
  </si>
  <si>
    <t>De Hoog, Jan CM/C-1354-2010; Hendry, Katharine/E-4793-2011</t>
  </si>
  <si>
    <t>De Hoog, Jan CM/0000-0002-5930-3597; Rehkamper, Mark/0000-0002-0075-9872; Rickaby, Rosalind/0000-0002-6095-8419; Hendry, Katharine/0000-0002-0790-5895</t>
  </si>
  <si>
    <t>NERC [AF14-02, NER/S/A/2004/12390]; Natural Environment Research Council [NER/G/S/2002/00024, NE/G008973/1] Funding Source: researchfish; Science and Technology Facilities Council [ST/F002157/1] Funding Source: researchfish; NERC [NE/G008973/1] Funding Source: UKRI; STFC [ST/F002157/1] Funding Source: UKRI</t>
  </si>
  <si>
    <t>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</si>
  <si>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The authors would like to acknowledge S. Ripperger for the use of the Cd spike, and J. Arden at the University of Oxford for assistance with Cd measurements by ICP-MS. Thanks also to A. Thomas (University of Oxford), A. Annett and R. Ganeshram (Edinburgh University) for assistance, useful discussion and insight. We Would also like to thank A. Clarke (British Antarctic Survey) and the marine assistants P. Mann and H. Rossetti, for help in the field. Many thanks also to the base commander and other member of staff at Rothera Research Station. We Would also like to thank the contribution of an anonymous reviewer, Martin Ellwood and the editor David Walton for help in improving the manuscript. The work was funded as part of NERC Antarctic Funding Initiative AF14-02. KRH is funded by NERC grant NER/S/A/2004/12390.</t>
  </si>
  <si>
    <t>10.1017/S0954102009990381</t>
  </si>
  <si>
    <t>Green Submitted, Green Accepted</t>
  </si>
  <si>
    <t>WOS:000274868100003</t>
  </si>
  <si>
    <t>Kim, JH; Park, H; Choy, EJ; Ahn, IY; Yoo, JC</t>
  </si>
  <si>
    <t>Kim, Jeong-Hoon; Park, Hyun; Choy, Eun Jung; Ahn, In-Young; Yoo, Jeong-Chil</t>
  </si>
  <si>
    <t>Incubation capacity limits clutch size in south polar skuas</t>
  </si>
  <si>
    <t>Antarctica; Catharacta maccormicki; egg temperature; hatchability; nest temperature</t>
  </si>
  <si>
    <t>FEMALE-FEMALE PAIRS; WESTERN GULLS; TEMPERATURE; CALIFORNIA; TOLERANCE; WADERS; TRIOS; EGGS</t>
  </si>
  <si>
    <t>The incubation-limitation hypothesis Suggests that Clutch size in some birds is limited by incubation capacity. However, this remains disputed amongst ornithologists. This Study aimed to test whether incubation capacity limits the maximum Clutch Size to two eggs in South polar skuas (Catharacta maccormicki Saunders) by comparing the egg and nest temperatures as well as hatchability between two-egg and three-egg Clutches. Although the vast majority Of Clutches contained one or two eggs, four naturally occurring three-egg Clutches were found at Barton Peninsula, King George Island over three breeding seasons (2004-2005, 2005-2006 and 2006-2007). Regardless of clutch size, all incubating parents exhibited two discernible brood patches. The mean egg and nest temperatures of the three-egg clutches were significantly lower than were those of the two-egg Clutches. The accumulated time that egg temperature decreased below 30 degrees C in three-egg Clutches was approximately eight times longer than that in two-egg clutches. The hatchability of natural one-egg (89.5%) and two-egg Clutches (95.4%) were significantly higher than that of the three-egg clutches, which was zero. Our results Suggest that the maximum Clutch Size in south polar skuas is probably restricted by incubation capacity.</t>
  </si>
  <si>
    <t>[Kim, Jeong-Hoon; Park, Hyun; Choy, Eun Jung; Ahn, In-Young] Korea Polar Res Inst, Div Polar Biol &amp; Oceanog, Inchon 406840, South Korea; [Yoo, Jeong-Chil] Kyung Hee Univ, Korea Inst Ornithol, Seoul 130701, South Korea; [Yoo, Jeong-Chil] Kyung Hee Univ, Dept Biol, Seoul 130701, South Korea</t>
  </si>
  <si>
    <t>Korea Polar Research Institute (KOPRI); Korea Institute of Ocean Science &amp; Technology (KIOST); Kyung Hee University; Kyung Hee University</t>
  </si>
  <si>
    <t>Kim, JH (corresponding author), Korea Polar Res Inst, Div Polar Biol &amp; Oceanog, Songdo Dong 7-50, Inchon 406840, South Korea.</t>
  </si>
  <si>
    <t>jhkim94@kopri.re.kr</t>
  </si>
  <si>
    <t>Park, Hyun/0000-0002-8055-2010</t>
  </si>
  <si>
    <t>King Sejong Station, KOPRI; Korea Polar Research Institute (KOPRI) in the Korea Ocean Research &amp; Development Institute (KORDI) [PE09040]; Korean Government (MOEHRD, Basic Research Promotion Fund) [KRF-2008-355-C00046]</t>
  </si>
  <si>
    <t>King Sejong Station, KOPRI; Korea Polar Research Institute (KOPRI) in the Korea Ocean Research &amp; Development Institute (KORDI); Korean Government (MOEHRD, Basic Research Promotion Fund)(Ministry of Education &amp; Human Resources Development (MOEHRD), Republic of KoreaKorean Government)</t>
  </si>
  <si>
    <t>We thank H.-U. Peter, S.G. Chang, E.J. Lee, S. Hahn, M. Ritz, A. Frohlich, M. Kopp, S.G. Chang and J. Kim for their assistance in the field. We are indebted to Y. Niizuma, H.-G. Chol, J.H. Kim and A. Takahashi for helpful advice and discussion. We are also grateful to 17, 18, 19, 20, 21 and 22nd overwintering teams of the King Sejong Station, KOPRI for supporting the fieldwork. This work was Supported by Status and Changes of Polar Species and Coastal/Terrestrial Ecosystems (PE09040) funded by Korea Polar Research Institute (KOPRI) in the Korea Ocean Research &amp; Development Institute (KORDI) and the Korea Research Foundation Grant funded by the Korean Government (MOEHRD, Basic Research Promotion Fund) (KRF-2008-355-C00046).</t>
  </si>
  <si>
    <t>10.1017/S0954102009990393</t>
  </si>
  <si>
    <t>WOS:000274868100004</t>
  </si>
  <si>
    <t>Mellish, JE; Hindle, AG; Horning, M</t>
  </si>
  <si>
    <t>Mellish, J. E.; Hindle, A. G.; Horning, M.</t>
  </si>
  <si>
    <t>A preliminary assessment of the impact of disturbance and handling on Weddell seals of McMurdo Sound, Antarctica</t>
  </si>
  <si>
    <t>corticosteroids; Erebus Bay; globulins; haptoglobins; Leptonychotes weddellii; platelets</t>
  </si>
  <si>
    <t>LEPTONYCHOTES-WEDDELLII; BEHAVIORAL-RESPONSE; ELEPHANT SEALS; MASS; LACTATION; SURVIVAL; DEVICES; MOTHERS; PUPS</t>
  </si>
  <si>
    <t>There has been growing concern over the impact of increased human disturbance and research effects on Antarctic species. The Weddell seal of McMurdo Sound in particular has been used as a model species for over four decades of research, with some individuals handled multiple times over a single season. Using opportunistic data, we performed an assessment of blood indicators in adult males (n = 26) and adult females (n = 24) based on high versus low disturbance areas, with results showing no variation in overall seal health. In addition, we performed a preliminary analysis of blood and faecal indicators of inflammation and stress collected from adult, non-lactating females (n = 13) handled twice in less than two weeks for research purposes. There was no indication of a change in white blood cells, platelets, globulins or haptoglobins, or faecal corticosteroids (all P &gt; 0.05). While based on a small, Opportunistic sample size with limited power in some cases, preliminary results indicate there is no acute impact of repeated handling or difference in overall traffic level on adult Weddell seals.</t>
  </si>
  <si>
    <t>[Mellish, J. E.] Univ Alaska Fairbanks, Sch Fisheries &amp; Ocean Sci, Fairbanks, AK 99775 USA; [Mellish, J. E.] Alaska SeaLife Ctr, Seward, AK 99664 USA; [Hindle, A. G.] Univ British Columbia, Vancouver, BC V6T 1Z4, Canada; [Hindle, A. G.; Horning, M.] Oregon State Univ, Marine Mammal Inst, Dept Fisheries &amp; Wildlife, Newport, OR 97365 USA</t>
  </si>
  <si>
    <t>University of Alaska System; University of Alaska Fairbanks; University of British Columbia; Oregon State University</t>
  </si>
  <si>
    <t>Mellish, JE (corresponding author), Univ Alaska Fairbanks, Sch Fisheries &amp; Ocean Sci, Fairbanks, AK 99775 USA.</t>
  </si>
  <si>
    <t>Crary Science Laboratory Staff; National Science Foundation Polar Programs Antarctic Organisms and Ecosystems [0649609, 0440715]; Directorate For Geosciences; Office of Polar Programs (OPP) [0649609, 0440715] Funding Source: National Science Foundation</t>
  </si>
  <si>
    <t>Crary Science Laboratory Staff; National Science Foundation Polar Programs Antarctic Organisms and Ecosystems; Directorate For Geosciences; Office of Polar Programs (OPP)(National Science Foundation (NSF)NSF - Directorate for Geosciences (GEO))</t>
  </si>
  <si>
    <t>We would like to recognize the field efforts of M. Gray, R. Hill, S. Hill, J. Nienaber, J. Thomton, P. Tuomi and the support of the Crary Science Laboratory Staff. All work was conducted under Marine Mammal Protection Act 1034-1854, Antarctic Conservation Act 2007-007, ASLC Animal Use Protocol 05-004 and OSU Animal Use Protocol 3454. This project was funded by the National Science Foundation Polar Programs Antarctic Organisms and Ecosystems (Awards 0649609 and 0440715).</t>
  </si>
  <si>
    <t>10.1017/S0954102009990447</t>
  </si>
  <si>
    <t>WOS:000274868100005</t>
  </si>
  <si>
    <t>Park, H; Lee, SH; Kim, M; Kim, JH; Lim, HS</t>
  </si>
  <si>
    <t>Park, Hyun; Lee, Sang-Hwan; Kim, Minkyun; Kim, Jeong-Hoon; Lim, Hyoun Soo</t>
  </si>
  <si>
    <t>Polychlorinated biphenyl congeners in soils and lichens from King George Island, South Shetland Islands, Antarctica</t>
  </si>
  <si>
    <t>environmental contamination; persistent organic pollutants; Usnea aurantiaco-atra</t>
  </si>
  <si>
    <t>PERSISTENT ORGANIC POLLUTANTS; ROSS-ISLAND; PCBS; BAY; CONTAMINATION; HYDROCARBONS; PESTICIDES; ATMOSPHERE; SEDIMENTS; MOSSES</t>
  </si>
  <si>
    <t>The levels and distribution of polychlorinated biphenyl (PCB) congeners were analysed in fourteen soil and eight lichen (Usnea aurantiaco-atra) samples from King George Island, West Antarctica. A total of 32 PCB congeners were found in five soil samples collected in 2006, and the mean concentration of total PCBs was 20.4 pg g(-1) dry weight (range, 8.0-33.8 pg g(-1) dry weight). The most abundant PCB isomers in soil samples were di-, tri-, and penta-CBs, which accounted for more than 75% of the total residues. Twelve dioxin-like PCBs were also detected in nine soil and eight lichen samples, and the levels of dioxin-like PCBs were 5-fold higher in lichens than in soil. PCBs were detected at very low levels in most soil and lichen samples. The highest congener concentrations were found for PCB 118 (6.63 and 21.93 pg g(-1) in soil and lichen, respectively) among dioxin-like PCBs. PCB levels in air samples were highly correlated with those in soil and lichen samples, as were PCB levels in soil and lichen samples collected at the same site. Long-range atmospheric transport IS thought to be the main source of PCBs oil King George island. However, PCB levels in soil and lichen samples were also apparently influenced by local sources of PCBs.</t>
  </si>
  <si>
    <t>[Park, Hyun; Kim, Jeong-Hoon; Lim, Hyoun Soo] Korea Ocean Res &amp; Dev Inst, Korea Polar Res Inst, Inchon 406840, South Korea; [Lee, Sang-Hwan] Mine Reclamat Corp, Technol Res Ctr, Seoul 110727, South Korea; [Kim, Minkyun] Res Inst Ind Sci &amp; Technol, Pohang 790600, South Korea</t>
  </si>
  <si>
    <t>Korea Institute of Ocean Science &amp; Technology (KIOST); Korea Polar Research Institute (KOPRI); Mine Reclamation Corporation</t>
  </si>
  <si>
    <t>Park, H (corresponding author), Korea Ocean Res &amp; Dev Inst, Korea Polar Res Inst, Songdo Dong 7-50, Inchon 406840, South Korea.</t>
  </si>
  <si>
    <t>tracker@kopri.re.kr</t>
  </si>
  <si>
    <t>Lim, Hyoun Soo/AAC-5499-2022</t>
  </si>
  <si>
    <t>Lim, Hyoun Soo/0000-0002-2489-4470; Park, Hyun/0000-0002-8055-2010</t>
  </si>
  <si>
    <t>Korea Polar Research Institute [PE09110, PE09040, PE09010]</t>
  </si>
  <si>
    <t>Korea Polar Research Institute(Korea Polar Research Institute of Marine Research Placement (KOPRI))</t>
  </si>
  <si>
    <t>This study was supported by the Korea Polar Research Institute (grants PE09110, PE09040, and PE09010). We are grateful to Professor Yong II Lee and Dr Jae II Lee for their help with field work. The critical reviews of two anonymous reviewers were greatly appreciated.</t>
  </si>
  <si>
    <t>10.1017/S0954102009990472</t>
  </si>
  <si>
    <t>WOS:000274868100006</t>
  </si>
  <si>
    <t>Jones, MGW; Ryan, PG</t>
  </si>
  <si>
    <t>Jones, M. G. W.; Ryan, P. G.</t>
  </si>
  <si>
    <t>Evidence of mouse attacks on albatross chicks on sub-Antarctic Marion Island</t>
  </si>
  <si>
    <t>alien species; conservation; Diomedea exulans; Mus musculus; Phoebetria fusca</t>
  </si>
  <si>
    <t>GOUGH ISLAND; MICE; BIOLOGY; OCEAN</t>
  </si>
  <si>
    <t>Introduced house mice Mus musculus have recently been discovered to be significant predators of chicks of Tristan albatrosses Diomedea dabbenena and several burrowing petrels at Gough Island. We summarize evidence for mouse attacks on albatross chicks at sub-Antarctic Marion Island, where mice are also the only introduced mammal following the eradication of feral cats Felis canis in the early 1990s. Wounds consistent with mouse attacks have been found on wandering albatrosses Diomedea exulans since 2003 and dark-mantled sooty albatrosses Phoebetria fusca in 2009. To date, attacks on wandering albatross chicks have been infrequent, affecting &lt; 1% of chicks in Study colonies, and only about half of the attacks have been fatal. Small chicks may also die when mouse burrows collapse under chicks, trapping them. Mouse attacks appear to be a recent phenomenon, supporting the contention that mice pose a significant threat when they are the only introduced mammal species. Ongoing monitoring is needed to assess whether the impacts of mice increase over time. Our observations add impetus to calls for the eradication of mice from Marion Island.</t>
  </si>
  <si>
    <t>[Jones, M. G. W.; Ryan, P. G.] Univ Cape Town, DST NRF Ctr Excellence, Percy Fitzpatrick Inst African Ornithol, ZA-7701 Rondebosch, South Africa</t>
  </si>
  <si>
    <t>National Research Foundation - South Africa; University of Cape Town</t>
  </si>
  <si>
    <t>Jones, MGW (corresponding author), Univ Cape Town, DST NRF Ctr Excellence, Percy Fitzpatrick Inst African Ornithol, ZA-7701 Rondebosch, South Africa.</t>
  </si>
  <si>
    <t>MGenevieveWJones@gmail.com</t>
  </si>
  <si>
    <t>Ryan, Peter/0000-0002-3356-2056</t>
  </si>
  <si>
    <t>South African National Antarctic Programme through the National Research Foundation</t>
  </si>
  <si>
    <t>We thank Bo Bonnevie, Linda Clokie, Nico de Bruyn, Quentin Hagens, Henk Louw, Edith Mertz, Cornelia Niewenhuys, Samantha Petersen, Cheryl Tosh and Paul Visser, for their observations. Research on Marion Island is supported by the South African National Antarctic Programme through the National Research Foundation, with logistical support from the Directorate: Antarctica and Islands of the former Department of Environmental Affairs and Tourism.</t>
  </si>
  <si>
    <t>10.1017/S0954102009990459</t>
  </si>
  <si>
    <t>WOS:000274868100007</t>
  </si>
  <si>
    <t>Banks, JC; Ross, PM; Smith, TE</t>
  </si>
  <si>
    <t>Banks, Jonathan C.; Ross, Philip M.; Smith, Tracy E.</t>
  </si>
  <si>
    <t>Report of a mummified leopard seal carcass in the southern Dry Valleys, McMurdo Sound, Antarctica</t>
  </si>
  <si>
    <t>CRABEATER SEAL</t>
  </si>
  <si>
    <t>[Banks, Jonathan C.; Ross, Philip M.] Univ Waikato, Dept Biol Sci, Hamilton 3240, New Zealand; [Smith, Tracy E.] Colorado State Univ, Dept Biol, Ft Collins, CO 80523 USA</t>
  </si>
  <si>
    <t>University of Waikato; Colorado State University</t>
  </si>
  <si>
    <t>Banks, JC (corresponding author), Univ Waikato, Dept Biol Sci, Private Bag 3150, Hamilton 3240, New Zealand.</t>
  </si>
  <si>
    <t>jbanks@waikato.ac.nz</t>
  </si>
  <si>
    <t>Banks, Jonathan C/B-9767-2008</t>
  </si>
  <si>
    <t>Banks, Jonathan/0000-0001-9174-2779</t>
  </si>
  <si>
    <t>Foundation for Research Science and Technology [UOWX0701]; University of Waikato Vice Chancellor's fund; Antarctica New Zealand</t>
  </si>
  <si>
    <t>Foundation for Research Science and Technology(New Zealand Foundation for Research, Science and Technology); University of Waikato Vice Chancellor's fund; Antarctica New Zealand</t>
  </si>
  <si>
    <t>Our research in the southern Dry Valleys was part of the International Polar Year project, Understanding, Valuing and Protecting Antarctica's Unique Terrestrial Ecosystem: Predicting Biocomplexity in Dry Valley Ecosystems and was supported by the Foundation for Research Science and Technology (UOWX0701), The University of Waikato Vice Chancellor's fund and Antarctica New Zealand. We thank Ian Hogg for helpful comments on this manuscript.</t>
  </si>
  <si>
    <t>10.1017/S0954102009990368</t>
  </si>
  <si>
    <t>WOS:000274868100008</t>
  </si>
  <si>
    <t>Adlam, LS; Balks, MR; Seybold, CA; Campbell, DI</t>
  </si>
  <si>
    <t>Adlam, Leah S.; Balks, Megan R.; Seybold, Cathy A.; Campbell, David I.</t>
  </si>
  <si>
    <t>Temporal and spatial variation in active layer depth in the McMurdo Sound Region, Antarctica</t>
  </si>
  <si>
    <t>active layer prediction; altitudinal gradient; Cryosol; Gelisol; latitudinal gradient; permafrost; soil temperature</t>
  </si>
  <si>
    <t>DRY VALLEYS; PERMAFROST; TEMPERATURE; CRYOSOLS; DYNAMICS; GRADIENT; REGIMES; CLIMATE; IMPACT; ICE</t>
  </si>
  <si>
    <t>A soil climate monitoring network, consisting of seven automated weather stations, was established between 1999 and 2003, ranging from Minna Bluff to Granite Harbour and from near sea level to about 1700 m on the edge of the polar plateau. Active layer depth was calculated for each site for eight successive summers from 1999/2000 to 2006/2007. The active layer depth varied from year to year and was deepest in the warm summer of 2001-02 at all recording sites. No trends of overall increase or decrease in active layer depth were evident across the UP-to-eight years of data investigated. Average active layer depth decreased with increasing latitude from Granite Harbour (77 degrees S, active layer depth of &gt; 90 cm) to Minna Bluff (78.5 degrees S, active layer depth of 22 +/- 0.4 cm), and decreased with increasing altitude from Marble Point (50 m altitude, active layer depth of 49 +/- 9 cm) through to Mount Fleming (1700 m altitude, active layer depth of 6 +/- 2 cm). When all data from the sites were grouped together and used to predict active layer depth the mean summer air temperature, mean winter air temperature, total summer solar radiation and mean summer wind speed explained 73% of the variation (R-2 = 0.73).</t>
  </si>
  <si>
    <t>[Adlam, Leah S.; Balks, Megan R.; Campbell, David I.] Univ Waikato, Dept Earth &amp; Ocean Sci, Hamilton, New Zealand; [Seybold, Cathy A.] Natl Resource Conservat Serv, USDA, Lincoln, NE 68508 USA</t>
  </si>
  <si>
    <t>University of Waikato; United States Department of Agriculture (USDA)</t>
  </si>
  <si>
    <t>Adlam, LS (corresponding author), Univ Waikato, Dept Earth &amp; Ocean Sci, Private Bag 3105, Hamilton, New Zealand.</t>
  </si>
  <si>
    <t>m.balks@waikato.ac.nz</t>
  </si>
  <si>
    <t>Campbell, Dave I/F-2786-2011</t>
  </si>
  <si>
    <t>Seybold, Cathy/0000-0001-7968-3366</t>
  </si>
  <si>
    <t>New Zealand Foundation for Research Science and Technology (FRST) [C09X0307]</t>
  </si>
  <si>
    <t>New Zealand Foundation for Research Science and Technology (FRST)(New Zealand Foundation for Research, Science and Technology)</t>
  </si>
  <si>
    <t>This research was partially funded by The New Zealand Foundation for Research Science and Technology, (FRST grant C09X0307) and logistic Support was provided by Antarctica New Zealand. Thanks to John Kimble, Ron Paetzold, Don Huffman, Iain Campbell. Jackie Aislabie and Deb Harms who have all assisted with Initial climate station establishment and maintenance. Thanks also to Professor Ray Littler of the Statistics Department (University of Waikato) for assistance with statistical advice and analysis. Funding assistance for Leah Adlam from Education New Zealand facilitated collaboration oil this paper between the University of Waikato and the USDA-NRCS in Lincoln, Nebraska. Thanks to the referees for helpful comments that led to improvements in the final paper.</t>
  </si>
  <si>
    <t>10.1017/S0954102009990460</t>
  </si>
  <si>
    <t>WOS:000274868100009</t>
  </si>
  <si>
    <t>Colhoun, EA; Kiernan, KW; McConnell, A; Quilty, PG; Fink, D; Murray-Wallace, CV; Whitehead, J</t>
  </si>
  <si>
    <t>Colhoun, Eric A.; Kiernan, Kevin W.; McConnell, Anne; Quilty, Patrick G.; Fink, David; Murray-Wallace, Colin V.; Whitehead, Jason</t>
  </si>
  <si>
    <t>Late Pliocene age of glacial deposits at Heidemann Valley, East Antarctica: evidence for the last major glaciation in the Vestfold Hills</t>
  </si>
  <si>
    <t>amino acid racemization dating; diatoms; foraminifera; magnetic polarity; origin; Sorsdal Glacier; trench excavation</t>
  </si>
  <si>
    <t>LARSEMANN HILLS; SORSDAL FORMATION; BUNGER HILLS; DEGLACIATION; STRATIGRAPHY; RADIOCARBON; QUATERNARY</t>
  </si>
  <si>
    <t>A Pliocene (2.6-3.5 Ma) age is determined from glacial sediments Studied in a 20 m long, 4 m deep trench excavated in Heidemann Valley, Vestfold Hills, East Antarctica. The age determination is based on a combined study of amino acid racemization, diatoms, foraminifera, and magnetic polarity, and Supports earlier estimates of the age of the sedimentary section; all are beyond C-14 range. Four till units are recognized and documented, and 16 Subunits are identified. All are ascribed to deposition during a Late Pliocene glaciation that was probably the last time the entire Vestfold Hills was covered by an enlarged East Antarctic lee Sheet (EAIS). Evidence for other more recent glacial events of the 'Vestfold Glaciation' may have been due to lateral expansion of the Sorsdal Glacier and limited expansion of the icesheet margin during the Last Glacial Maximum rather than a major expansion of the EAIS. The deposit appears to correlate with a marine deposition event recorded in Ocean Drilling Program Site 1166 in Prydz Bay, possibly with the Bardin Bluffs Formation of the Prince Charles Mountains and with part of the time represented in the ANDRILL AND-IB core in the Ross Sea.</t>
  </si>
  <si>
    <t>[Quilty, Patrick G.] Univ Tasmania, Sch Earth Sci, Hobart, Tas 7001, Australia; [Colhoun, Eric A.] Univ Newcastle, Sch Environm &amp; Life Sci, Callaghan, NSW 2308, Australia; [Kiernan, Kevin W.; McConnell, Anne] Univ Tasmania, Sch Geog &amp; Environm Studies, Hobart, Tas 7001, Australia; [Fink, David] Australian Nucl Sci &amp; Technol Org, Inst Environm Res, Menai, NSW 2234, Australia; [Murray-Wallace, Colin V.] Univ Wollongong, Sch Earth &amp; Environm Sci, Wollongong, NSW 2522, Australia; [Whitehead, Jason] Univ Tasmania, Inst Antarctic &amp; So Ocean Studies, Hobart, Tas 7001, Australia</t>
  </si>
  <si>
    <t>University of Tasmania; University of Newcastle; University of Tasmania; Australian Nuclear Science &amp; Technology Organisation; University of Wollongong; University of Tasmania</t>
  </si>
  <si>
    <t>p.quilty@utas.edu.au</t>
  </si>
  <si>
    <t>fink, David/A-9518-2012; Murray-Wallace, Colin V/U-5338-2017</t>
  </si>
  <si>
    <t>fink, David/0000-0001-7156-4602; Murray-Wallace, Colin/0000-0002-3029-9141</t>
  </si>
  <si>
    <t>AINSE [98/147R]</t>
  </si>
  <si>
    <t>AINSE</t>
  </si>
  <si>
    <t>We thank the Australian Antarctic Division for logistic Support (transport, accommodation and field assistance) in conducting this study. Mr Chris Dever of the School of Environmental and Life Sciences, University of Newcastle conducted the physical and chemical analyses of sediments in Tables I &amp; II. Dr C. Barton of Geoscience Australia made available the palaeomagnetism laboratory of that organization and discussed the results with PGQ; Mr P. Percival conducted the analyses. June Pongratz of the School of Earth Sciences, University of Tasmania assisted in finalising illustrative material. AINSE grant 98/147R funded the AMS work. Dr Dan Mantle of Geoscience Australia arranged for the processing of palynology samples. The paper benefited from reviews by Drs, B. Diekmann and P.T. Doran.</t>
  </si>
  <si>
    <t>10.1017/S0954102009990526</t>
  </si>
  <si>
    <t>WOS:000274868100010</t>
  </si>
  <si>
    <t>Barbeau, DL; Davis, JT; Murray, KE; Valencia, V; Gehrels, GE; Zahid, KM; Gombosi, DJ</t>
  </si>
  <si>
    <t>Barbeau, David L., Jr.; Davis, Justin T.; Murray, Kendra E.; Valencia, Victor; Gehrels, George E.; Zahid, Khandaker M.; Gombosi, David J.</t>
  </si>
  <si>
    <t>Detrital-zircon geochronology of the metasedimentary rocks of north-western Graham Land</t>
  </si>
  <si>
    <t>Botany Bay Group; Gondwana; Mount Flora Formation; sediment provenance; Trinity Peninsula Group</t>
  </si>
  <si>
    <t>MIERS BLUFF FORMATION; ANTARCTIC PENINSULA; LIVINGSTON-ISLAND; SILICIC VOLCANISM; SHEAR ZONE; AGE; GONDWANA; PROVENANCE; MAGMATISM; GEOCHEMISTRY</t>
  </si>
  <si>
    <t>Metasedimentary rocks constitute an important but comparatively poorly understood part of the Antarctic Peninsula. Herein we report single-grain U-Pb detrital-zircon ages from samples of the Trinity Peninsula and Botany Bay Groups of north-western Graham Land. All studied samples are dominated by a large and narrowly defined population of late Palaeozoic zircons. Significant early-middle Palaeozoic and minor Neoproterozoic and Mesoproterozoic sub-populations constitute the majority of pre-Carboniferous grains. These detrital-zircon age Populations are consistent with sediment derivation entirely from western Gondwana sources. Despite the clear Gondwana signatures, our data Suggest that the Trinity Peninsula Group province was either a parautochthonous peri-Gondwanan terrane later accreted to the Antarctic Peninsula, or a significant topographic barrier precluded Voluminous sediment contributions from the interior of Gondwana. Statistical comparisons with similar metasedimentary complexes of southern South America, the South Shetland Islands and eastern New Zealand indicate a diversity of sediment provenance not previously recognized, but may provide a means to better determine the pre-break-up configuration Of western Gondwana. Although insufficient to definitively restore Antarctic Peninsula components adjacent to South American complexes, some Trinity Peninsula Group samples exhibit robust affinities to the Miers Bluff Formation in the South Shetland Islands and the Duque de York and Main Range Metamorphic Complexes of the Patagonian Andes.</t>
  </si>
  <si>
    <t>[Barbeau, David L., Jr.; Davis, Justin T.; Zahid, Khandaker M.; Gombosi, David J.] Univ S Carolina, Dept Earth &amp; Ocean Sci, Tecton &amp; Sedimentat Lab, Columbia, SC 29208 USA; [Murray, Kendra E.; Valencia, Victor; Gehrels, George E.] Univ Arizona, Dept Geosci, Arizona LaserChron Ctr, Tucson, AZ 85721 USA</t>
  </si>
  <si>
    <t>University of South Carolina System; University of South Carolina Columbia; University of Arizona</t>
  </si>
  <si>
    <t>Barbeau, DL (corresponding author), Univ S Carolina, Dept Earth &amp; Ocean Sci, Tecton &amp; Sedimentat Lab, Columbia, SC 29208 USA.</t>
  </si>
  <si>
    <t>dbarbeau@geol.sc.edu</t>
  </si>
  <si>
    <t>Davis, Justin/ITV-7226-2023; Zahid, Khandaker M/B-3800-2011</t>
  </si>
  <si>
    <t>Murray, Kendra/0000-0003-4008-1645</t>
  </si>
  <si>
    <t>National Science Foundation Office of Polar Programs [ANT-0732995]; NSF [EAR-0732436]; Directorate For Geosciences; Division Of Earth Sciences [0732436] Funding Source: National Science Foundation</t>
  </si>
  <si>
    <t>National Science Foundation Office of Polar Programs(National Science Foundation (NSF)NSF - Directorate for Geosciences (GEO)); NSF(National Science Foundation (NSF)); Directorate For Geosciences; Division Of Earth Sciences(National Science Foundation (NSF)NSF - Directorate for Geosciences (GEO))</t>
  </si>
  <si>
    <t>This research was primarily supported by International Polar Year grant ANT-0732995 to DLB from the National Science Foundation Office of Polar Programs. Additional funding came from NSF grant EAR-0732436 to GG. The United States Antarctic Program, Edison Choest Offshore and Raytheon Polar Services Company provided logistical support under the direction of J. Evans, S. Flanagan and H. Baker; W. Guenthner, B. Kliesen, D. Ellsberg, C. Denker, M. King and T. Koffman provided field assistance; A. Brown, S. Herron and C. Boutwell provided sample preparation assistance; M. Baker provided instrument support at the Arizona LaserChron Center; J. Guynn provided K-S analytical software and A.P.M. Vaughan provided valuable insight into the regional geology of the Antarctic Peninsula. Constructive reviews by M. Flowerdew, P. Leat and A.P.M. Vaughan significantly improved the quality of the manuscript. DLB devised and acquired funding for the project. DLB, KEM and DJG conducted field sampling. JD supervised sample preparation. VV and GG supervised sample analysis by KEM and JD. DLB interpreted the results and wrote the manuscript with editorial and interpretive contributions from all co-authors. DJG assisted with K-S statistics and interpretations.</t>
  </si>
  <si>
    <t>10.1017/S095410200999054X</t>
  </si>
  <si>
    <t>WOS:000274868100011</t>
  </si>
  <si>
    <t>Pattyn, F; Matsuoka, K; Berte, J</t>
  </si>
  <si>
    <t>Pattyn, Frank; Matsuoka, Kenichi; Berte, Johan</t>
  </si>
  <si>
    <t>Glacio-meteorological conditions in the vicinity of the Belgian Princess Elisabeth Station, Antarctica</t>
  </si>
  <si>
    <t>glaciology; ice dynamics; mass balance; meteorology</t>
  </si>
  <si>
    <t>ICE-SHEET; CLIMATE; RADAR; MODEL</t>
  </si>
  <si>
    <t>During two consecutive reconnaissance Surveys in 2004 and 2005 and a revisit in 2008, the glaciological and meteorological conditions in the vicinity of the new Belgian Princess Elisabeth Station (71 degrees 57'S; 23 degrees 20'E) on Utsteinen Ridge were investigated. We Set up an automatic weather station. measured the ice thickness around the Utsteinen Ridge, and established a mass balance stake network. These baseline investigations show that Utsteinen Ridge is a relatively sheltered spot from the main katabatic winds. Furthermore, winter temperature conditions are rather mild, confirming the coreless winter conditions of the Antarctic ice sheet. Mass balance is generally low (near zero) with a small accumulation to the cast and relatively little ablation to the west of Utsteinen Ridge. Ice flow in the vicinity of the station is also minimal,. since the Sor Rondane Mountains upstream of the station block most of the ice flow, a feature that is most apparent in the area where the station is situated. Measurements of the surface topography separated by four-years show that the construction of the station seems to have a limited effect oil the redistribution of snow around it. In view of the sheltered and safe ice conditions, the area is an ideal place for deploying field activities.</t>
  </si>
  <si>
    <t>[Pattyn, Frank] Univ Libre Bruxelles, Dept Sci Terre &amp; Environm, Lab Glaciol, B-1050 Brussels, Belgium; [Matsuoka, Kenichi] Univ Washington, Dept Earth &amp; Space Sci, Seattle, WA 98195 USA; [Berte, Johan] Int Polar Fdn, B-1070 Brussels, Belgium</t>
  </si>
  <si>
    <t>Universite Libre de Bruxelles; University of Washington; University of Washington Seattle</t>
  </si>
  <si>
    <t>Pattyn, F (corresponding author), Univ Libre Bruxelles, Dept Sci Terre &amp; Environm, Lab Glaciol, CP 160-03,Ave FD Roosevelt 50, B-1050 Brussels, Belgium.</t>
  </si>
  <si>
    <t>fpattyn@ulb.ac.be</t>
  </si>
  <si>
    <t>Pattyn, Frank/AAA-9640-2019; Matsuoka, Kenichi/B-7298-2017</t>
  </si>
  <si>
    <t>Pattyn, Frank/0000-0003-4805-5636; Matsuoka, Kenichi/0000-0002-3587-3405</t>
  </si>
  <si>
    <t>Belgian Ice Sheet Shell' Ice Measurements in Antarctica (BELISSIMA) [EA/11/3A]; University of Washington Royalty Research Fund [4208]</t>
  </si>
  <si>
    <t>Belgian Ice Sheet Shell' Ice Measurements in Antarctica (BELISSIMA); University of Washington Royalty Research Fund(University of Washington)</t>
  </si>
  <si>
    <t>This paper forms a contribution to the Belgian Research Programme on the Antarctic (Belgian Federal Science Policy Office), Project no. EA/11/3A 'Belgian Ice Sheet Shell' Ice Measurements in Antarctica (BELISSIMA)'. K.M. was partly supported by a University of Washington Royalty Research Fund (project #4208). The authors are indebted to Alain Hubert, Nathalie Pattyn and Maaike Vancauwenberghe for their valuable assistance with field measurements. The authors wish to thank Christina Hulbe and an anonymous referee for their remarks that considerably improved the manuscript.</t>
  </si>
  <si>
    <t>10.1017/S0954102009990344</t>
  </si>
  <si>
    <t>WOS:000274868100012</t>
  </si>
  <si>
    <t>Van den Broeke, M; König-Langlo, G; Picard, G; Munneke, PK; Lenaerts, J</t>
  </si>
  <si>
    <t>Van Den Broeke, Michiel; Koenig-Langlo, Gert; Picard, Ghislain; Munneke, Peter Kuipers; Lenaerts, Jan</t>
  </si>
  <si>
    <t>Surface energy balance, melt and sublimation at Neumayer Station, East Antarctica</t>
  </si>
  <si>
    <t>solar radiation; snowpack; surface temperatures</t>
  </si>
  <si>
    <t>BLOWING SNOW; MICROWAVE RADIOMETERS; MASS-BALANCE; ICE SHELF; ACCUMULATION; PENINSULA</t>
  </si>
  <si>
    <t>A surface energy balance model is forced by 13 years of high-quality hourly observations from the Antarctic coastal station Neumayer. The model accurately reproduces observed Surface temperatures. Surface sublimation is significant in summer, when absorbed solar radiation heats the surface Including a first order estimate of snowdrift sublimation in the calculation more than triples the total Sublimation, removing 19% of the solid precipitation, indicating that snowdrift sublimation is potentially important for the mass balance of Antarctic ice shelves. Surface melt occurs at Neumayer in all summers, but all the meltwater refreezes. In two-thirds of the cases, the refreezing is quasi-instantaneous (within the model timestep of 6 min), so that no liquid water remains in the snow. For all other events, the occurrence Of liquid water in the snowpack at Neumayer agrees well with satellite-based liquid water detection.</t>
  </si>
  <si>
    <t>[Van Den Broeke, Michiel; Munneke, Peter Kuipers; Lenaerts, Jan] Univ Utrecht, Inst Marine &amp; Atmospher Res Utrecht, NL-3508 TC Utrecht, Netherlands; [Koenig-Langlo, Gert] Alfred Wegener Inst Polar &amp; Marine Res, D-2850 Bremerhaven, Germany; [Picard, Ghislain] Lab Glaciol &amp; Geophys Environm, Grenoble, France</t>
  </si>
  <si>
    <t>Utrecht University; Helmholtz Association; Alfred Wegener Institute, Helmholtz Centre for Polar &amp; Marine Research; Communaute Universite Grenoble Alpes; Universite Grenoble Alpes (UGA)</t>
  </si>
  <si>
    <t>Van den Broeke, M (corresponding author), Univ Utrecht, Inst Marine &amp; Atmospher Res Utrecht, NL-3508 TC Utrecht, Netherlands.</t>
  </si>
  <si>
    <t>m.r.vandenbroeke@uu.nl</t>
  </si>
  <si>
    <t>Picard, Ghislain/D-4246-2013; Van den Broeke, Michiel R./F-7867-2011; Lenaerts, Jan/D-9423-2012; Konig-Langlo, Gert/K-5048-2012</t>
  </si>
  <si>
    <t>Picard, Ghislain/0000-0003-1475-5853; Van den Broeke, Michiel R./0000-0003-4662-7565; Lenaerts, Jan/0000-0003-4309-4011; Konig-Langlo, Gert/0000-0002-6100-4107; Kuipers Munneke, Peter/0000-0001-5555-3831</t>
  </si>
  <si>
    <t>10.1017/S0954102009990538</t>
  </si>
  <si>
    <t>WOS:000274868100013</t>
  </si>
  <si>
    <t>Fogliano, V; Andreoli, C; Martello, A; Caiazzo, M; Lobosco, O; Formisano, F; Carlino, PA; Meca, G; Graziani, G; Rigano, VD; Vona, V; Carfagna, S; Rigano, C</t>
  </si>
  <si>
    <t>Fogliano, Vincenzo; Andreoli, Carlo; Martello, Anna; Caiazzo, Marianna; Lobosco, Ornella; Formisano, Fabio; Carlino, Pier Antimo; Meca, Giuseppe; Graziani, Giulia; Rigano, Vittoria Di Martino; Vona, Vincenza; Carfagna, Simona; Rigano, Carmelo</t>
  </si>
  <si>
    <t>Functional ingredients produced by culture of Koliella antarctica</t>
  </si>
  <si>
    <t>AQUACULTURE</t>
  </si>
  <si>
    <t>Koliella antarctica; Lutein; Astaxanthin; Carotenoids; EPA; DHA; Omega-3</t>
  </si>
  <si>
    <t>FATTY-ACID COMPOSITION; HAEMATOCOCCUS-PLUVIALIS; DOCOSAHEXAENOIC ACID; OMEGA-3-FATTY-ACID PRODUCTION; BIOCHEMICAL-COMPOSITION; CRYPTHECODINIUM-COHNII; CHLORELLA-SOROKINIANA; CAROTENOID CONTENT; GREEN-ALGAE; MICROALGAE</t>
  </si>
  <si>
    <t>Unicellular algae represent an interesting source of bioactive food ingredients. In this study, fatty acids and carotenoids of Koliella antarctica, a psychrophylic Antarctic unicellular alga, were investigated. K. antarctica was cultivated at different temperatures and harvested at the early exponential growth phase and at the late exponential growth phase. After 240 h, at the end of the late exponential growth phase, the cell biomass concentration was 1.1 g L-1 at 10 degrees C while it was 2.2 g L-1 at 15 degrees C. The lipid profile of K. antarctica was rich in polyunsaturated fatty acids (PUFA) particularly at the early exponential phase (50.8% of total fatty acids). The comparison of data obtained from algae cultivated at 10 degrees C and 15 degrees C, showed at 15 degrees C a strong increase in saturated lipids and a decrease in PUFA. At the same time the presence of EPA and DHA was marginally affected, with a percentage decrease around 15-20%. The productivity of EPA and DHA was similar at the two growth temperatures with maximum values of 0.6 mg L-1 day(-1) and 1.3 mg L-1 day(-1), at 10 and 15 degrees C, respectively. In K. antarctica cultures, the concentration of lutein and astaxanthin increased during growth up to 1.4 g per 100 g dry weight for both compounds. This is one of the highest concentrations reported in the literature for carotenoid production by unicellular algae, with a total carotenoid productivity of 3.1 mg L-1 day(-1). Although optimization studies to increase K. antarctica biomass production were not yet carried out, data suggested that this alga is a promising source for low cost production of valuable bioactive compounds. The performance recorded at 15 degrees C suggested that it could be particularly suitable for outdoor cultivation during the winter season in the Mediterranean region. (C) 2009 Elsevier B.V. All rights reserved.</t>
  </si>
  <si>
    <t>[Fogliano, Vincenzo] Univ Naples Federico II, Fac Agr, CRIAcq, I-80055 Portici, Italy; [Caiazzo, Marianna; Lobosco, Ornella; Rigano, Vittoria Di Martino; Vona, Vincenza; Carfagna, Simona; Rigano, Carmelo] Univ Naples Federico II, Dipartimento Sci Biol, I-80055 Portici, Italy; [Andreoli, Carlo] Univ Padua, Dipartimento Biol, I-35100 Padua, Italy</t>
  </si>
  <si>
    <t>University of Naples Federico II; University of Naples Federico II; University of Padua</t>
  </si>
  <si>
    <t>Fogliano, V (corresponding author), Univ Naples Federico II, Fac Agr, CRIAcq, Parco Gussone 84, I-80055 Portici, Italy.</t>
  </si>
  <si>
    <t>fogliano@unina.it</t>
  </si>
  <si>
    <t>Graziani, Giulia/AAN-4828-2020; fogliano, vincenzo/W-6885-2019; fogliano, vincenzo/A-1419-2009; Fogliano, Vincenzo/M-8166-2019; Meca, Giuseppe/M-9554-2014</t>
  </si>
  <si>
    <t>Graziani, Giulia/0000-0003-3070-5389; fogliano, vincenzo/0000-0001-8786-9355; fogliano, vincenzo/0000-0001-8786-9355; Meca, Giuseppe/0000-0002-8067-0009; Meca, Giuseppe/0000-0001-6467-7908; CARFAGNA, Simona/0000-0002-9862-1280</t>
  </si>
  <si>
    <t>POR; Regione Campania; Italian National Program of Antarctic Research</t>
  </si>
  <si>
    <t>POR; Regione Campania(Regione Campania); Italian National Program of Antarctic Research</t>
  </si>
  <si>
    <t>This work was supported by a grant from POR 2000-2006 and by a project on functional foods both from Regione Campania, and by the Italian National Program of Antarctic Research (P.N.R.A.).</t>
  </si>
  <si>
    <t>0044-8486</t>
  </si>
  <si>
    <t>1873-5622</t>
  </si>
  <si>
    <t>Aquaculture</t>
  </si>
  <si>
    <t>10.1016/j.aquaculture.2009.11.008</t>
  </si>
  <si>
    <t>562EW</t>
  </si>
  <si>
    <t>WOS:000275033500016</t>
  </si>
  <si>
    <t>Celi, L; Rosso, F; Freppaz, M; Agnelli, A; Zanini, E</t>
  </si>
  <si>
    <t>Celi, Luisella; Rosso, Fulvia; Freppaz, Michele; Agnelli, Alberto; Zanini, Ermanno</t>
  </si>
  <si>
    <t>Soil Organic Matter Characteristics in Sporadic Permafrost-affected Environment (Creux du Van, Switzerland)</t>
  </si>
  <si>
    <t>ARCTIC ANTARCTIC AND ALPINE RESEARCH</t>
  </si>
  <si>
    <t>NUCLEAR-MAGNETIC-RESONANCE; MICROBIAL BIOMASS; CARBON STORAGE; TUNDRA SOILS; HUMIC SUBSTANCES; TEMPERATURE; NITROGEN; QUALITY; FOREST; MINERALIZATION</t>
  </si>
  <si>
    <t>In permafrost-affected sites, soil forming processes appear to be closely connected with organic matter (OM) accumulation. In this work OM composition and nutrient availability has been evaluated in a frost-affected soil located at 1200 m a.s.l. in Creux du Van (Switzerland), where patches of stunted Norway spruce trees adjacent to tall trees have been ascribed to the presence of sporadic alpine permafrost. Soil samples were collected under the stunted forest and in the adjacent tall forest and characterized for their chemical and physical characteristics. The main C and N forms have been determined and characterized. Under the stunted forest the soil samples showed a high total organic C/total N (TOC/TN) ratio and scarce microbial activity; humification processes were limited and humic acids revealed little oxidation, scarce incorporation of N-containing moieties, and high enrichment of lipids. C-14 dating revealed the presence in the bulk samples of young organic material mixed with relatively old humic acids, probably due to cryoturbation processes. These latter processes appeared also responsible for the arrival of fresh litter material from Oi and Oe horizons into the Oa horizon of the stunted forest and for the consequent genesis of humic substances from a mix of old and fresh residues. From our findings there seems to exist a reciprocal influence of vegetation quality on the OM composition, and of OM decomposition on nutrition, as driven by the microclimatic conditions and physical processes, which in turn may contribute to keep the soil at an unstable developmental stage and limit the spruce growth.</t>
  </si>
  <si>
    <t>[Celi, Luisella; Rosso, Fulvia; Freppaz, Michele; Zanini, Ermanno] Univ Turin, DIVAPRA, I-10095 Grugliasco, TO, Italy; [Agnelli, Alberto] Univ Perugia, Dipartimento Sci Agr &amp; Ambientali, I-06121 Perugia, Italy</t>
  </si>
  <si>
    <t>University of Turin; University of Perugia</t>
  </si>
  <si>
    <t>Celi, L (corresponding author), Univ Turin, DIVAPRA, Via Leonardo da Vinci 44, I-10095 Grugliasco, TO, Italy.</t>
  </si>
  <si>
    <t>luisella.celi@unito.it</t>
  </si>
  <si>
    <t>CELI, Luisella Roberta/0000-0002-2365-3317; Agnelli, Alberto/0000-0002-2236-9103</t>
  </si>
  <si>
    <t>1523-0430</t>
  </si>
  <si>
    <t>1938-4246</t>
  </si>
  <si>
    <t>ARCT ANTARCT ALP RES</t>
  </si>
  <si>
    <t>Arct. Antarct. Alp. Res.</t>
  </si>
  <si>
    <t>10.1657/1938-4246-42.1.1</t>
  </si>
  <si>
    <t>Environmental Sciences; Geography, Physical</t>
  </si>
  <si>
    <t>568XW</t>
  </si>
  <si>
    <t>WOS:000275560500001</t>
  </si>
  <si>
    <t>Cook, TL; Bradley, RS</t>
  </si>
  <si>
    <t>Cook, Timothy L.; Bradley, Raymond S.</t>
  </si>
  <si>
    <t>An Analysis of Past and Future Changes in the Ice Cover of Two High-Arctic Lakes Based on Synthetic Aperture Radar (SAR) and Landsat Imagery</t>
  </si>
  <si>
    <t>ELLESMERE-ISLAND; CLIMATE; TEMPERATURE; SEDIMENTS; RECORD; MODEL; SNOW</t>
  </si>
  <si>
    <t>Space-borne remotely sensed data can provide valuable insight into cryospheric processes in remote high-latitude regions For which direct observations are limited. In this study we use synthetic aperture radar (SAR) and Landsat imagery to evaluate recent changes in the ice cover of Upper and Lower Murray Lakes (81 degrees 20' N, 69 degrees 30' W) on Ellesmere Island, Nunavut, Canada. These data highlight changes in ice conditions that have occurred over the past decade and provide a means for assessing the likely impacts of rising temperatures on future lake-ice conditions. Under current (1997-2007) climatic conditions the Murray Lakes average several weeks of ice-free conditions in August and early September, although in some years a partial ice cover persists throughout the year. The observed relationship between summer temperature and ice melt at Upper and Lower Murray Lakes suggests that recent warming in the High Arctic has forced the lakes near a threshold from a state characterized by perennial ice cover to the current state that includes seasonal melting of lake ice. Projected future warming will significantly increase the duration of ice free conditions on Upper and Lower Murray Lakes, with ice-out predicted to occur 13.5 +/- 4.0 and 17.6 +/- 5.6 days earlier, respectively, for every 1 degrees C increase in mean June July temperature.</t>
  </si>
  <si>
    <t>[Cook, Timothy L.; Bradley, Raymond S.] Univ Massachusetts, Climate Syst Res Ctr, Dept Geosci, Amherst, MA 01002 USA</t>
  </si>
  <si>
    <t>University of Massachusetts System; University of Massachusetts Amherst</t>
  </si>
  <si>
    <t>Cook, TL (corresponding author), Univ Massachusetts, Climate Syst Res Ctr, Dept Geosci, 611 N Pleasant St, Amherst, MA 01002 USA.</t>
  </si>
  <si>
    <t>tcook@geo.umass.edu</t>
  </si>
  <si>
    <t>Bradley, Raymond S/P-9358-2015</t>
  </si>
  <si>
    <t>Bradley, Raymond S/0000-0002-4032-9519; Cook, Timothy/0000-0002-4982-6415</t>
  </si>
  <si>
    <t>National Science Foundation [ATM-0402421]</t>
  </si>
  <si>
    <t>This work was made possible by a Massachusetts Space Grant summer fellowship to T. Cook and National Science Foundation Grant No. ATM-0402421. We thank D. Mueller for help with SAR data and F. Keimig for processing the reanalysis temperature data. RADARSAT-1 SAR data were provided by the Alaska Satellite Facility at the University of Alaska Fairbanks. Landsat imagery were provided by the U.S. Geological Survey.</t>
  </si>
  <si>
    <t>10.1657/1938-4246-42.1.9</t>
  </si>
  <si>
    <t>WOS:000275560500002</t>
  </si>
  <si>
    <t>Cooper, DJ; Wolf, EC; Colson, C; Vering, W; Granda, A; Meyer, M</t>
  </si>
  <si>
    <t>Cooper, David J.; Wolf, Evan C.; Colson, Christopher; Vering, Walter; Granda, Arturo; Meyer, Michael</t>
  </si>
  <si>
    <t>Alpine Peatlands of the Andes, Cajamarca, Peru</t>
  </si>
  <si>
    <t>WATER CHEMISTRY; VEGETATION; GRADIENTS</t>
  </si>
  <si>
    <t>An ecological analysis of wetlands in the high mountain jalca above 3700 m elevation in the Andes near Cajamarca. Peru, indicated that most wetlands are groundwater-supported peat-accumulating fens. The floristic composition of fen communities was controlled largely by groundwater chemistry, which was highly variable and influenced by watershed bedrock composition. Watersheds with highly mineralized rock discharged water as acidic as pH 3.7, which was high in CaSO4, while watersheds with limestone, marble, and skarn produced groundwater as basic as pH 8.2 and high in CaHCO3. Of the 125 plots sampled in 36 wetland complexes, &gt;50% of plots had at least 3 m of peat, and 21 plots had peat thicker than 7 m. Most soil horizons analyzed had 18 to 35% organic carbon, indicating high C storage. A total of 102 vascular plants, 69 bryophytes, and 10 lichens were identified. Study plots were classified using TWINSPAN into 20 plant communities, which were grouped into four broad categories by dominant life form: (1) cushion plant communities, (2) sedge- and rush-dominated communities, (3) bryophyte and lichen communities, and (4) tussock grass communities. Direct gradient analysis using canonical correspondence analysis indicated that Axis I was largely a water chemistry gradient, while Axis 2 was a complex hydrology and peat thickness gradient. Bryophytes and lichens were more strongly separated in the ordination space than vascular plants and were better indicators of specific environmental characteristics.</t>
  </si>
  <si>
    <t>[Cooper, David J.; Wolf, Evan C.] Colorado State Univ, Dept Forest Rangeland &amp; Watershed Stewardship, Ft Collins, CO 80305 USA; [Colson, Christopher; Vering, Walter] Tetra Tech Inc, Boise, ID 83706 USA; [Granda, Arturo] Univ Nacl Agr La Molina, Herbario Fac Ciencias MOL, Lima, Peru; [Meyer, Michael] Minera Yanacocha SRL, Cajamarca, Peru</t>
  </si>
  <si>
    <t>Colorado State University; University Nacional Agraria La Molina</t>
  </si>
  <si>
    <t>Cooper, DJ (corresponding author), Colorado State Univ, Dept Forest Rangeland &amp; Watershed Stewardship, Ft Collins, CO 80305 USA.</t>
  </si>
  <si>
    <t>david.cooper@colostate.edu</t>
  </si>
  <si>
    <t>; Meyer, Michael/N-7630-2017</t>
  </si>
  <si>
    <t>Wolf, Evan/0000-0002-8836-9528; Meyer, Michael/0000-0001-6006-7985; Granda-Paucar, Arturo/0000-0002-6870-0754</t>
  </si>
  <si>
    <t>10.1657/1938-4246-42.1.19</t>
  </si>
  <si>
    <t>WOS:000275560500003</t>
  </si>
  <si>
    <t>Criscitiello, AS; Kelly, MA; Tremblay, B</t>
  </si>
  <si>
    <t>Criscitiello, Alison S.; Kelly, Meredith A.; Tremblay, Bruno</t>
  </si>
  <si>
    <t>The Response of Taku and Lemon Creek Glaciers to Climate</t>
  </si>
  <si>
    <t>MASS-BALANCE; JUNEAU ICEFIELD; ALASKA; ICE; USA</t>
  </si>
  <si>
    <t>Surface height and mass balance changes of Taku and Lemon Creek Glaciers within Juneau Icefield, Alaska, are examined to determine the relationship between these parameters and climatic forcing. Both Taku and Lemon Creek Glaciers are located in a maritime climate, but they behave very differently. Taku Glacier, a former tidewater glacier, is 70 times larger than Lemon Creek Glacier, and its dynamics are largely a result of the post-tidewater glacier cycle which causes insensitivity to climate change during advance phases. Taku Glacier is advancing at present but its surface height, mass balance, and rate of advance have decreased since 1988. Lemon Creek Glacier, a small alpine glacier, is retreating and has maintained a negative mass balance since 1953. Mass balance records from both Taku and Lemon Creek Glaciers correlate well with temperature and show little correlation with precipitation. The mass balance of these glaciers also correlates with the Pacific Decadal Oscillation (PDO). However, the Lemon Creek Glacier mass balance record shows a stronger correlation with the PDO than that of Taku Glacier. Taku Glacier shows a longer delay in response to warming in Southeast Alaska likely due to post-tidewater glacier dynamics, its large accumulation area ratio (AAR), and its size.</t>
  </si>
  <si>
    <t>[Criscitiello, Alison S.] Woods Hole Oceanog Inst, Dept Geol &amp; Geophys, Woods Hole, MA 02543 USA; [Kelly, Meredith A.] Dartmouth Coll, Dept Earth Sci, Hanover, NH 03755 USA; [Tremblay, Bruno] McGill Univ, Dept Atmospher &amp; Ocean Sci, Montreal, PQ H3A 2K6, Canada; [Tremblay, Bruno] Columbia Univ, Lamont Doherty Earth Observ, Palisades, NY 10964 USA</t>
  </si>
  <si>
    <t>Woods Hole Oceanographic Institution; Dartmouth College; McGill University; Columbia University</t>
  </si>
  <si>
    <t>Criscitiello, AS (corresponding author), Woods Hole Oceanog Inst, Dept Geol &amp; Geophys, 266 Woods Hole Rd,MS 23, Woods Hole, MA 02543 USA.</t>
  </si>
  <si>
    <t>acriscitiello@whoi.edu</t>
  </si>
  <si>
    <t>Criscitiello, Alison/0000-0002-8741-709X; Kelly, Meredith/0000-0001-8163-3907</t>
  </si>
  <si>
    <t>NASA</t>
  </si>
  <si>
    <t>Special thanks to field logistics and opportunities provided by Dr. M. M. Miller (University of Idaho) and help from numerous JIRP participants. Funding was provided by grants from NASA Earth Systems Field Research Scholarship and the Lamont Climate Center.</t>
  </si>
  <si>
    <t>10.1657/1938-4246-42.1.34</t>
  </si>
  <si>
    <t>WOS:000275560500004</t>
  </si>
  <si>
    <t>Elliottt, GP; Kipfmueller, KE</t>
  </si>
  <si>
    <t>Elliottt, Grant P.; Kipfmueller, Kurt E.</t>
  </si>
  <si>
    <t>Multi-scale Influences of Slope Aspect and Spatial Pattern on Ecotonal Dynamics at Upper Treeline in the Southern Rocky Mountains, USA</t>
  </si>
  <si>
    <t>FOREST-TUNDRA ECOTONE; GLACIER NATIONAL-PARK; WESTERN NORTH-AMERICA; ALPINE-TREELINE; SEEDLING ESTABLISHMENT; LATITUDINAL VARIATION; CLIMATIC VARIABILITY; POSITIVE FEEDBACK; GLOBAL CHANGE; NIWOT RIDGE</t>
  </si>
  <si>
    <t>We focused on the mediating role of slope aspect and spatial pattern on upper treeline ecotonal dynamics at multiple spatial scales in the Southern Rocky Mountains to infer process interactions and gauge the importance of feedbacks in determining the potential response of upper treeline to climate change on contrasting south- and north-facing slopes. Dendroecological techniques were used to reconstruct tree establishment within the upper treeline ecotone and Ripley's K was used for spatial pattern analysis. Tree age was determined by using age to coring-height corrections, and the influence of slope aspect was quantitatively assessed at multiple spatial scales using Mann-Whitney U-Tests. Widespread tree establishment occurred within the treeline ecotone on both south- and north-facing slopes during the 20th century, but tree ages above timberline are significantly younger on north-facing slopes at all spatial scales (local, landscape, and regional). The spatial pattern of tree establishment above timberline was predominantly random, except for significant clustering on south-lacing slopes in the Sangre de Cristo Mountains. The aspect mediation of tree age and spatial pattern suggest that the importance of feedbacks may vary according to slope aspect and that both of these environmental factors should be considered when assessing possible treeline response to climate change.</t>
  </si>
  <si>
    <t>[Elliottt, Grant P.; Kipfmueller, Kurt E.] Univ Minnesota, Dept Geog, Minneapolis, MN 55455 USA</t>
  </si>
  <si>
    <t>University of Minnesota System; University of Minnesota Twin Cities</t>
  </si>
  <si>
    <t>Elliottt, GP (corresponding author), Univ Missouri, Dept Geog, Columbia, MO 65211 USA.</t>
  </si>
  <si>
    <t>elliottg@missouri.edu</t>
  </si>
  <si>
    <t>National Science Foundation [0826012-S08-GRS]; Association of American Geographers (AAG); AAG Biogeography Specialty Group; Graduate School at the University or Minnesota; American Alpine Club</t>
  </si>
  <si>
    <t>National Science Foundation(National Science Foundation (NSF)); Association of American Geographers (AAG); AAG Biogeography Specialty Group; Graduate School at the University or Minnesota; American Alpine Club</t>
  </si>
  <si>
    <t>Funding for this research was provided from a National Science Foundation Doctoral Dissertation Research Improvement Grant (#0826012-S08-GRS), the Association of American Geographers (AAG), AAG Biogeography Specialty Group, the Graduate School at the University or Minnesota, and the American Alpine Club. For sharing local knowledge and granting permission to conduct this research, we thank various staff members of the following U.S. National Forest Service offices: Santa Fe, Carson, San Isabel, Pike, Arapahoe, and the Canyon Lakes Ranger District of Roosevelt National Forest. For assistance in the field, we thank Danny Margoles, Aaron Knoll, Susan Elliott, Cary Reinemann, Chris Crawford, and Brendan Yuill. We are grateful to Richard Duncan for allowing us to use his spatial analysis software, and Adam Berland produced our study area map. Very helpful comments for improving the manuscript were provided by Evan Larson, Danny Margoles, Chris Crawford, and two anonymous reviewers.</t>
  </si>
  <si>
    <t>10.1657/1938-4246-42.1.45</t>
  </si>
  <si>
    <t>WOS:000275560500005</t>
  </si>
  <si>
    <t>Jepsen, SM; Adams, EE; Priscu, JC</t>
  </si>
  <si>
    <t>Jepsen, Steven M.; Adams, Edward E.; Priscu, John C.</t>
  </si>
  <si>
    <t>Sediment Melt-Migration Dynamics in Perennial Antarctic Lake Ice</t>
  </si>
  <si>
    <t>MCMURDO DRY VALLEYS; CRYOCONITE HOLES; TAYLOR VALLEY; HOARE; PHYTOPLANKTON; CLIMATE; MICROORGANISMS; DEFICIENCY; THICKNESS; ECOSYSTEM</t>
  </si>
  <si>
    <t>We examined sediment melt-migration dynamics in the ice cover of Lake Fryxell, Taylor Valley, McMurdo Dry Valleys, Antarctica, using a combination of laboratory experiments, field observations, and modeling. The specific objectives were to determine the thermal conditions required for sediment melt and how sediment migration rates vary with meteorological forcings and ice microstructure. These characteristics are relevant to the influence of climate change on lake ice structure and ecosystem processes in polar regions. Sediment began melting through laboratory ice at -2 degrees C in simulated summer conditions, with warmer ice producing faster melt rates. An energy balance model, supported by our laboratory experiments, demonstrated that subsurface sediment can melt down to an equilibrium depth of similar to 2 m in two years. Field experiments and modeling revealed that surficial sediment melts at about half the rate of subsurface sediment because of heat losses to shallow, cold ice and the cold, dry atmosphere. Gravity flow of sediment along grain boundaries was pronounced in laboratory ice warmer than -1 degrees C. This mechanism produced a flux of 0.1 g m(-2) hr(-1), a significant value relative to published benthic sedimentation rates for these lakes indicating an important sediment sorting mechanism.</t>
  </si>
  <si>
    <t>[Jepsen, Steven M.] Jet Prop Lab, Pasadena, CA 91009 USA; [Adams, Edward E.] Montana State Univ, Dept Civil Engn, Bozeman, MT 59717 USA; [Priscu, John C.] Montana State Univ, Dept Land Resources &amp; Environm Sci, Bozeman, MT 59717 USA</t>
  </si>
  <si>
    <t>National Aeronautics &amp; Space Administration (NASA); NASA Jet Propulsion Laboratory (JPL); Montana State University System; Montana State University Bozeman; Montana State University System; Montana State University Bozeman</t>
  </si>
  <si>
    <t>Jepsen, SM (corresponding author), Jet Prop Lab, 4800 Oak Grove Dr, Pasadena, CA 91009 USA.</t>
  </si>
  <si>
    <t>Steven.M.Jepsen@jpl.nasa.gov; eda@coe.montana.edu; jpriscu@montana.cdu</t>
  </si>
  <si>
    <t>Montana State University, Bozeman; NSF-OPP [0085400, 0346272, 432595, 0631494]; Division Of Polar Programs; Directorate For Geosciences [0346272] Funding Source: National Science Foundation; Office of Polar Programs (OPP); Directorate For Geosciences [0085400, 0631494] Funding Source: National Science Foundation</t>
  </si>
  <si>
    <t>Montana State University, Bozeman; NSF-OPP(National Science Foundation (NSF)); Division Of Polar Programs; Directorate For Geosciences(National Science Foundation (NSF)NSF - Directorate for Geosciences (GEO)); Office of Polar Programs (OPP); Directorate For Geosciences(National Science Foundation (NSF)NSF - Directorate for Geosciences (GEO))</t>
  </si>
  <si>
    <t>The laboratory work was conducted at Montana State University, Bozeman, and supported by NSF-OPP grants 0085400 and 0346272. The fieldwork was supported by NSF-OPP grants 432595 and 0631494 awarded to Priscu. Thanks to C. Jaraula and A. Hillegas for weighing meltwater sediments, to M. LaRue (image compilation) and B. Herded (map compilation) of the Antarctic Geospatial Information Center for the Lake Fryxell satellite image. and to M. Lizotte for collecting the albedo data. We appreciate the field assistance from M. Dieser, A. Chiuchiolo, and M. Sabacka (Fig. 6c photo), and discussions with K. Welch, M. Hoffman, and C. McKay. This manuscript benefited greatly from the comments by three anonymous reviewers.</t>
  </si>
  <si>
    <t>10.1657/1938-4246-42.1.57</t>
  </si>
  <si>
    <t>WOS:000275560500006</t>
  </si>
  <si>
    <t>Josephs, RL</t>
  </si>
  <si>
    <t>Josephs, Richard L.</t>
  </si>
  <si>
    <t>Micromorphology of an Early Holocene Loess-Paleosol Sequence, Central Alaska, USA</t>
  </si>
  <si>
    <t>LATE QUATERNARY LOESS; CHINESE LOESS; PALEOCLIMATIC SIGNIFICANCE; MAGNETIC-SUSCEPTIBILITY; PLEISTOCENE LOESS; RECORD; STRATIGRAPHY; FAIRBANKS; ORIGIN; CANADA</t>
  </si>
  <si>
    <t>This paper describes a micromorphological investigation of an early Holocene loess-paleosol sequence at the Chena Hot Springs Road site, a highway road cut exposure near Fairbanks, Alaska, U.S.A. The procedure identified and described soil microstructure, basic mineral components and their related distributions, organic inclusions, and pedogenic features. Micromorphology confirmed the presence of a number of thin, discontinuous, weakly expressed soils that evince disturbance by diagenetic, graviturbative, and cryoturbative processes. Well-preserved organic remains indicate the presence of a boreal forest that would have acted as a highly effective sediment trap. The frequent observation of detrital iron-oxide grains is consistent with other studies of area loess that reveal high concentrations of magnetite and ilmenite, resulting in significant increases in magnetic susceptibility. Increases in wind strength are likely responsible for the increased clay content in the buried paleosols. Loess deposition, which would inhibit pedogenesis, is probably related to greater wind strength, while pedogenesis, indicative of stability and minimal deposition, suggests periods of reduced wind.</t>
  </si>
  <si>
    <t>Univ Iowa, Dept Geosci, Iowa City, IA 52242 USA</t>
  </si>
  <si>
    <t>University of Iowa</t>
  </si>
  <si>
    <t>Josephs, RL (corresponding author), Univ Iowa, Dept Geosci, Iowa City, IA 52242 USA.</t>
  </si>
  <si>
    <t>richard-josephs@uiowa.edu</t>
  </si>
  <si>
    <t>INST ARCTIC ALPINE RES</t>
  </si>
  <si>
    <t>UNIV COLORADO, BOULDER, CO 80309 USA</t>
  </si>
  <si>
    <t>10.1657/1938-4246-42.1.67</t>
  </si>
  <si>
    <t>WOS:000275560500007</t>
  </si>
  <si>
    <t>Millar, CI; Westfall, RD</t>
  </si>
  <si>
    <t>Millar, Constance I.; Westfall, Robert D.</t>
  </si>
  <si>
    <t>Distribution and Climatic Relationships of the American Pika (Ochotona princeps) in the Sierra Nevada and Western Great Basin, USA; Periglacial Landforms as Refugia in Warming Climates</t>
  </si>
  <si>
    <t>ROCK GLACIERS; MOUNTAINS; BEHAVIOR; MODEL; CA</t>
  </si>
  <si>
    <t>We used a rapid assessment to survey American pika (Ochotona princeps) populations and documented 420 pika site occurrences in southwestern U.S.A. These included 329 sites from the Sierra Nevada (SN), California; 67 from six southwestern Great Basin (swGB) ranges, California and Nevada; 16 from three central Great Basin ranges, Nevada; and 8 from the central Oregon Cascades. Of these, 67% were currently occupied, 27% modern (indirectly scored active), and 6% old. Sites were grouped into 148 denies, 88 regions, and 11 mountain ranges. Current elevations ranged from 1645 in (1827 m excluding Oregon) to 3887 m, extending the lower elevational range of the species at the study latitude. Sites were distributed on all slope aspects with a preference for north to easterly aspects, and without preference for substrate. Rock-ice-feature (RIF) till, notably rock-glacier and boulder-stream landforms, accounted for 83% of the sites. Climatic relationships from the PRISM model for the SN and swGB sites showed wide tolerance, with average precipitation 910 mm, average minimum temperature -3.9 degrees C, and average maximum temperature 8.7 degrees C. Average minimum temperatures for old sites were not significantly different from recent sites, whereas average maximum temperatures were significantly higher in old sites. Unusual features of RIF landforms make them important refugia for pikas as climates warm. In contrast to studies that document species vulnerability elsewhere, pikas in the SN and swGB appear to be thriving and tolerating a wide range of thermal environments.</t>
  </si>
  <si>
    <t>[Millar, Constance I.; Westfall, Robert D.] US Forest Serv, USDA, Pacific SW Res Stn, Sierra Nevada Res Ctr, Albany, CA 94710 USA</t>
  </si>
  <si>
    <t>United States Department of Agriculture (USDA); United States Forest Service</t>
  </si>
  <si>
    <t>Millar, CI (corresponding author), US Forest Serv, USDA, Pacific SW Res Stn, Sierra Nevada Res Ctr, 800 Buchanan St,Western Annex Bldg, Albany, CA 94710 USA.</t>
  </si>
  <si>
    <t>cmillar@fs.fed.us</t>
  </si>
  <si>
    <t>Westfall, Bob/0000-0002-8315-3322</t>
  </si>
  <si>
    <t>10.1657/1938-4246-42.1.76</t>
  </si>
  <si>
    <t>WOS:000275560500008</t>
  </si>
  <si>
    <t>Rangwala, I; Miller, JR</t>
  </si>
  <si>
    <t>Rangwala, Imtiaz; Miller, James R.</t>
  </si>
  <si>
    <t>Twentieth Century Temperature Trends in Colorado's San Juan Mountains</t>
  </si>
  <si>
    <t>WESTERN UNITED-STATES; HIGH-ELEVATION SITES; TIBETAN PLATEAU; CLIMATIC-CHANGE; NORTH-AMERICA; SURFACE; RADIATION; RUNOFF; MODEL</t>
  </si>
  <si>
    <t>We examine trends in surf ace air temperature for the San Juan Mountain region in southwestern Colorado from 1895 to 2005. Observations from both National Weather Service (NWS) and Snow Telemetry (SNOTEL) sites are analyzed. Results show a net warming of 1 degrees C between 1895 and 2005. Most of this warming occurred between 1990 and 2005, when the region experienced rapid and secular increases in temperature. Between 1950 and 1985, there was a cooling trend in the region during which there were significant decreases in the maximum temperature (T-max) and almost no trend in the minimum temperature (T-min). This cooling trend appears to be, in part, associated with increases in atmospheric aerosols. Between 1990 and 2005, the large increases in temperature anomalies are strongly correlated at the NWS and SNOTEL sites. Annual increases in T-max and T-min are similar between 1990 and 2005; however, they generally show greater increases during summer and winter, respectively. Spatially, there are similar increases in T-max and T-min except in the central mountain region, where the increases in T-min are larger and started earlier.</t>
  </si>
  <si>
    <t>[Rangwala, Imtiaz] NOAA, Earth Syst Res Lab, Div Phys Sci, R PSD, Boulder, CO 80305 USA; [Miller, James R.] Rutgers State Univ, Dept Marine &amp; Coastal Sci, New Brunswick, NJ 08901 USA</t>
  </si>
  <si>
    <t>National Oceanic Atmospheric Admin (NOAA) - USA; Rutgers University System; Rutgers University New Brunswick</t>
  </si>
  <si>
    <t>Rangwala, I (corresponding author), NOAA, Earth Syst Res Lab, Div Phys Sci, R PSD, 325 Broadway, Boulder, CO 80305 USA.</t>
  </si>
  <si>
    <t>imtiaz.rangwala@noaa.gov</t>
  </si>
  <si>
    <t>Mountain Studies Institute; NJ Agricultural Experiment Station [32103]; High Plains Regional Climate Center (HPRCC); Western Regional Climate Center (WRCC); National Climatic Data Center (NCDC); National Resources Conservation Service (NRCS)</t>
  </si>
  <si>
    <t>Mountain Studies Institute; NJ Agricultural Experiment Station; High Plains Regional Climate Center (HPRCC); Western Regional Climate Center (WRCC); National Climatic Data Center (NCDC); National Resources Conservation Service (NRCS)</t>
  </si>
  <si>
    <t>We thank the two anonymous reviewers for their helpful comments, which have significantly improved our manuscript. We are grateful to Koren Nydick for her deep involvement and support for this work, to David Robinson for his advice and assistance, and to Nelun Fernando for Figure 1. Partial support for this work was obtained from the Mountain Studies Institute's mini-grant program and the NJ Agricultural Experiment Station grant #32103. We would like to acknowledge High Plains Regional Climate Center (HPRCC), Western Regional Climate Center (WRCC), National Climatic Data Center (NCDC), and National Resources Conservation Service (NRCS) for access to the climate data analyzed in this study.</t>
  </si>
  <si>
    <t>10.1657/1938-4246-42.1.89</t>
  </si>
  <si>
    <t>WOS:000275560500009</t>
  </si>
  <si>
    <t>Rhoades, C; Elder, K; Greene, E</t>
  </si>
  <si>
    <t>Rhoades, C.; Elder, K.; Greene, E.</t>
  </si>
  <si>
    <t>The Influence of an Extensive Dust Event on Snow Chemistry in the Southern Rocky Mountains</t>
  </si>
  <si>
    <t>ATMOSPHERIC DUST; SAHARAN DUST; HARMATTAN DUST; CLIMATE-CHANGE; AEOLIAN DUST; ALPINE SOILS; DEPOSITION; TRANSPORT; FOREST; RANGE</t>
  </si>
  <si>
    <t>In mid-February 2006, windstorms in Arizona, Utah, and western Colorado generated a dust cloud that distributed a layer of dust across the surface of the snowpack throughout much of the Colorado Rockies; it remained visible throughout the winter. We compared the chemical composition of snowfall and snowpack collected during and after the dust deposition event with pre-event snow at 17 sites extending from central Colorado into southern Wyoming. The chemistry of dust-event snowfall and the post-event snowpack were compared to long-term wetfall precipitation and snowpack chemistry at the Fraser Experimental Forest (FEF). The pH of the snowpack formed during the dust event was 1.5 units higher, calcium was 10-fold higher, and acid neutralizing capacity (ANC) was 100-fold higher than levels measured in either early or late-season snow. Elevated ANC was attributable to dust-derived increase in carbonate/bicarbonate ions, likely from soluble calcium carbonate inclusions in dust material. The single dust event contributed carbonate/bicarbonate-derived ANC equivalent to the sum of strong acids deposited during the entire winter at FEF. Effects appeared more pronounced at upper elevations and in the sparse forest near treeline, compared to densely forested lower elevation sites. Monthly snowpack solute analysis at FEF has not documented an event of similar magnitude during its 17-year period of record. The solute composition of post-event snow is similar to average Fraser streamwater, however. To assess the effect of dust on the timing and composition of water exported from high-elevation ecosystems, future work should consider both the contributions of eolian deposition on soil development, plant communities, and nutrient and water relations plus the impact of individual deposition events on snowpack chemistry and duration.</t>
  </si>
  <si>
    <t>[Rhoades, C.; Elder, K.] US Forest Serv, Rocky Mt Res Stn, Ft Collins, CO 80526 USA; [Greene, E.] Colorado Avalanche Informat Ctr, Boulder, CO 80305 USA</t>
  </si>
  <si>
    <t>Rhoades, C (corresponding author), US Forest Serv, Rocky Mt Res Stn, 240 West Prospect, Ft Collins, CO 80526 USA.</t>
  </si>
  <si>
    <t>crhoades@fs.fed.us</t>
  </si>
  <si>
    <t>Elder, Kelly/IZQ-5813-2023</t>
  </si>
  <si>
    <t>10.1657/1938-4246-42.1.98</t>
  </si>
  <si>
    <t>WOS:000275560500010</t>
  </si>
  <si>
    <t>Rodrigues, D; Wauters, LA; Romeo, C; Mari, V; Preatoni, D; Mathias, MD; Tosi, G; Martinoli, A</t>
  </si>
  <si>
    <t>Rodrigues, D.; Wauters, L. A.; Romeo, C.; Mari, V.; Preatoni, D.; Mathias, M. da L.; Tosi, G.; Martinoli, A.</t>
  </si>
  <si>
    <t>Living on the Edge: Can Eurasian Red Squirrels (Sciurus vulgaris) Persist in Extreme High-elevation Habitats?</t>
  </si>
  <si>
    <t>FOOD AVAILABILITY; GREY SQUIRRELS; POPULATION DEMOGRAPHY; SPATIAL VARIATION; SPACING BEHAVIOR; LIFE-HISTORY; BODY-MASS; DENSITY; SELECTION; DYNAMICS</t>
  </si>
  <si>
    <t>Studying intraspecific spatiotemporal variation in vital rates among populations over a range of environmental conditions is essential to reveal intrinsic and extrinsic factors affecting population dynamics. Mammal populations living at higher elevations often have higher adult survival, shorter breeding seasons, and lower reproductive output per season than at lower elevations. We studied dynamics of a Eurasian red squirrel (Sciurus vulgaris) population in high-elevation, mountain pine (Pinus mugo) forest with extreme winters, in the Central Italian Alps, and compared vital rates with populations in more productive habitats at lower elevations. Average density was 0.14 +/- 0.07 squirrels ha(-1) 0.07-0.30 ha(-1)), and numbers typically increased in summer-autumn as a result of seasonal reproduction and immigration. Mean persistence time was only 12.5 months, and there was a nearly complete population turnover in only two years. Local survival and recruitment rate were correlated with seasonal population growth rate, and partial effect of survival explained 80% of variation in growth rate. While reproductive rate in mountain pine habitat was more similar than in more productive habitats at lower elevations, density and autumn-winter survival were much lower. Thus, red squirrels did not show the adaptations observed in several other mammal species, but might invest heavily in early reproduction to compensate for short life expectancy.</t>
  </si>
  <si>
    <t>[Rodrigues, D.; Wauters, L. A.; Romeo, C.; Mari, V.; Preatoni, D.; Tosi, G.; Martinoli, A.] Univ Insubria, Dipartimento Ambiente, I-21100 Varese, VA, Italy; [Rodrigues, D.; Mathias, M. da L.] Univ Lisbon, Fac Ciencias, Ctr Biol Ambiental, P-1749016 Lisbon, Portugal</t>
  </si>
  <si>
    <t>University of Insubria; Universidade de Lisboa</t>
  </si>
  <si>
    <t>Wauters, LA (corresponding author), Univ Insubria, Dipartimento Ambiente, Via JH Dunant 3, I-21100 Varese, VA, Italy.</t>
  </si>
  <si>
    <t>l.wauters@uninsubria.it</t>
  </si>
  <si>
    <t>Preatoni, Damiano Giovanni/A-8621-2010; Romeo, Claudia/D-5916-2017; Martinoli, Adriano/L-4924-2016; Mathias, Maria da Luz/V-9931-2018</t>
  </si>
  <si>
    <t>Preatoni, Damiano Giovanni/0000-0001-8760-1316; Romeo, Claudia/0000-0002-5964-2847; Martinoli, Adriano/0000-0003-0298-0869; Wauters, Lucas Armand/0000-0002-7012-9200; Wauters, Lucas/0000-0002-4871-5035; Mathias, Maria da Luz/0000-0003-3876-958X</t>
  </si>
  <si>
    <t>province of Sondrio (Servizio Agricoltura, Cacciae Pesca, Settore Risorse Ambientali); Stelvio National Park; Parco Regionale delle Orobie Valtellinesi; MIUR (Ministero dell'Istruzione, dell'Universita della Ricerca) [2003053710-006]</t>
  </si>
  <si>
    <t>province of Sondrio (Servizio Agricoltura, Cacciae Pesca, Settore Risorse Ambientali); Stelvio National Park; Parco Regionale delle Orobie Valtellinesi; MIUR (Ministero dell'Istruzione, dell'Universita della Ricerca)(Ministry of Education, Universities and Research (MIUR))</t>
  </si>
  <si>
    <t>We thank Ambrogio Molinari and Stefania Martini for their help with the fieldwork. Constructive comments by the associate editor and two anonymous referees greatly helped to improve the MS. This study is part of the ASPER (Alpine Squirrel Population Ecology Research) project, funded by the province of Sondrio (Servizio Agricoltura, Cacciae Pesca, Settore Risorse Ambientali), the Stelvio National Park, and the Parco Regionale delle Orobie Valtellinesi to Istituto Oikos NGO, Milan. Additional financial support was given by MIUR (Ministero dell'Istruzione, dell'Universita della Ricerca, project COFIN 2003, number 2003053710-006) to Insubria University of Varese. This is paper #18 of the ASPER project.</t>
  </si>
  <si>
    <t>10.1657/1938-4246-42.1.106</t>
  </si>
  <si>
    <t>WOS:000275560500011</t>
  </si>
  <si>
    <t>Treberg, MA; Edwards, K; Turkington, R</t>
  </si>
  <si>
    <t>Treberg, Michael A.; Edwards, Kate; Turkington, Roy</t>
  </si>
  <si>
    <t>Voles Are Attracted to Fertilizer in Field Experiments</t>
  </si>
  <si>
    <t>BOREAL FOREST; NUTRIENT AVAILABILITY; VEGETATION; HERBIVORY</t>
  </si>
  <si>
    <t>We estimated the abundance of voles, or vole nests, in four different experiments in the Boreal forest understory in the southwestern Yukon to test if voles were attracted to fertilizer. In one experiment we counted vole nests in plots that had been fertilized or not fertilized for 4 years; in a second we counted trapped voles in plots that has been fertilized, or not, for 13 years; and in two others we counted the number of vole visits to Longworth traps baited with fertilizer. There were significantly more over-winter nests in the fertilized plots. In a June trapping session, more voles were captured in fertilized plots than unfertilized plots and voles entered locked-open traps and removed fertilizer. The results demonstrate a relationship between fertilizer and voles. Whether voles are attracted to the fertilizer alone or the higher quality feed it produces remains unclear. A plausible, yet untested, hypothesis is that the voles were consuming the fertilizer as a source of micro- or macronutrients.</t>
  </si>
  <si>
    <t>[Treberg, Michael A.; Edwards, Kate; Turkington, Roy] Univ British Columbia, Dept Bot, Vancouver, BC V6T 1Z4, Canada; [Treberg, Michael A.; Edwards, Kate; Turkington, Roy] Univ British Columbia, Biodivers Res Ctr, Vancouver, BC V6T 1Z4, Canada</t>
  </si>
  <si>
    <t>University of British Columbia; University of British Columbia</t>
  </si>
  <si>
    <t>Turkington, R (corresponding author), Univ British Columbia, Dept Bot, Vancouver, BC V6T 1Z4, Canada.</t>
  </si>
  <si>
    <t>royt@interchange.ubc.ca</t>
  </si>
  <si>
    <t>University of British Columbia Graduate; NSERC PGS-A; NSERC</t>
  </si>
  <si>
    <t>University of British Columbia Graduate; NSERC PGS-A; NSERC(Natural Sciences and Engineering Research Council of Canada (NSERC))</t>
  </si>
  <si>
    <t>This research was funded by a University of British Columbia Graduate Fellowship, and an NSERC PGS-A to Treberg. a Northern Science Training Project grant to Treberg and Edwards, and an NSERC Discovery grant to Turkington. Appreciation is expressed to Andy Williams and the staff at the Arctic Institute of North America, University of Calgary, for the use of the Kluane Lake Research Station, and members of the Champagne and Aishihik First Nations for permission to use their traditional lands. Turkington expresses his appreciation to Zhou Zhekun, Kunming Institute of Botany and the Chinese Academy of Sciences, Kunming, China, for providing a quiet place to write while on sabbatical.</t>
  </si>
  <si>
    <t>10.1657/1938-4246-42.1.113</t>
  </si>
  <si>
    <t>WOS:000275560500012</t>
  </si>
  <si>
    <t>Wundram, D; Pape, R; Löffler, J</t>
  </si>
  <si>
    <t>Wundram, Dirk; Pape, Roland; Loeffler, Joerg</t>
  </si>
  <si>
    <t>Alpine Soil Temperature Variability at Multiple Scales</t>
  </si>
  <si>
    <t>CLIMATE-CHANGE; MOUNTAIN PLANTS; LAND-USE; DYNAMICS; IMPACTS; ECOLOGY; DISTRIBUTIONS; ENVIRONMENTS; ECOSYSTEMS; RESOLUTION</t>
  </si>
  <si>
    <t>The functioning of ecosystems is strongly correlated to soil temperature dynamics. Because only a few studies so far have investigated the spatio-temporal variability of alpine soil temperatures, we proceeded to analyze soil temperatures in a heterogeneous alpine landscape by means of a multi-scale approach. We combined vertical soil temperature gradients from surface to 15 cm depth, microspatial variability within small catchments, and altitudinal changes of a continental mountain system. We analyzed differences at single sites and at multiple spatial scales. We found that microtopographic site conditions dominated thermal changes along altitudinal gradients. The adiabatic lapse rate did not show high correlations with local soil temperature gradients. We used isopleth diagrams of soil temperature gradients and corresponding scatterplots of soil temperature gradients between each pair of sites and low alpine middle alpine mountain couples to quantify these overlying phenomena. This enabled us to quantify the significance of soil temperature gradients across vertical soil profiles, topography, and altitude in order to facilitate future microclimate extrapolation and modeling in high mountain (alpine) landscapes. Such procedures are crucial for describing expected responses of alpine ecosystems to global climatic change.</t>
  </si>
  <si>
    <t>[Wundram, Dirk; Pape, Roland; Loeffler, Joerg] Univ Bonn, Dept Geog, D-53115 Bonn, Germany</t>
  </si>
  <si>
    <t>University of Bonn</t>
  </si>
  <si>
    <t>Löffler, J (corresponding author), Univ Bonn, Dept Geog, Meckenheimer Allee 166, D-53115 Bonn, Germany.</t>
  </si>
  <si>
    <t>joerg.loeffler@uni-bonn.de</t>
  </si>
  <si>
    <t>Löffler, Jörg/ITU-3817-2023; Pape, Roland/L-6753-2019</t>
  </si>
  <si>
    <t>Wundram, Dirk/0000-0001-8403-0394; Pape, Roland/0000-0002-7955-1918; Loffler, Jorg/0000-0002-9320-6168</t>
  </si>
  <si>
    <t>10.1657/1938-4246-42.1.117</t>
  </si>
  <si>
    <t>WOS:000275560500013</t>
  </si>
  <si>
    <t>Meier, M</t>
  </si>
  <si>
    <t>Meier, Mark</t>
  </si>
  <si>
    <t>Mark Borisovitch Dyurgerov 13 September 1944 to 5 September 2009 In Memoriam</t>
  </si>
  <si>
    <t>Biographical-Item</t>
  </si>
  <si>
    <t>10.1657/1938-4246-42.1.129</t>
  </si>
  <si>
    <t>WOS:000275560500014</t>
  </si>
  <si>
    <t>Crouzet, N; Guillot, T; Agabi, A; Rivet, JP; Bondoux, E; Challita, Z; Fanteï-Caujolle, Y; Fressin, F; Mékarnia, D; Schmider, FX; Valbousquet, F; Blazit, A; Bonhomme, S; Abe, L; Daban, JB; Gouvret, C; Fruth, T; Rauer, H; Erikson, A; Barbieri, M; Aigrain, S; Pont, F</t>
  </si>
  <si>
    <t>Crouzet, N.; Guillot, T.; Agabi, A.; Rivet, J. -P.; Bondoux, E.; Challita, Z.; Fantei-Caujolle, Y.; Fressin, F.; Mekarnia, D.; Schmider, F. -X.; Valbousquet, F.; Blazit, A.; Bonhomme, S.; Abe, L.; Daban, J. -B.; Gouvret, C.; Fruth, T.; Rauer, H.; Erikson, A.; Barbieri, M.; Aigrain, S.; Pont, F.</t>
  </si>
  <si>
    <t>ASTEP South: an Antarctic Search for Transiting ExoPlanets around the celestial south pole</t>
  </si>
  <si>
    <t>ASTRONOMY &amp; ASTROPHYSICS</t>
  </si>
  <si>
    <t>methods: observational; methods: data analysis; site testing; techniques: photometric</t>
  </si>
  <si>
    <t>DOME-C; SKY BRIGHTNESS; SEEING MEASUREMENTS; PHOTOMETRY</t>
  </si>
  <si>
    <t>Context. The Concordia base in Dome C, Antarctica, is an extremely promising site for photometric astronomy due to the 3-month long night during the Antarctic winter, favorable weather conditions, and low scintillation. Aims. The ASTEP project (Antarctic Search for Transiting ExoPlanets) is a pilot project to discover transiting planets and understand the limits of visible photometry from the Concordia site. Methods. ASTEP South is the first phase of the ASTEP project. The instrument is a fixed 10 cm refractor with a 4k x 4k CCD camera in a thermalized box, pointing continuously a 3.88 x 3.88 degrees(2) field of view centered on the celestial south pole. We describe the project and report results of a preliminary data analysis. Results. ASTEP South became fully functional in June 2008 and obtained 1592 hours of data during the 2008 Antarctic winter. The data are of good quality but the analysis has to account for changes in the PSF (point spread function) due to rapid ground seeing variations and instrumental effects. The pointing direction is stable within 10 arcsec on a daily timescale and drifts by only 34 arcsec in 50 days. A truly continuous photometry of bright stars is possible in June ( the noon sky background peaks at a magnitude R approximate to 15 arcsec(-2) on June 22), but becomes challenging in July (the noon sky background magnitude is R approximate to 12.5 arcsec(-2) on July 20). The weather conditions are estimated from the number of stars detected in the field. For the 2008 winter, the statistics are between 56.3% and 68.4% of excellent weather, 17.9% to 30% of veiled weather (when the probable presence of thin clouds implies a lower number of detected stars) and 13.7% of bad weather. Using these results in a probabilistic analysis of transit detection, we show that the detection efficiency of transiting exoplanets in one given field is improved at Dome C compared to a temperate site such as La Silla. For example we estimate that a year-long campaign of 10 cm refractor could reach an efficiency of 69% at Dome C versus 45% at La Silla for detecting 2-day period giant planets around target stars from magnitude 10 to 15. The detection efficiency decreases for planets with longer orbital periods, but in relative sense it is even more favorable to Dome C. Conclusions. This shows the high potential of Dome C for photometry and future planet discoveries.</t>
  </si>
  <si>
    <t>[Crouzet, N.; Guillot, T.; Rivet, J. -P.; Bonhomme, S.] Univ Nice Sophia Antipolis, CNRS, UMR 6202, Observ Cote Azur, F-06304 Nice 4, France; [Agabi, A.; Bondoux, E.; Challita, Z.; Fantei-Caujolle, Y.; Mekarnia, D.; Schmider, F. -X.; Blazit, A.; Abe, L.; Daban, J. -B.; Gouvret, C.] Univ Nice Sophia Antipolis, CNRS, UMR 6525, Observ Cote Azur, F-06108 Nice 2, France; [Fressin, F.] Harvard Smithsonian Ctr Astrophys, Cambridge, MA 02138 USA; [Valbousquet, F.] Opt &amp; Vis, F-06162 Juan Les Pins, France; [Bondoux, E.; Challita, Z.] Concordia Stn, Dome C, France; [Rauer, H.] TU Berlin, Ctr Astron &amp; Astrophys, D-10623 Berlin, Germany; [Fruth, T.; Rauer, H.; Erikson, A.] DLR Inst Planetary Res, D-12489 Berlin, Germany; [Barbieri, M.] Univ Padua, Dipartimento Astron, I-35122 Padua, Italy; [Aigrain, S.; Pont, F.] Univ Exeter, Sch Phys, Exeter EX4 4QL, Devon, England</t>
  </si>
  <si>
    <t>Universite Cote d'Azur; Observatoire de la Cote d'Azur; Centre National de la Recherche Scientifique (CNRS); Universite Cote d'Azur; Observatoire de la Cote d'Azur; Centre National de la Recherche Scientifique (CNRS); Smithsonian Astrophysical Observatory; Smithsonian Institution; Harvard University; Technical University of Berlin; Helmholtz Association; German Aerospace Centre (DLR); University of Padua; University of Exeter</t>
  </si>
  <si>
    <t>Crouzet, N (corresponding author), Univ Nice Sophia Antipolis, CNRS, UMR 6202, Observ Cote Azur, F-06304 Nice 4, France.</t>
  </si>
  <si>
    <t>Nicolas.Crouzet@oca.eu</t>
  </si>
  <si>
    <t>Barbieri, Mauro/W-4602-2017; Schmider, François-Xavier/C-5435-2012</t>
  </si>
  <si>
    <t>Barbieri, Mauro/0000-0001-8362-3462; Pont, Frederic/0000-0003-0076-5444; Schmider, Francois-Xavier/0000-0003-3914-3546; Aigrain, Suzanne/0000-0003-1453-0574; Guillot, Tristan/0000-0002-7188-8428</t>
  </si>
  <si>
    <t>Agence Nationale de la Recherche (ANR); Institut National des Sciences de l'Univers (INSU); Programme National de Planetologie (PNP); Plan Pluri-Formation OPERA between the Observatoire de la Cote d'Azur; Universite de Nice-Sophia Antipolis; French Institut Paul-Emile Victor (IPEV); Italian Programma Nazionale di Ricerche in Antartide (PNRA); Science and Technology Facilities Council [ST/G002266/1] Funding Source: researchfish; STFC [ST/G002266/1] Funding Source: UKRI</t>
  </si>
  <si>
    <t>Agence Nationale de la Recherche (ANR)(Agence Nationale de la Recherche (ANR)); Institut National des Sciences de l'Univers (INSU); Programme National de Planetologie (PNP); Plan Pluri-Formation OPERA between the Observatoire de la Cote d'Azur; Universite de Nice-Sophia Antipolis; French Institut Paul-Emile Victor (IPEV); Italian Programma Nazionale di Ricerche in Antartide (PNRA); Science and Technology Facilities Council(UK Research &amp; Innovation (UKRI)Science &amp; Technology Facilities Council (STFC)); STFC(UK Research &amp; Innovation (UKRI)Science &amp; Technology Facilities Council (STFC))</t>
  </si>
  <si>
    <t>The ASTEP project is funded by the Agence Nationale de la Recherche (ANR), the Institut National des Sciences de l'Univers (INSU), the Programme National de Planetologie (PNP), and the Plan Pluri-Formation OPERA between the Observatoire de la Cote d'Azur and the Universite de Nice-Sophia Antipolis. The entire logistics at Concordia is handled by the French Institut Paul-Emile Victor (IPEV) and the Italian Programma Nazionale di Ricerche in Antartide (PNRA). The research grant for N. Crouzet is supplied by the Region Provence Alpes Cote d'Azur and the Observatoire de la Cote d'Azur. We wish to further thank E. Fossat for his helpful remarks on the manuscript. See http://fizeau.unice.fr/astep/ for more information about the ASTEP project.</t>
  </si>
  <si>
    <t>EDP SCIENCES S A</t>
  </si>
  <si>
    <t>LES ULIS CEDEX A</t>
  </si>
  <si>
    <t>17, AVE DU HOGGAR, PA COURTABOEUF, BP 112, F-91944 LES ULIS CEDEX A, FRANCE</t>
  </si>
  <si>
    <t>0004-6361</t>
  </si>
  <si>
    <t>1432-0746</t>
  </si>
  <si>
    <t>ASTRON ASTROPHYS</t>
  </si>
  <si>
    <t>Astron. Astrophys.</t>
  </si>
  <si>
    <t>FEB-MAR</t>
  </si>
  <si>
    <t>A36</t>
  </si>
  <si>
    <t>10.1051/0004-6361/200913629</t>
  </si>
  <si>
    <t>571LD</t>
  </si>
  <si>
    <t>WOS:000275752400092</t>
  </si>
  <si>
    <t>Mauldin, R; Kosciuch, E; Eisele, F; Huey, G; Tanner, D; Sjostedt, S; Blake, D; Chen, G; Crawford, J; Davis, D</t>
  </si>
  <si>
    <t>Mauldin, Roy; Kosciuch, Edward; Eisele, Fred; Huey, Greg; Tanner, David; Sjostedt, Steve; Blake, Don; Chen, Gao; Crawford, Jim; Davis, Douglas</t>
  </si>
  <si>
    <t>South Pole Antarctica observations and modeling results: New insights on HOx radical and sulfur chemistry</t>
  </si>
  <si>
    <t>ATMOSPHERIC ENVIRONMENT</t>
  </si>
  <si>
    <t>OH; H2SO4; MSA; Hydroxyl; Sulfuric; ANTCI; Pole; Antarctic; Oxidation; SO2</t>
  </si>
  <si>
    <t>BOUNDARY-LAYER; NOX EMISSIONS; OH; SNOW; MSA; PARTICLES; H2SO4; PHASE; IONS</t>
  </si>
  <si>
    <t>Measurements of OH, H2SO4, and MSA at South Pole (SP) Antarctica were recorded as a part of the 2003 Antarctic Chemistry Investigation (ANTCI 2003). The time period 22 November, 2003-2 January, 2004 provided a unique opportunity to observe atmospheric chemistry at SP under both natural conditions as well as those uniquely defined by a solar eclipse event. Results under natural solar conditions generally confirmed those reported previously in the year 2000. In both years the major chemical driver leading to large scale fluctuations in OH was shifts in the concentration levels of NO. Like in 2000, however, the 2003 observational data were systematically lower than model predictions. This can be interpreted as indicating that the model mechanism is still missing a significant HOx sink reaction(s); or, alternatively, that the OH calibration source may have problems. Still a final possibility could involve the integrity of the OH sampling scheme which involved a fixed building site. As expected, during the peak in the solar eclipse both NO and OH showed large decreases in their respective concentrations. Interestingly, the observational OH profile could only be approximated by the model mechanism upon adding an additional HOx radical source in the form of snow emissions of CH2O and/or H2O2. This would lead one to think that either CH2O and/or H2O2 snow emissions represent a significant HOx radical source under summertime conditions at SP. Observations of H2SO4 and MSA revealed both species to be present at very low concentrations (e.g., 5 x 10(5) and 1 x 10(5) molec cm(-3), respectively), but similar to those reported in 2000. The first measurements of SO2 at SP demonstrated a close coupling with the oxidation product H2SO4. The observed low concentrations of MSA appear to be counter to the most recent thinking by glacio-chemists who have suggested that the plateau's lower atmosphere should have elevated levels of MSA. We speculate here that the absence of MSA may reflect efficient atmospheric removal mechanisms for this species involving either dynamical and/or chemical processes. (C) 2009 Elsevier Ltd. All rights reserved.</t>
  </si>
  <si>
    <t>[Mauldin, Roy; Kosciuch, Edward; Eisele, Fred] Natl Ctr Atmospher Res, Div Atmospher Chem, Boulder, CO 80305 USA; [Huey, Greg; Tanner, David; Sjostedt, Steve; Davis, Douglas] Georgia Inst Technol, Sch Earth &amp; Atmospher Sci, Atlanta, GA 30332 USA; [Blake, Don] Univ Calif Irvine, Irvine, CA 92697 USA; [Chen, Gao; Crawford, Jim] NASA, Langley Res Ctr, Hampton, VA 23681 USA</t>
  </si>
  <si>
    <t>National Center Atmospheric Research (NCAR) - USA; University System of Georgia; Georgia Institute of Technology; University of California System; University of California Irvine; National Aeronautics &amp; Space Administration (NASA); NASA Langley Research Center</t>
  </si>
  <si>
    <t>Mauldin, R (corresponding author), Natl Ctr Atmospher Res, Div Atmospher Chem, 1850 Table Mesa, Boulder, CO 80305 USA.</t>
  </si>
  <si>
    <t>mauldin@ucar.edu</t>
  </si>
  <si>
    <t>Sjostedt, Steven J/B-5032-2015; Crawford, James/L-6632-2013</t>
  </si>
  <si>
    <t>Crawford, James/0000-0002-6982-0934; Blake, Donald/0000-0002-8283-5014</t>
  </si>
  <si>
    <t>We would like to thank NOAA CMDL for their help during the study and the use of their meteorological data. This work was funded by the NSF Office of Polar Programs through awards #'s OPP-0229633, and OPP-0230246.</t>
  </si>
  <si>
    <t>1352-2310</t>
  </si>
  <si>
    <t>1873-2844</t>
  </si>
  <si>
    <t>ATMOS ENVIRON</t>
  </si>
  <si>
    <t>Atmos. Environ.</t>
  </si>
  <si>
    <t>10.1016/j.atmosenv.2009.07.058</t>
  </si>
  <si>
    <t>556TD</t>
  </si>
  <si>
    <t>WOS:000274614300014</t>
  </si>
  <si>
    <t>Jennings, RT; Garriott, OK; Bogomolov, VV; Pochuev, VI; Morgun, VV; Garriott, RA</t>
  </si>
  <si>
    <t>Jennings, Richard T.; Garriott, Owen K.; Bogomolov, Valery V.; Pochuev, Vladimir I.; Morgun, Valery V.; Garriott, Richard A.</t>
  </si>
  <si>
    <t>Giant Hepatic Hemangioma and Cross-Fused Ectopic Kidney in a Spaceflight Participant</t>
  </si>
  <si>
    <t>AVIATION SPACE AND ENVIRONMENTAL MEDICINE</t>
  </si>
  <si>
    <t>ectopic kidney; hepatic hemangioma; spaceflight participant</t>
  </si>
  <si>
    <t>SINGLE KIDNEY; LIVER; MANAGEMENT; TUMORS; RUPTURE</t>
  </si>
  <si>
    <t>JENNINGS RT, GARRIOTT OK, BOGOMOLOV VV, POCHUEV VI, MORGUN VV, GARRIOTT RA. Giant hepatic hemangioma and cross-fused ectopic kidney in a spaceflight participant. Aviat Space Environ Med 2010; 81:136-40. Commercial spaceflight participants are typically older than traditional astronauts and often have medical conditions that make medical certification for flight difficult. This case report considers a 43-yr-old spaceflight participant who planned a short-duration Soyuz flight to the International Space Station (ISS). While he participated in many hazardous activities Such as parachuting, hang gliding, scuba diving, Antarctic and jungle exploration, and deep sea submersible operations, he knew that several of his medical conditions precluded serving as a career astronaut. At the time of his initial spaceflight prescreen examination, he was known to have previous bilateral photorefractive keratectomy (PRK) for myopia and a cross-fused left ectopic kidney that would be disqualifying for a career astronaut. During the evaluation for the left single cross-fused ectopic kidney, a giant hepatic hemangioma was also discovered. in order to medically qualify for flight, the giant hepatic hemangioma was surgically removed. This case summary investigates the implications of a single cross-fused left ectopic kidney and the decision process and treatment implications for spaceflight medical certification in an individual with an asymptomatic giant hepatic hemangioma.</t>
  </si>
  <si>
    <t>[Jennings, Richard T.] UTMB, Galveston, TX 77555 USA; [Garriott, Owen K.] Univ Alabama, Huntsville, AL 35899 USA; [Bogomolov, Valery V.] Minist Publ Hlth Russia, Inst Biomed Problems, Moscow, Russia; [Pochuev, Vladimir I.] Gagarin Cosmonaut Training Ctr, Star City, Russia; [Morgun, Valery V.] Roscosmos Russian Fed Space Agcy, Moscow, Russia; [Garriott, Richard A.] Space Adventures, Vienna, VA USA</t>
  </si>
  <si>
    <t>University of Texas System; University of Texas Medical Branch Galveston; University of Alabama System; University of Alabama Huntsville; Russian Academy of Sciences; Institute of Biomedical Problems of the Russian Academy of Sciences; Roscosmos; Gagarin Cosmonaut Training Center; Roscosmos</t>
  </si>
  <si>
    <t>Jennings, RT (corresponding author), UTMB, 301 Univ Blvd, Galveston, TX 77555 USA.</t>
  </si>
  <si>
    <t>rjenning@utmb.edu</t>
  </si>
  <si>
    <t>AEROSPACE MEDICAL ASSOC</t>
  </si>
  <si>
    <t>ALEXANDRIA</t>
  </si>
  <si>
    <t>320 S HENRY ST, ALEXANDRIA, VA 22314-3579 USA</t>
  </si>
  <si>
    <t>0095-6562</t>
  </si>
  <si>
    <t>1943-4448</t>
  </si>
  <si>
    <t>AVIAT SPACE ENVIR MD</t>
  </si>
  <si>
    <t>Aviat. Space Environ. Med.</t>
  </si>
  <si>
    <t>10.3357/ASEM.2706.2010</t>
  </si>
  <si>
    <t>Public, Environmental &amp; Occupational Health; Medicine, General &amp; Internal; Sport Sciences</t>
  </si>
  <si>
    <t>Public, Environmental &amp; Occupational Health; General &amp; Internal Medicine; Sport Sciences</t>
  </si>
  <si>
    <t>549QE</t>
  </si>
  <si>
    <t>WOS:000274067900009</t>
  </si>
  <si>
    <t>Pace, DA; Maxson, R; Manahan, DT</t>
  </si>
  <si>
    <t>Pace, Douglas A.; Maxson, Robert; Manahan, Donal T.</t>
  </si>
  <si>
    <t>Ribosomal Analysis of Rapid Rates of Protein Synthesis in the Antarctic Sea Urchin Sterechinus neumayeri</t>
  </si>
  <si>
    <t>BIOLOGICAL BULLETIN</t>
  </si>
  <si>
    <t>MOUSE L-CELLS; COLD ADAPTATION; THERMOPHILIC METHANOGENS; PEPTIDE ELONGATION; NOTOTHENIOID FISH; MAMMALIAN-CELLS; MOLECULAR-BASIS; ABSOLUTE RATES; EMBRYOS; METABOLISM</t>
  </si>
  <si>
    <t>Previous research has shown that developing stages of the Antarctic sea urchin Sterechinus neumayeri have high rates of protein synthesis that are comparable to those of similar species living in much warmer waters. Direct measurements of the biosynthetic capacities of isolated ribosomes have not been reported for marine organisms living in the extreme-cold environment of Antarctica. Such measurements are required for a mechanistic understanding of how the critical and highly complex processes involved in protein synthesis are regulated in animals living in the coldest marine environment on Earth (&lt; - 1 degrees C). We tested the hypothesis that high rates of protein synthesis in the cold are a direct result of high biosynthetic capacities of ribosomes engaged in protein synthesis. Our results show that the rate at which ribosomes manufacture proteins (i.e., the peptide elongation rate) at - 1 degrees C is surprisingly similar to rates measured in other sea Urchin Species at temperatures that are over 15 degrees C warmer. Average peptide elongation rates for a range of developmental stages of the Antarctic sea urchin were 0.36 codons s(-1) (+/- 0.05 SE). On the basis Of subcellular rate determinations of ribosomal activity, we calculated stage-specific rates of protein synthesis for blastulae and gastrulae to be 3.7 and 6.5 ng protein h(-1) respectively. These findings support the conclusion that the high rates of biosynthesis previously reported for the Antarctic sea urchin are all outcome of high ribosomal activities.</t>
  </si>
  <si>
    <t>[Pace, Douglas A.; Manahan, Donal T.] Univ So Calif, Dept Biol Sci, Los Angeles, CA 90089 USA; [Maxson, Robert] Univ So Calif, Dept Biochem &amp; Mol Biol, Los Angeles, CA 90089 USA</t>
  </si>
  <si>
    <t>University of Southern California; University of Southern California</t>
  </si>
  <si>
    <t>Manahan, DT (corresponding author), Univ So Calif, Dept Biol Sci, Univ Pk Campus, Los Angeles, CA 90089 USA.</t>
  </si>
  <si>
    <t>manahan@usc.edu</t>
  </si>
  <si>
    <t>National Science Foundation [01-30398]</t>
  </si>
  <si>
    <t>We thank David Ginsburg, Allison Green, and Michael Moore for assistance with culturing embryos and larvae in Antarctica, and Dr. Patricia von Dippe for aspects of the biochemical analysis. We thank Rob Robbins, Howard Tobin, and the staff of the Crary Laboratory at McMurdo Station, Antarctica, and Raytheon Polar Services for support. This work was supported by the National Science Foundation under Grant No. 01-30398.</t>
  </si>
  <si>
    <t>0006-3185</t>
  </si>
  <si>
    <t>1939-8697</t>
  </si>
  <si>
    <t>BIOL BULL-US</t>
  </si>
  <si>
    <t>Biol. Bull.</t>
  </si>
  <si>
    <t>10.1086/BBLv218n1p48</t>
  </si>
  <si>
    <t>Biology; Marine &amp; Freshwater Biology</t>
  </si>
  <si>
    <t>Life Sciences &amp; Biomedicine - Other Topics; Marine &amp; Freshwater Biology</t>
  </si>
  <si>
    <t>566RL</t>
  </si>
  <si>
    <t>WOS:000275390600006</t>
  </si>
  <si>
    <t>Phillips, RA; Ridley, C; Reid, K; Pugh, PJA; Tuck, GN; Harrison, N</t>
  </si>
  <si>
    <t>Phillips, Richard A.; Ridley, Cindy; Reid, Keith; Pugh, Philip J. A.; Tuck, Geoffrey N.; Harrison, Nancy</t>
  </si>
  <si>
    <t>Ingestion of fishing gear and entanglements of seabirds: Monitoring and implications for management</t>
  </si>
  <si>
    <t>BIOLOGICAL CONSERVATION</t>
  </si>
  <si>
    <t>Biomonitoring; Cachalotera; Longline fisheries; National plan of action; Patagonian toothfish; Squid jigging</t>
  </si>
  <si>
    <t>ALBATROSSES DIOMEDEA-EXULANS; BLACK-BROWED ALBATROSSES; GREY-HEADED ALBATROSSES; WHITE-CHINNED PETRELS; DIEGO-RAMIREZ ISLANDS; WANDERING ALBATROSSES; FOOD AVAILABILITY; FALKLAND ISLANDS; LINE FISHERIES; BIRD ISLAND</t>
  </si>
  <si>
    <t>Fisheries are increasingly adopting ecosystem approaches to better manage impacts on non-target species. Although deliberate dumping of plastics at sea is banned, not all fisheries legislation prohibits discarding of gear (hooks and line) in offal, and compliance is often unknown. Analysis of a 16 year dataset collected at South Georgia indicated that the amount of gear found in association with wandering albatrosses was an order of magnitude greater than in any other species, reflecting their wider foraging range and larger gape. Unlike other taxa, most gear associated with grey-headed albatrosses was from squid and not longline fisheries, and mistaken for natural prey rather than the result of direct interaction. Observed rates of foul-hooking (entanglement during line-hauling) were much higher in giant petrels and wandering albatrosses than black-browed albatrosses, and no grey-headed albatross was affected. The index of wandering albatross gear abundance showed two peaks, the most recent corresponding with a substantial increase in the number of multifilament snoods (gangions), Suggesting that the widespread adoption of a new longline system (Chilean mixed) may have been responsible. Although all identified gear was demersal, given the widespread use of similar hooks, little could be assigned to a specific fishery. Stomach content analysis suggested that 1300-2048 items of gear are currently consumed per annum by the wandering albatross population. Many hooks are completely digested by chicks, long-term effects of which are entirely unknown. We suggest a number of management approaches for addressing the problem of gear discarding, and guidelines for monitoring schemes elsewhere. (C) 2009 Elsevier Ltd. All rights reserved.</t>
  </si>
  <si>
    <t>[Phillips, Richard A.; Reid, Keith] British Antarctic Survey, NERC, Cambridge CB3 0ET, England; [Ridley, Cindy; Pugh, Philip J. A.; Harrison, Nancy] Anglia Ruskin Univ, Dept Life Sci, Cambridge CB1 1PT, England; [Tuck, Geoffrey N.] CSIRO Marine &amp; Atmospher Res, Hobart, Tas 7001, Australia</t>
  </si>
  <si>
    <t>UK Research &amp; Innovation (UKRI); Natural Environment Research Council (NERC); NERC British Antarctic Survey; Anglia Ruskin University; Commonwealth Scientific &amp; Industrial Research Organisation (CSIRO)</t>
  </si>
  <si>
    <t>Phillips, RA (corresponding author), British Antarctic Survey, NERC, High Cross,Madingley Rd, Cambridge CB3 0ET, England.</t>
  </si>
  <si>
    <t>Tuck, Geoffrey N/E-2356-2012</t>
  </si>
  <si>
    <t>0006-3207</t>
  </si>
  <si>
    <t>1873-2917</t>
  </si>
  <si>
    <t>BIOL CONSERV</t>
  </si>
  <si>
    <t>Biol. Conserv.</t>
  </si>
  <si>
    <t>10.1016/j.biocon.2009.11.020</t>
  </si>
  <si>
    <t>558QW</t>
  </si>
  <si>
    <t>WOS:000274761000026</t>
  </si>
  <si>
    <t>Rakusa-Suszczewski, RS; Janecki, T; Domanov, MM</t>
  </si>
  <si>
    <t>Rakusa-Suszczewski, R. S.; Janecki, T.; Domanov, M. M.</t>
  </si>
  <si>
    <t>Starvation and chemoreception in antarctic benthic invertebrates</t>
  </si>
  <si>
    <t>BIOLOGY BULLETIN</t>
  </si>
  <si>
    <t>DYNAMIC ACTION; AMINO-ACIDS; METABOLISM; BEHAVIOR; CUES; SEA</t>
  </si>
  <si>
    <t>Sensitivity (chemoreception) to different amino acids was studied in six invertebrate species: Serolis polita, Glyptonotus antarcticus, Abyssochromene plebs, Waldeckia obesa, Odontaster validus, and Sterechinus neumayeri. The sensitivity was estimated by the changes in basic metabolism (respiration rate). Starvation increased the sensitivity in all the species. The metabolism rates increased in the presence of L-glutamic acid in G. antarcticus, A. plebs, O. validus, and St. neumayeri. The serine and arginine amino acids had a significant impact on the metabolism of the necrophagous species S. polita and W. obesa. The chemical information may be mediated by means of L-glutamic acid via glutamate receptors, which can be blocked by kynurenic acid, as occurs in the experiments with G. antarcticus and A. plebs.</t>
  </si>
  <si>
    <t>[Rakusa-Suszczewski, R. S.] Polish Acad Sci, Ctr Sci, Moscow, Russia; [Janecki, T.] Polish Acad Sci, Dept Antarctic Biol, Warsaw, Poland; [Domanov, M. M.] Russian Acad Sci, PP Shirshov Oceanol Inst, Moscow, Russia</t>
  </si>
  <si>
    <t>Polish Academy of Sciences; Polish Academy of Sciences; Russian Academy of Sciences; Shirshov Institute of Oceanology</t>
  </si>
  <si>
    <t>Rakusa-Suszczewski, RS (corresponding author), Polish Acad Sci, Ctr Sci, Moscow, Russia.</t>
  </si>
  <si>
    <t>domanov@ocean.ru</t>
  </si>
  <si>
    <t>KBN [3 P04 02325]</t>
  </si>
  <si>
    <t>KBN(Polish State Committee for Scientific Research)</t>
  </si>
  <si>
    <t>This study was supported by the grant KBN no. 3 P04 02325.</t>
  </si>
  <si>
    <t>1062-3590</t>
  </si>
  <si>
    <t>1608-3059</t>
  </si>
  <si>
    <t>BIOL BULL+</t>
  </si>
  <si>
    <t>Biol. Bull</t>
  </si>
  <si>
    <t>10.1134/S1062359010010085</t>
  </si>
  <si>
    <t>553RL</t>
  </si>
  <si>
    <t>WOS:000274384400008</t>
  </si>
  <si>
    <t>Bull, JC; Kenyon, EJ; Edmunds, D; Cook, KJ</t>
  </si>
  <si>
    <t>Bull, James C.; Kenyon, Emma J.; Edmunds, Danny; Cook, Kevan J.</t>
  </si>
  <si>
    <t>Recent loss of Gibraltar seagrasses</t>
  </si>
  <si>
    <t>BOTANICA MARINA</t>
  </si>
  <si>
    <t>Gibraltar; Posidonia oceanica; seagrass loss; survey; Zostera marina</t>
  </si>
  <si>
    <t>Worldwide, seagrasses face threats including climate change, disease and anthropogenic disturbance, with populations at the extremes of species' distributions likely presaging future problems elsewhere in their geographical ranges. At the geographic limits of two marine macrophytes (Zostera marina and Posidonia oceanica) and under intense urbanization, seagrasses around Gibraltar are particularly vulnerable. However, the last published survey of Gibraltar seagrass meadows, in 1993, showed both species were abundant. We resurveyed this area and were unable to locate any seagrass in Gibraltar waters. Extensive coastal development and land reclamation make much former seagrass habitat in Gibraltar waters unsuitable, presenting substantial hurdles to any future restoration efforts.</t>
  </si>
  <si>
    <t>[Bull, James C.] Univ Warwick, Dept Biol Sci, Populat &amp; Dis Grp, Coventry CV4 7AL, W Midlands, England; [Kenyon, Emma J.] Wellcome Trust Sanger Inst, Cambridge CB10 1HH, England; [Edmunds, Danny] British Antarctic Survey, Cambridge CB3 0ET, England; [Cook, Kevan J.] Nat England, Truro TR1 1XU, England</t>
  </si>
  <si>
    <t>University of Warwick; Wellcome Trust Sanger Institute; UK Research &amp; Innovation (UKRI); Natural Environment Research Council (NERC); NERC British Antarctic Survey</t>
  </si>
  <si>
    <t>Bull, JC (corresponding author), Univ Warwick, Dept Biol Sci, Populat &amp; Dis Grp, Coventry CV4 7AL, W Midlands, England.</t>
  </si>
  <si>
    <t>j.c.bull@warwick.ac.uk</t>
  </si>
  <si>
    <t>Bull, James/0000-0002-4373-6830</t>
  </si>
  <si>
    <t>British Ecological Society [1849/2281]</t>
  </si>
  <si>
    <t>British Ecological Society</t>
  </si>
  <si>
    <t>We are particularly grateful to Dr. Eric Shaw of the Gibraltar Ornithology and Natural History Society and the Helping Hand Marine Research charity (http://www. gibnet. gi/; helpinghand/, most recently accessed, 25/06/09) for extensive logistical help whilst in Gibraltar, as well has his expert local knowledge of past seagrass meadow locations. In addition, we thank Dr. Darren Fa of the Gibraltar Museum for further information and maps of seagrass habitat around Gibraltar, particularly in the Parque Natural del Rio Palmones, Spain. This work was supported by a Small Ecological Projects Grant, no. 1849/2281, from the British Ecological Society.</t>
  </si>
  <si>
    <t>WALTER DE GRUYTER GMBH</t>
  </si>
  <si>
    <t>BERLIN</t>
  </si>
  <si>
    <t>GENTHINER STRASSE 13, D-10785 BERLIN, GERMANY</t>
  </si>
  <si>
    <t>0006-8055</t>
  </si>
  <si>
    <t>1437-4323</t>
  </si>
  <si>
    <t>BOT MAR</t>
  </si>
  <si>
    <t>Bot. Marina</t>
  </si>
  <si>
    <t>10.1515/BOT.2010.003</t>
  </si>
  <si>
    <t>551FK</t>
  </si>
  <si>
    <t>WOS:000274192000009</t>
  </si>
  <si>
    <t>Oliveira, NM; Hilker, FM</t>
  </si>
  <si>
    <t>Oliveira, Nuno M.; Hilker, Frank M.</t>
  </si>
  <si>
    <t>Modelling Disease Introduction as Biological Control of Invasive Predators to Preserve Endangered Prey</t>
  </si>
  <si>
    <t>BULLETIN OF MATHEMATICAL BIOLOGY</t>
  </si>
  <si>
    <t>Eco-epidemiological model; Bio-control; Invasive species removal; Island ecosystem restoration; Seabird conservation; Pathogen release; Reproduction number; Forward and backward Hopf bifurcations</t>
  </si>
  <si>
    <t>FELINE-IMMUNODEFICIENCY-VIRUS; POPULATION-DYNAMICS; FERAL CATS; INFECTIOUS-DISEASES; TRANSMISSION; ISLAND; PROCELLARIIDAE; EPIDEMIOLOGY; ERADICATION; PATHOGENS</t>
  </si>
  <si>
    <t>Invasive species are a significant cause of bio-diversity loss particularly in island ecosystems. It has been suggested to release pathogenic parasites as an efficient control measure of these mostly immune-naive populations. In order to explore the potential impacts of such bio-control approach, we construct and investigate mathematical models describing disease dynamics in a host population that acts as a predator embedded in a simple food chain. The consequences of Feline Immunodeficiency Virus (FIV) introduction into a closed ecosystem are addressed using a bi-trophic system, comprising an indigenous prey (birds) and an introduced predator (cats). Our results show that FIV is unlikely to fully eradicate cats on sub-Antarctic islands, but it can be efficient in depressing their population size, allowing for the recovery of the endangered prey. Depending on the ecological setting and disease transmission mode (we consider proportionate mixing as well as mass action), successful pathogen invasion can induce population oscillations that are not possible in the disease-free predator-prey system. These fluctuations can be seen as a mixed blessing from a management point of view. On the one hand, they may increase the extinction risk of the birds. On the other hand, they provide an opportunity to eradicate cats more easily in combination with other methods such as trapping or culling.</t>
  </si>
  <si>
    <t>[Oliveira, Nuno M.] Inst Gulbenkian Ciencias, P-2781901 Oeiras, Portugal; [Oliveira, Nuno M.] Univ Lisbon, Fac Ciencias, Dept Biol Anim, P-1749016 Lisbon, Portugal; [Hilker, Frank M.] Univ Alberta, Dept Math &amp; Stat Sci, Ctr Math Biol, Edmonton, AB T6G 2G1, Canada; [Hilker, Frank M.] Univ Lisbon, Ctr Matemat &amp; Aplicacoes Fundamentais, P-1649003 Lisbon, Portugal</t>
  </si>
  <si>
    <t>Instituto Gulbenkian de Ciencia; Universidade de Lisboa; University of Alberta; Universidade de Lisboa</t>
  </si>
  <si>
    <t>Hilker, FM (corresponding author), Univ Bath, Dept Math Sci, Bath BA2 7AY, Avon, England.</t>
  </si>
  <si>
    <t>noliveira@igc.gulbenkian.pt; f.hilker@bath.ac.uk</t>
  </si>
  <si>
    <t>Hilker, Frank M/B-8624-2008</t>
  </si>
  <si>
    <t>Hilker, Frank M/0000-0001-5470-8889</t>
  </si>
  <si>
    <t>0092-8240</t>
  </si>
  <si>
    <t>1522-9602</t>
  </si>
  <si>
    <t>B MATH BIOL</t>
  </si>
  <si>
    <t>Bull. Math. Biol.</t>
  </si>
  <si>
    <t>10.1007/s11538-009-9454-2</t>
  </si>
  <si>
    <t>Biology; Mathematical &amp; Computational Biology</t>
  </si>
  <si>
    <t>Life Sciences &amp; Biomedicine - Other Topics; Mathematical &amp; Computational Biology</t>
  </si>
  <si>
    <t>562QO</t>
  </si>
  <si>
    <t>WOS:000275068300009</t>
  </si>
  <si>
    <t>Salomon, M; Voisin, JF</t>
  </si>
  <si>
    <t>Salomon, Marc; Voisin, Jean-Francois</t>
  </si>
  <si>
    <t>Ecogeographical variation in the Southern Giant Petrel (Macronectes giganteus)</t>
  </si>
  <si>
    <t>CANADIAN JOURNAL OF ZOOLOGY</t>
  </si>
  <si>
    <t>MORPHOLOGICAL VARIATION; FIELD-MOUSE; BODY-SIZE; SELECTION; EVOLUTION; ISLANDS</t>
  </si>
  <si>
    <t>The Southern Giant Petrel (Macronectes giganteus (Gmelin, 1789); Ayes, Procellariiformes), ranging from New Zealand to the Graham Peninsula and Patagonia and also from coastal Antarctica to Gough Island, displays significant geographic variation throughout its range. Six breeding provinces were identified, which show significant interpopulational variation. The formerly proposed subspecies Macronectes giganteus giganteus and Macronectes giganteus solanderi were confirmed. Macronectes giganteus solanderi has smaller homologuous parts than M. g. giganteus. Two of the provinces belong to the subspecies M. g. solanderi. Females are smaller and have shorter bills than males. In M. g. giganteus, outer appendages are longer in the sub-Antarctic than in the Antarctic, which is consistent with Allen's rule. Moreover, an east-to-west cline shows a gradual decrease in body size. Within M. g. solanderi, the Chubut River Estuary (Argentina) and the Falkland Islands form the southern province, and Gough Island the northern province. The birds have shallower bills in Argentina than in the Falklands or Gough, but tarsi are longest in Gough. Macronectes giganteus giganteus is morphologically polymorphic but taxonomically stable, whereas M. g. solanderi, which is biometrically less variable, could undergo taxonomical differentiation. This paper gives arguments for further morphometric and genetic studies on the taxon.</t>
  </si>
  <si>
    <t>[Salomon, Marc] Univ Paris 06, AnBioPhy, FRE 3207, F-75005 Paris, France; [Voisin, Jean-Francois] Museum Natl Hist Nat, USM 305, F-75005 Paris, France</t>
  </si>
  <si>
    <t>Sorbonne Universite; Museum National d'Histoire Naturelle (MNHN)</t>
  </si>
  <si>
    <t>Salomon, M (corresponding author), Univ Paris 06, AnBioPhy, FRE 3207, 4 Pl Jussieu,Case Courier 138, F-75005 Paris, France.</t>
  </si>
  <si>
    <t>marc.salomon@upmc.fr</t>
  </si>
  <si>
    <t>Salomon, Marc/0000-0003-4108-4143</t>
  </si>
  <si>
    <t>CANADIAN SCIENCE PUBLISHING</t>
  </si>
  <si>
    <t>0008-4301</t>
  </si>
  <si>
    <t>1480-3283</t>
  </si>
  <si>
    <t>CAN J ZOOL</t>
  </si>
  <si>
    <t>Can. J. Zool.</t>
  </si>
  <si>
    <t>10.1139/Z09-134</t>
  </si>
  <si>
    <t>572HV</t>
  </si>
  <si>
    <t>WOS:000275819600008</t>
  </si>
  <si>
    <t>Cipro, CVZ; Taniguchi, S; Montone, RC</t>
  </si>
  <si>
    <t>Cipro, Caio V. Z.; Taniguchi, Satie; Montone, Rosalinda Carmela</t>
  </si>
  <si>
    <t>Occurrence of organochlorine compounds in Euphausia superba and unhatched eggs of Pygoscelis genus penguins from Admiralty Bay (King George Island, Antarctica) and estimation of biomagnification factors</t>
  </si>
  <si>
    <t>CHEMOSPHERE</t>
  </si>
  <si>
    <t>Organochlorine; PCBs; Pesticides; Penguins; Krill; Antarctica</t>
  </si>
  <si>
    <t>ORGANIC POLLUTANTS POPS; CHLORINATED PESTICIDES; SEABIRD EGGS; RESIDUES; TRENDS; SEA</t>
  </si>
  <si>
    <t>Polychlorinated biphenyls (PCBs) and organochlorine pesticides are compounds that do not occur naturally in the environment and are not easily degraded by chemical or microbiological action. In the present work, those compounds were analysed in unhatched penguin eggs and whole krill collected in Admiralty Bay, King George Island, Antarctica in the austral summers of 2004-2005 and 2005-2006. The compounds found in higher levels (in a wet weight basis) were, in most of the egg samples, the PCBs (2.53-78.7 ng g(-1)), DDTs (2.07-38.0 ng g(-1)) and HCB (4.99-39.1 ng g(-1)) and after Kruskal-Wallis ANOVA, the occurrence seemed to be species-specific for the Pygoscelis genus. In all of the cases, the levels found were not higher than the ones in Arctic birds in a similar trophic level. The krill samples analysis allowed estimating the biomagnification factors (which resulted in up to 363 for HCB, one order of magnitude higher than DDTs and chlordanes and two orders of magnitude higher than the other groups) of the compounds found in eggs, whose only source of contamination is the female-offspring transfer. (C) 2009 Elsevier Ltd. All rights reserved.</t>
  </si>
  <si>
    <t>[Cipro, Caio V. Z.; Taniguchi, Satie; Montone, Rosalinda Carmela] Univ Sao Paulo, Inst Oceanog, BR-05508120 Sao Paulo, Brazil</t>
  </si>
  <si>
    <t>Universidade de Sao Paulo</t>
  </si>
  <si>
    <t>Cipro, CVZ (corresponding author), Univ Sao Paulo, Inst Oceanog, Praca Oceanog 191,Cidade Univ, BR-05508120 Sao Paulo, Brazil.</t>
  </si>
  <si>
    <t>caiovzc@usp.br</t>
  </si>
  <si>
    <t>Montone, Rosalinda C/J-9110-2012; Zecchin Cipro, Caio Vinicius/C-6338-2014; Taniguchi, Satie/D-2552-2013</t>
  </si>
  <si>
    <t>Zecchin Cipro, Caio Vinicius/0000-0002-7028-6353; Taniguchi, Satie/0000-0002-6825-6390</t>
  </si>
  <si>
    <t>Ministry of the Environment (MMA) [55.0348/2002-6]; Conselho Nacional de Desenvolvimento Cientifico a Tecnologico (CNPq); Secretaria da Comissao Interministerial para os Recursos do Mar (SECIRM)</t>
  </si>
  <si>
    <t>Ministry of the Environment (MMA); Conselho Nacional de Desenvolvimento Cientifico a Tecnologico (CNPq)(Conselho Nacional de Desenvolvimento Cientifico e Tecnologico (CNPQ)); Secretaria da Comissao Interministerial para os Recursos do Mar (SECIRM)</t>
  </si>
  <si>
    <t>This work is part of project Environmental Management at Admiralty Bay, King George Island, Antarctica: Persistent organic pollutants and sewage (process number: 55.0348/2002-6) funded by the Brazilian Antarctic Program (PROANTAR), sponsored by Ministry of the Environment (MMA) and Conselho Nacional de Desenvolvimento Cientifico a Tecnologico (CNPq) with logistical support from the Secretaria da Comissao Interministerial para os Recursos do Mar (SECIRM).</t>
  </si>
  <si>
    <t>0045-6535</t>
  </si>
  <si>
    <t>Chemosphere</t>
  </si>
  <si>
    <t>10.1016/j.chemosphere.2009.10.006</t>
  </si>
  <si>
    <t>561AA</t>
  </si>
  <si>
    <t>WOS:000274945900018</t>
  </si>
  <si>
    <t>Cui, XB; Sun, B; Tian, G; Tang, XY; Zhang, XP; Jiang, YY; Guo, JX; Li, X</t>
  </si>
  <si>
    <t>Cui XiangBin; Sun Bo; Tian Gang; Tang XueYuan; Zhang XiangPei; Jiang YunYun; Guo JingXue; Li Xin</t>
  </si>
  <si>
    <t>Ice radar investigation at Dome A, East Antarctica: Ice thickness and subglacial topography</t>
  </si>
  <si>
    <t>Antarctica; ice sheet; Dome A; ice radar; ice thickness; subglacial topography; deep ice core</t>
  </si>
  <si>
    <t>Dome A, located in the central East Antarctic ice sheet (EAIS), is the highest summit of the Antarctic ice sheet. From ice-sheet evolution modeling results, Dome A is likely to preserve over one million years of the Earth's paleo-climatic and -environmental records, and considered an ideal deep ice core drilling site. Ice thickness and subglacial topography are critical factors for ice-sheet models to determine the timescale and location of a deep ice core. During the 21st and 24th Chinese National Antarctic Research Expedition (CHINARE 21, 2004/05; CHINARE 24, 2007/08), ground-based ice radar systems were used to a three-dimensional investigation in the central 30 kmx30 km region at Dome A. The successfully obtained high resolution and accuracy data of ice thickness and subglacial topography were then interpolated into the ice thickness distribution and subglacial topography digital elevation model (DEM) with a regular grid resolution of 140.5 mx140.5 m. The results of the ice radar investigation indicate that the average ice thickness in the Dome A central 30 kmx30 km region is 2233 m, with a minimal ice thickness of 1618 m and a maximal ice thickness of 3139 m at Kunlun Station. The subglacial topography is relatively sharp, with an elevation range of 949-2445 m. The typical, clear mountain glaciation morphology is likely to reflect the early evolution of the Antarctic ice sheet. Based on the ice thickness distribution and subglacial topography characteristics, the location of Kunlun Station was suggested to carry out the first high-resolution, long time-scale deep ice core drilling. However, the internal structure and basal environments at Kunlun Station still need further research to determine.</t>
  </si>
  <si>
    <t>[Cui XiangBin; Sun Bo; Tang XueYuan; Zhang XiangPei; Jiang YunYun; Guo JingXue; Li Xin] Polar Res Inst China, Shanghai 200136, Peoples R China; [Cui XiangBin; Tian Gang] Zhejiang Univ, Dept Earth Sci, Hangzhou 310027, Peoples R China</t>
  </si>
  <si>
    <t>Polar Research Institute of China; Zhejiang University</t>
  </si>
  <si>
    <t>Sun, B (corresponding author), Polar Res Inst China, Shanghai 200136, Peoples R China.</t>
  </si>
  <si>
    <t>sunbo@pric.gov.cn</t>
  </si>
  <si>
    <t>Cui, Xiangbin/Y-1551-2019; sun, bo/JFA-9978-2023</t>
  </si>
  <si>
    <t>Cui, Xiangbin/0000-0002-4269-8086;</t>
  </si>
  <si>
    <t>Ministry of Science and Technology of China [2006BAB18B01]; National Natural Science Foundation of China [40476005]; Polar Strategy Research Foundation in China [20070215]</t>
  </si>
  <si>
    <t>Ministry of Science and Technology of China(Ministry of Science and Technology, China); National Natural Science Foundation of China(National Natural Science Foundation of China (NSFC)); Polar Strategy Research Foundation in China</t>
  </si>
  <si>
    <t>The authors would like to thank the 21st and 24th Chinese National Antarctic Research Expedition and many teammates for their selfless help in the field data collection, the Oceanographic division ( Polar Research Institute of China) for providing good research conditions, as well as all colleagues for their advice and help. This work was supported by the Ministry of Science and Technology of China ( Grant No. 2006BAB18B01), National Natural Science Foundation of China ( Grant No. 40476005) and Polar Strategy Research Foundation in China ( Grant No. 20070215).</t>
  </si>
  <si>
    <t>10.1007/s11434-009-0546-z</t>
  </si>
  <si>
    <t>559RJ</t>
  </si>
  <si>
    <t>WOS:000274843600016</t>
  </si>
  <si>
    <t>Vivier, F; Iudicone, D; Busdraghi, F; Park, YH</t>
  </si>
  <si>
    <t>Vivier, Frederic; Iudicone, Daniele; Busdraghi, Fabiano; Park, Young-Hyang</t>
  </si>
  <si>
    <t>Dynamics of sea-surface temperature anomalies in the Southern Ocean diagnosed from a 2D mixed-layer model</t>
  </si>
  <si>
    <t>CLIMATE DYNAMICS</t>
  </si>
  <si>
    <t>Southern Ocean; SST anomalies; Mixed layer; Heat budget; ENSO; SAM</t>
  </si>
  <si>
    <t>ANTARCTIC CIRCUMPOLAR WAVE; KUROSHIO EXTENSION REGION; DRAKE PASSAGE; HEAT-BUDGET; ATMOSPHERE INTERACTION; DECADAL VARIABILITY; CIRCULATION MODEL; MOMENTUM BALANCE; NORTH PACIFIC; SST ANOMALIES</t>
  </si>
  <si>
    <t>We analyze the processes responsible for the generation and evolution of sea-surface temperature anomalies observed in the Southern Ocean during a decade based on a 2D diagnostic mixed-layer model in which geostrophic advection is prescribed from altimetry. Anomalous air-sea heat flux is the dominant term of the heat budget over most of the domain, while anomalous Ekman heat fluxes account for 20-40% of the variance in the latitude band 40A degrees-60A degrees S. In the ACC pathway, lateral fluxes of heat associated with anomalous geostrophic currents are a major contributor, dominating downstream of several topographic features, reflecting the influence of eddies and frontal migrations. A significant fraction of the variability of large-scale SST anomalies is correlated with either ENSO or the SAM, each mode contributing roughly equally. The relation between the heat budget terms and these climate modes is investigated, showing in particular that anomalous Ekman and air-sea heat fluxes have a co-operating effect (with regional exceptions), hence the large SST response associated with each mode. It is further shown that ENSO- or SAM-locked anomalous geostrophic currents generate substantial heat fluxes in all three basins with magnitude comparable with that of atmospheric forcings for ENSO, and smaller for the SAM except for limited areas. ENSO-locked forcings generate SST anomalies along the ACC pathway, and advection by mean flows is found to be a non-negligible contribution to the heat budget, exhibiting a wavenumber two zonal structure, characteristic of the Antarctic Circumpolar Wave. By contrast SAM-related forcings are predominantly zonally uniform along the ACC, hence smaller zonal SST gradients and a lesser role of mean advection, except in the SouthWest Atlantic. While modeled SST anomalies are significantly correlated with observations over most of the Southern Ocean, the analysis of the data-model discrepancies suggests that vertical ocean physics may play a significant role in the nonseasonal heat budget, especially in some key regions for mode water formation.</t>
  </si>
  <si>
    <t>[Vivier, Frederic] Univ Paris 06, CNRS, LOCEAN IPSL, F-75005 Paris, France; [Iudicone, Daniele; Busdraghi, Fabiano] SZN, Naples, Italy; [Park, Young-Hyang] Museum Natl Hist Nat, LOCEAN IPSL, F-75231 Paris, France</t>
  </si>
  <si>
    <t>Sorbonne Universite; Museum National d'Histoire Naturelle (MNHN); Centre National de la Recherche Scientifique (CNRS); Sorbonne Universite; Museum National d'Histoire Naturelle (MNHN)</t>
  </si>
  <si>
    <t>Vivier, F (corresponding author), Univ Paris 06, CNRS, LOCEAN IPSL, 4 Pl Jussieu, F-75005 Paris, France.</t>
  </si>
  <si>
    <t>Frederic.Vivier@locean-ipsl.upmc.fr</t>
  </si>
  <si>
    <t>Iudicone, Daniele/B-9008-2008</t>
  </si>
  <si>
    <t>Vivier, Frederic/0000-0003-2539-4133; Iudicone, Daniele/0000-0002-7473-394X</t>
  </si>
  <si>
    <t>0930-7575</t>
  </si>
  <si>
    <t>1432-0894</t>
  </si>
  <si>
    <t>CLIM DYNAM</t>
  </si>
  <si>
    <t>Clim. Dyn.</t>
  </si>
  <si>
    <t>10.1007/s00382-009-0724-3</t>
  </si>
  <si>
    <t>546JZ</t>
  </si>
  <si>
    <t>WOS:000273808400001</t>
  </si>
  <si>
    <t>Brierley, CM; Collins, M; Thorpe, AJ</t>
  </si>
  <si>
    <t>Brierley, Chris M.; Collins, Matthew; Thorpe, Alan J.</t>
  </si>
  <si>
    <t>The impact of perturbations to ocean-model parameters on climate and climate change in a coupled model</t>
  </si>
  <si>
    <t>Climate; Ocean; Parameter; Uncertainty; Ensemble prediction</t>
  </si>
  <si>
    <t>ANTARCTIC CIRCUMPOLAR CURRENT; GENERAL-CIRCULATION MODEL; THERMOHALINE CIRCULATION; DIAPYCNAL DIFFUSIVITY; HEAT TRANSPORTS; SENSITIVITY; UNCERTAINTY; TEMPERATURE; VARIABILITY; PREDICTIONS</t>
  </si>
  <si>
    <t>Assessments of the impacts of uncertainties in parameters on mean climate and climate change in complex climate models have, to date, largely focussed on perturbations to parameters in the atmosphere component of the model. Here we expand on a previously published study which found the global impacts of perturbed ocean parameters on the rate of transient climate change to be small compared to perturbed atmosphere parameters. By separating the climate-change-induced ocean vertical heat transport in each perturbed member into components associated with the resolved flow and each parameterisation scheme, we show that variations in global mean heat uptake in different perturbed versions are an order of magnitude smaller than the average heat uptake. The lack of impact of the perturbations is attributed to (1) the relatively small impact of the perturbation on the direct vertical heat transport associated with the perturbed process and (2) a compensation between those direct changes and indirect changes in heat transport from other processes. Interactions between processes and changes appear to combine in complex ways to limit ensemble spread and uncertainty in the rate of warming. We also investigate regional impacts of the perturbations that may be important for climate change predictions. We find variations across the ensemble that are significant when measured against natural variability. In terms of the experimental set-up used here (models without flux adjustments) we conclude that perturbed physics ensembles with ocean parameter perturbations are an important component of any probabilistic estimate of future climate change, despite the low spread in global mean quantities. Hence, careful consideration should be given to assessing uncertainty in ocean processes in future probabilistic assessments of regional climate change.</t>
  </si>
  <si>
    <t>[Brierley, Chris M.] Yale Univ, Dept Geol &amp; Geophys, New Haven, CT 06520 USA; [Brierley, Chris M.] Univ Reading, Dept Meteorol, Reading, Berks, England; [Collins, Matthew] Met Off, Hadley Ctr, Exeter, Devon, England; [Thorpe, Alan J.] NERC, Swindon, Wilts, England</t>
  </si>
  <si>
    <t>Yale University; University of Reading; Met Office - UK; Hadley Centre; UK Research &amp; Innovation (UKRI); Natural Environment Research Council (NERC)</t>
  </si>
  <si>
    <t>Brierley, CM (corresponding author), Yale Univ, Dept Geol &amp; Geophys, 210 Whitney Ave, New Haven, CT 06520 USA.</t>
  </si>
  <si>
    <t>Christopher.Brierley@yale.edu</t>
  </si>
  <si>
    <t>Brierley, Chris M/A-8417-2009; Collins, Matthew/F-8473-2011</t>
  </si>
  <si>
    <t>Brierley, Chris M/0000-0002-9195-6731; Collins, Matthew/0000-0003-3785-6008</t>
  </si>
  <si>
    <t>10.1007/s00382-008-0486-3</t>
  </si>
  <si>
    <t>WOS:000273808400010</t>
  </si>
  <si>
    <t>Menéndez, CG; Carril, AF</t>
  </si>
  <si>
    <t>Menendez, Claudio G.; Carril, Andrea F.</t>
  </si>
  <si>
    <t>Potential changes in extremes and links with the Southern Annular Mode as simulated by a multi-model ensemble</t>
  </si>
  <si>
    <t>ANTARCTIC OSCILLATION; AUSTRALIAN RAINFALL; CLIMATE VARIABILITY; HEMISPHERE; TEMPERATURE; CIRCULATION; TRENDS; 20TH-CENTURY; AMERICA; INDEXES</t>
  </si>
  <si>
    <t>We assess the likely changes in climate extremes under enhanced greenhouse gases over the southern extratropics, with emphasis in southern South America and sub-Antarctic seas, through the analysis of extreme indices measured from models participating in the IPCC 4th Assessment Report. We discuss how the anthropogenic climate change under A1B scenario influences both the patterns of mean change of extreme indices and the likelihood of occurrence of severe extreme indices. The likelihood of occurrence of a year with a large number of days with warm minimum temperatures is estimated to increase by a factor of 4 by the end of this century over most of the southern extratropics. By that time, the risk of severe precipitation intensity is projected to rise in most areas with the exception of the subtropical anticyclones, which experience particularly strong drying. Over the Southern Ocean this likelihood has increased to over 60%. Corresponding estimates of the changing likelihood for very long dry spells show a banded structure with positive ratios to the north of about 50 degrees S and negative ratios in the sub Antarctic seas. In southern South America this risk about doubled between present and future climates. Then, we explore if the Southern Annular Mode influences the occurrence of severe extreme indices during the period 2070-2099. Its positive phase inhibits the extremely warm minimum temperatures in the Southern Ocean, with the exception of the eastern Bellingshausen Sea, and favors severe frost days to the north of the Ross Sea. Temperature indices show very little change induced by the SAM to the north of 50 degrees S. Severe dry spells are inhibited during the positive phase along the sub Antarctic seas, while the mid-latitudes, including most of Patagonia, show the opposite behaviour. The Southern Ocean reveals a non-uniform distribution with both increases and decreases in the occurrence of heavier precipitation during positive SAM.</t>
  </si>
  <si>
    <t>[Menendez, Claudio G.; Carril, Andrea F.] CONICET UBA, Ctr Invest Mar &amp; Atmosfera, RA-1428 Buenos Aires, DF, Argentina; [Menendez, Claudio G.] Univ Buenos Aires, Dept Ciencias Atmosfera &amp; Oceanos, Buenos Aires, DF, Argentina</t>
  </si>
  <si>
    <t>Consejo Nacional de Investigaciones Cientificas y Tecnicas (CONICET); University of Buenos Aires; University of Buenos Aires</t>
  </si>
  <si>
    <t>Menéndez, CG (corresponding author), CONICET UBA, Ctr Invest Mar &amp; Atmosfera, Pabellon 2,Piso 2,Ciudad Univ, RA-1428 Buenos Aires, DF, Argentina.</t>
  </si>
  <si>
    <t>menendez@cima.fcen.uba.ar</t>
  </si>
  <si>
    <t>Carril, Andrea F./GON-3361-2022</t>
  </si>
  <si>
    <t>Carril, Andrea F./0000-0003-3743-9685; Menendez, Claudio Guillermo/0000-0002-2779-7123</t>
  </si>
  <si>
    <t>Office of Science, US Department of Energy; CONICET, Argentina [PIP 5416]</t>
  </si>
  <si>
    <t>Office of Science, US Department of Energy(United States Department of Energy (DOE)); CONICET, Argentina(Consejo Nacional de Investigaciones Cientificas y Tecnicas (CONICET))</t>
  </si>
  <si>
    <t>This research was done in the framework of CLARIS EU project. Comments by two anonymous reviewers helped to improve the manuscript. We acknowledge the international modeling groups for providing their data for analysis, the Program for Climate Model Diagnosis and Intercomparison (PCMDI) for collecting and archiving the model data, the JSC/CLIVAR Working Group on Coupled Modelling (WGCM) and their Coupled Model Intercomparison Project (CMIP) and Climate Simulation Panel for organizing the model data analysis activity, and the IPCC WG1 TSU for technical support. The IPCC Data Archive at Lawrence Livermore National Laboratory is supported by the Office of Science, US Department of Energy. C. G. Menendez was partially supported by project PIP 5416 (CONICET, Argentina).</t>
  </si>
  <si>
    <t>10.1007/s10584-009-9735-7</t>
  </si>
  <si>
    <t>565UA</t>
  </si>
  <si>
    <t>WOS:000275319100003</t>
  </si>
  <si>
    <t>Magalhaes, BS; Fiamoncini, J; Deschamps, FC; Curi, R; Silva, LP</t>
  </si>
  <si>
    <t>Magalhaes, B. S.; Fiamoncini, J.; Deschamps, F. C.; Curi, R.; Silva, L. P.</t>
  </si>
  <si>
    <t>Comparison of fatty acid composition in nine organs of the sympatric Antarctic teleost fish species Notothenia coriiceps and Notothenia rossii (Perciformes: Nototheniidae)</t>
  </si>
  <si>
    <t>Antarctica; Antarctic teleosts; Fatty acids; Lipids; Notothenia; Polyunsaturated fatty acids</t>
  </si>
  <si>
    <t>ONCORHYNCHUS-MYKISS; ATLANTIC SALMON; RAINBOW-TROUT; LIPID COMPOSITIONS; METABOLISM; RICHARDSON; LIVER; DIETS; OIL</t>
  </si>
  <si>
    <t>Fatty acid (FA) composition of nine organs from two closely related Antarctic fish species, Notothenia codiceps and Notothenia rossii, was determined through gas chromatography with flame ionization detection. A data set for each species was obtained using major FA profiles from specimens caught in the sea waters of Admiralty Bay during the summer season. The FA profiles for both species are overall similar, but organ peculiarities have been found, which could reflect metabolic specificities and feeding habits between species. With the exception of liver, the most abundant FA in organs was the n-3 polyunsaturated FA. The total n-6 polyunsaturated FAs were minor components in all evaluated organs. Palmitic acid was identified as the major saturated FA, whereas oleic acid was the most represented of the monounsaturated FA in almost all assessed organs of both species. The n-3/n-6 ratios of all organs were higher than 3.5. Differences in individual FA and FA metabolic profiles of some organs observed between N. coriiceps and N. rossii suggest specific requirements in the mobilization, transport, incorporation, and/or catabolism of lipids that were reinforced by differences on some FA ratios expressing the activity coefficient of enzymes implicated on the FA pathway flux. (C) 2009 Elsevier Inc. All rights reserved.</t>
  </si>
  <si>
    <t>[Magalhaes, B. S.; Silva, L. P.] Embrapa Recursos Genet &amp; Biotecnol, NTBio, Lab Espectrometria Massa, BR-70770917 Brasilia, DF, Brazil; [Magalhaes, B. S.] Univ Catolica Brasilia, Brasilia, DF, Brazil; [Fiamoncini, J.; Curi, R.] Univ Sao Paulo, Inst Ciencias Biomed, Dept Fisiol &amp; Biofis, BR-05508 Sao Paulo, Brazil; [Deschamps, F. C.] EPAGRI UNIVALI Empresa Pesquisa Agropecuaria &amp; Ex, Secretaria Agr Estado Santa Catarina, Estacao Expt Itajai, Itajai, SC, Brazil</t>
  </si>
  <si>
    <t>Empresa Brasileira de Pesquisa Agropecuaria (EMBRAPA); Universidade Catolica de Brasilia; Universidade de Sao Paulo</t>
  </si>
  <si>
    <t>Silva, LP (corresponding author), Embrapa Recursos Genet &amp; Biotecnol, NTBio, Lab Espectrometria Massa, BR-70770917 Brasilia, DF, Brazil.</t>
  </si>
  <si>
    <t>paulinol@cenargen.embrapa.br</t>
  </si>
  <si>
    <t>Curi, Rui/C-9351-2012; Silva, Luciano Paulino/G-4915-2012; Fiamoncini, Jarlei/L-5497-2017</t>
  </si>
  <si>
    <t>Silva, Luciano Paulino/0000-0001-9075-7725; Fiamoncini, Jarlei/0000-0002-8456-983X</t>
  </si>
  <si>
    <t>Brazilian Agency CNPq [550036/2007-5, 484201/2007-7, 302018/2008-5]; Brazilian Antarctic Program (PROANTAR) at Estacao Antartica Comandante Ferraz</t>
  </si>
  <si>
    <t>Brazilian Agency CNPq(Conselho Nacional de Desenvolvimento Cientifico e Tecnologico (CNPQ)); Brazilian Antarctic Program (PROANTAR) at Estacao Antartica Comandante Ferraz</t>
  </si>
  <si>
    <t>The present study has been funded by the Brazilian Agency CNPq (Project numbers: 550036/2007-5, 484201/2007-7, and 302018/2008-5). We fully appreciate the logistic support given by the Brazilian Antarctic Program (PROANTAR) at Estacao Antartica Comandante Ferraz.</t>
  </si>
  <si>
    <t>10.1016/j.cbpb.2009.10.012</t>
  </si>
  <si>
    <t>547YY</t>
  </si>
  <si>
    <t>WOS:000273927000006</t>
  </si>
  <si>
    <t>Rodehacke, CB; Roether, W; Hellmer, HH; Hall, T</t>
  </si>
  <si>
    <t>Rodehacke, Christian B.; Roether, Wolfgang; Hellmer, Hartmut H.; Hall, Timothy</t>
  </si>
  <si>
    <t>Temporal variations and trends of CFC11 and CFC12 surface-water saturations in Antarctic marginal seas: Results of a regional ocean circulation model</t>
  </si>
  <si>
    <t>Tracers; Chlorofluorocarbons; Saturation; Antarctic bottom water; Southern ocean; Tracer inventory</t>
  </si>
  <si>
    <t>RONNE ICE SHELF; ATLANTIC DEEP-WATER; WEDDELL SEA; BOTTOM-WATER; FORMATION RATES; WIND-SPEED; VENTILATION; BENEATH; CFC-11; PARAMETERIZATION</t>
  </si>
  <si>
    <t>The knowledge of chlorofluorocarbon (CFC11, CFC12) concentrations in ocean surface waters is a prerequisite for deriving formation rates of, and water mass ages in, deep and bottom waters on the basis of CFC data. In the Antarctic coastal region, surface-layer data are sparse in time and space, primarily due to the limited accessibility of the region. To help filling this gap, we carried Out CFC simulations using a regional ocean general circulation model (OGCM) for the Southern Ocean, which includes the ocean-ice shelf interaction. The simulated surface layer saturations, i.e. the actual surface concentrations relative to solubility-equilibrium values, are verified against available observations. The CFC surface saturations driven by concentration gradients between atmosphere and ocean are controlled mainly by the sea ice cover, sea surface temperature, and salinity. However, no uniform explanation exists for the controlling mechanisms. Here, we present simulated long-term trends and seasonal variations of surface-layer saturation at Southern Ocean deep and bottom water formation sites and other key regions, and we discuss differences between these regions. The amplitudes of the seasonal saturation cycle vary from 22% to 66% and their long-term trends range from 0.1%/year to 0.9%/year. The seasonal surface saturation maximum lags the ice cover minimum by two months. By utilizing observed bottle data the full seasonal CFC saturation cycle can be determined offering the possibility to predict long-term trends in the future. We show that ignoring the trends and using instead the saturations actually observed can lead to systematic errors in deduced inventory-based formation Fates by up to 10% and suggest an erroneous decline with time. (C) 2009 Elsevier Ltd. All rights reserved.</t>
  </si>
  <si>
    <t>[Rodehacke, Christian B.; Roether, Wolfgang] Univ Bremen, Abt Ozeanog, Inst Umweltphys, D-28359 Bremen, Germany; [Rodehacke, Christian B.] Columbia Univ, Dept Appl Phys &amp; Appl Math, New York, NY 10025 USA; [Hellmer, Hartmut H.] Alfred Wegener Inst Polar &amp; Marine Res, Dept Climate Sci, D-27570 Bremerhaven, Germany; [Hall, Timothy] NASA, Goddard Inst Space Studies, New York, NY 10025 USA</t>
  </si>
  <si>
    <t>University of Bremen; Columbia University; Helmholtz Association; Alfred Wegener Institute, Helmholtz Centre for Polar &amp; Marine Research; National Aeronautics &amp; Space Administration (NASA); NASA Goddard Space Flight Center; Goddard Institute for Space Studies</t>
  </si>
  <si>
    <t>Rodehacke, CB (corresponding author), Zentrum Marine &amp; Atmospharen Wissensch, Inst Meeresforsch, Bundesstr 53, D-20146 Hamburg, Germany.</t>
  </si>
  <si>
    <t>christian.rodehacke@zmaw.de; wroether@physik.uni-bremen.de; hartmut.hellmer@awi.de; thall@giss.nasa.gov</t>
  </si>
  <si>
    <t>Rodehacke, Christian/0000-0003-3110-3857; Hellmer, Hartmut/0000-0002-9357-9853; Hall, Timothy/0000-0003-1755-4889</t>
  </si>
  <si>
    <t>Deutsche Forschungsgemeinschaft (DFG) [Ro 318/43]; National Ocean and Atmospheric Administration (NOAA) [NA04OAR4310122]</t>
  </si>
  <si>
    <t>Deutsche Forschungsgemeinschaft (DFG)(German Research Foundation (DFG)); National Ocean and Atmospheric Administration (NOAA)(National Oceanic Atmospheric Admin (NOAA) - USA)</t>
  </si>
  <si>
    <t>We thank R. Timmermann and C. Lichey for providing the model forcing fields. The sea ice concentrations were prepared by C. Colon and S. Alfano while C.B.R. participated in the NASA New York City Research Initiative (NYCRI) program under the aegis of F. Scalzo. C.B.R. thanks B. Klein and the team of the Institute for (Tracer) Oceanography at University of Bremen for their contribution to the data processing. Our particular thanks to A. Beckmann, without his comments and support in all questions regarding numerical simulations this work would never have been finalized. The project was funded by the Deutsche Forschungsgemeinschaft (DFG) Nr. Ro 318/43 and by a National Ocean and Atmospheric Administration (NOAA) Grant no. NA04OAR4310122.</t>
  </si>
  <si>
    <t>10.1016/j.dsr.2009.09.008</t>
  </si>
  <si>
    <t>564MT</t>
  </si>
  <si>
    <t>WOS:000275219700002</t>
  </si>
  <si>
    <t>Ainley, D; Russell, J; Jenouvrier, S; Woehler, E; Lyver, PO; Fraser, WR; Kooyman, GL</t>
  </si>
  <si>
    <t>Ainley, David; Russell, Joellen; Jenouvrier, Stephanie; Woehler, Eric; Lyver, Philip O'B; Fraser, William R.; Kooyman, Gerald L.</t>
  </si>
  <si>
    <t>Antarctic penguin response to habitat change as Earth's troposphere reaches 2°C above preindustrial levels</t>
  </si>
  <si>
    <t>ECOLOGICAL MONOGRAPHS</t>
  </si>
  <si>
    <t>Adelie Penguin; Antarctica; climate change; climate modeling; Emperor Penguin; habitat optimum; sea ice; 2 degrees C warming</t>
  </si>
  <si>
    <t>SEA-ICE; EMPEROR PENGUINS; SOUTHERN-OCEAN; ROSS SEA; CLIMATE-CHANGE; ENVIRONMENTAL-CHANGE; SPECIES DISTRIBUTION; CHINSTRAP PENGUINS; PACIFIC SECTOR; LATE-HOLOCENE</t>
  </si>
  <si>
    <t>We assess the response of pack ice penguins, Emperor (Aptenodytes forsteri) and Adelie (Pygoscelis adeliae), to habitat variability and, then, by modeling habitat alterations, the qualitative changes to their Populations, size and distribution, as Earth's average tropospheric temperature reaches 2 degrees C above preindustrial levels (ca. 1860), the benchmark set by the European Union in efforts to reduce greenhouse gases. First, we assessed models used in the Intergovernmental Panel on Climate Change Fourth Assessment Report (AR4) on penguin performance duplicating existing conditions in the Southern Ocean. We chose four models appropriate for gauging changes to penguin habitat: GFDL-CM2.1, GFDL-CM2.0, MIROC3.2(hi-res), and MRI-CGCM2.3.2a. Second, we analyzed the composited model ENSEMBLE to estimate the point of 2 degrees C warming (2025-2052) and the projected changes to sea ice coverage (extent, persistence, and concentration), sea ice thickness, wind speeds, precipitation, and air temperatures. Third, we considered studies of ancient colonies and sediment cores and some recent modeling, which indicate the (space/time) large/centennial-scale penguin response to habitat limits of all ice or no ice. Then we considered results of statistical modeling at the temporal interannual-decadal scale in regard to penguin response over a continuum of rather complex, meso- to large-scale habitat conditions, some of which have opposing and others interacting effects. The ENSEMBLE meso/decadal-scale Output projects a marked narrowing of penguins' zoogeographic range at the 2 degrees C point. Colonies north of 70 degrees S are projected to decrease or disappear: similar to 50% of Emperor colonies (40% of breeding population) and similar to 75% of Adelie colonies (70% of breeding Population), but limited growth might Occur south of 73 degrees S. Net change would result largely from positive responses to increase in polynya persistence at high latitudes, overcome by decreases in pack ice cover at lower latitudes and, particularly for Emperors, ice thickness. Adelie Penguins might colonize new breeding habitat where concentrated pack ice diverges and/or disintegrating ice shelves expose coastline. Limiting increase will be decreased persistence of pack ice north of the Antarctic Circle, as this species requires daylight in its wintering areas. Adelies would be affected negatively by increasing snowfall, predicted to increase in certain areas owing to intrusions of warm, moist marine air due to changes in the Polar Jet Stream.</t>
  </si>
  <si>
    <t>[Ainley, David] HT Harvey &amp; Associates, Los Gatos, CA 95032 USA; [Russell, Joellen] Univ Arizona, Dept Geosci, Tucson, AZ 85721 USA; [Jenouvrier, Stephanie] Woods Hole Oceanog Inst, Dept Biol, Woods Hole, MA 02543 USA; [Woehler, Eric] Univ Tasmania, Sch Zool, Sandy Bay, Tas 7005, Australia; [Lyver, Philip O'B] Landcare Res, Lincoln 7640, New Zealand; [Fraser, William R.] Polar Oceans Res Grp, Sheridan, MT 59749 USA; [Kooyman, Gerald L.] Scripps Inst Oceanog, La Jolla, CA 92093 USA</t>
  </si>
  <si>
    <t>University of Arizona; Woods Hole Oceanographic Institution; University of Tasmania; Landcare Research - New Zealand; University of California System; University of California San Diego; Scripps Institution of Oceanography</t>
  </si>
  <si>
    <t>Russell, Joellen/0000-0001-9937-6056; Woehler, Eric/0000-0002-1125-0748; , gerald/0000-0002-8872-2950; jenouvrier, stephanie/0000-0003-3324-2383</t>
  </si>
  <si>
    <t>World Wildlife Fund; National Science Foundation, NSF [OPP-0440643]; Directorate For Geosciences; Office of Polar Programs (OPP) [0741351] Funding Source: National Science Foundation</t>
  </si>
  <si>
    <t>World Wildlife Fund; National Science Foundation, NSF(National Science Foundation (NSF)); Directorate For Geosciences; Office of Polar Programs (OPP)(National Science Foundation (NSF)NSF - Directorate for Geosciences (GEO))</t>
  </si>
  <si>
    <t>This project was funded by the World Wildlife Fund and the National Science Foundation, NSF grant OPP-0440643 (D. G. Ainley), and a Marie-Curie Fellowship to S. Jenouvrier. For providing logistical and financial support in acquiring long-term penguin data, we thank the U.S. Antarctic Research Program and NSF for Ross Sea Emperor Penguin and Palmer Station Adelie Penguin data; NZ Foundation for Research, Science and Technology, Antarctica New Zealand, and Nga Pae o te Maramatanga for Ross Sea Adelie Penguin data, French Polar Institute (IPEV) and Terres Australes et Antaretique Francaise (project 109, H. Weirnerskirch leader) for Pointe Geologie data;, and the national programs of the United Kingdom and Australia for acquiring other data. We thank C. Barbraud, L. Blights B. Wienecke, and two anonymous reviewers for comments on the manuscript and I. Gaffney for executing some of the figures.</t>
  </si>
  <si>
    <t>0012-9615</t>
  </si>
  <si>
    <t>1557-7015</t>
  </si>
  <si>
    <t>ECOL MONOGR</t>
  </si>
  <si>
    <t>Ecol. Monogr.</t>
  </si>
  <si>
    <t>10.1890/08-2289.1</t>
  </si>
  <si>
    <t>572GW</t>
  </si>
  <si>
    <t>WOS:000275816800003</t>
  </si>
  <si>
    <t>Bonadonna, F; Mardon, J</t>
  </si>
  <si>
    <t>Bonadonna, Francesco; Mardon, Jerome</t>
  </si>
  <si>
    <t>One House Two Families: Petrel Squatters Get a Sniff of Low-Cost Breeding Opportunities</t>
  </si>
  <si>
    <t>ETHOLOGY</t>
  </si>
  <si>
    <t>REPRODUCTIVE SUCCESS; NOCTURNAL SEABIRDS; HALOBAENA-CAERULEA; ANTARCTIC PRIONS; ODOR RECOGNITION; BLUE PETRELS; PREDATION; NEST; DISCRIMINATION; AVOIDANCE</t>
  </si>
  <si>
    <t>P&gt;Burrowing is a widespread nesting behaviour, found in vertebrates and invertebrates. It is particularly common in small procellariiform seabirds such as blue petrels (Halobaena caerulea) and Antarctic prions (Pachyptila desolata), two closely related petrel species. However, digging a burrow is costly and alternative strategies may evolve. Accordingly, blue petrel males can adopt two alternative nesting strategies: digging a new burrow or squatting in an empty one. Importantly, a blue petrel squatter arriving at the colony to breed is more likely to find empty Antarctic prion burrows than empty blue petrel burrows, since the former species only start breeding a month later. However, squatting in a prion's burrow is risky for blue petrels as the legitimate owner very often returns and claims the burrow back, thus ruining the squatter's breeding attempt. We present here results of a survey of two sympatric colonies of blue petrels and Antarctic prions on Kerguelen Island. Our data show that blue petrel squatters preferentially occupy blue petrel empty burrows. To investigate potential underlying mechanisms behind this preference, we used a simple Y-maze design to show that blue petrels can discriminate and prefer their specific odour over the prion odour. Our results confirm the existence of alternative burrowing strategies in blue petrels and suggest that squatters could use olfaction to avoid the less suitable Antarctic prion burrows.</t>
  </si>
  <si>
    <t>[Bonadonna, Francesco; Mardon, Jerome] CNRS CEFE, Behav Ecol Grp, F-34293 Montpellier 5, France; [Mardon, Jerome] Univ Western Australia, Sch Biomed Biomol &amp; Chem Sci, AECR Grp, Crawley, WA, Australia</t>
  </si>
  <si>
    <t>Universite PSL; Ecole Pratique des Hautes Etudes (EPHE); Institut Agro; Montpellier SupAgro; CIRAD; Centre National de la Recherche Scientifique (CNRS); Institut de Recherche pour le Developpement (IRD); Universite Paul-Valery; Universite de Montpellier; University of Western Australia</t>
  </si>
  <si>
    <t>Bonadonna, F (corresponding author), CNRS CEFE, Behav Ecol Grp, 1919 Route Mende, F-34293 Montpellier 5, France.</t>
  </si>
  <si>
    <t>francesco.bonadonna@cefe.cnrs.fr</t>
  </si>
  <si>
    <t>Bonadonna, Francesco/A-7456-2008</t>
  </si>
  <si>
    <t>Bonadonna, Francesco/0000-0002-2702-5801</t>
  </si>
  <si>
    <t>Institut Polaire Francais Paul Emile Victor (IPEV) [354]</t>
  </si>
  <si>
    <t>Institut Polaire Francais Paul Emile Victor (IPEV)</t>
  </si>
  <si>
    <t>This work was supported by Institut Polaire Francais Paul Emile Victor (IPEV, Program no. 354), and performed according to guidelines established by IPEV and CNRS for the Ethical Treatment of Animals. We thank Dr Sandra Saunders for her criticism of earlier drafts of the manuscript.</t>
  </si>
  <si>
    <t>0179-1613</t>
  </si>
  <si>
    <t>Ethology</t>
  </si>
  <si>
    <t>10.1111/j.1439-0310.2009.01725.x</t>
  </si>
  <si>
    <t>Psychology, Biological; Behavioral Sciences; Zoology</t>
  </si>
  <si>
    <t>Psychology; Behavioral Sciences; Zoology</t>
  </si>
  <si>
    <t>541EG</t>
  </si>
  <si>
    <t>WOS:000273396100011</t>
  </si>
  <si>
    <t>Beaulieu, M; Dervaux, A; Thierry, AM; Lazin, D; Le Maho, Y; Ropert-Coudert, Y; Spee, M; Raclot, T; Ancel, A</t>
  </si>
  <si>
    <t>Beaulieu, Michael; Dervaux, Antoine; Thierry, Anne-Mathilde; Lazin, David; Le Maho, Yvon; Ropert-Coudert, Yan; Spee, Marion; Raclot, Thierry; Ancel, Andre</t>
  </si>
  <si>
    <t>When sea-ice clock is ahead of Adelie penguins' clock</t>
  </si>
  <si>
    <t>FUNCTIONAL ECOLOGY</t>
  </si>
  <si>
    <t>food availability; krill; phytoplankton; seabird; sea-ice retreat</t>
  </si>
  <si>
    <t>CORTICOSTERONE LEVELS; EUPHAUSIA-SUPERBA; REPRODUCTIVE-PERFORMANCE; ANTARCTIC PENINSULA; FORAGING BEHAVIOR; FOOD AVAILABILITY; STABLE-ISOTOPES; KRILL; BLOOD; VARIABILITY</t>
  </si>
  <si>
    <t>In Polar Regions, the extent and dynamics of sea-ice are changing. This affects the ocean productivity which consecutively impacts plankton communities and polar top predators like penguins. Yet, the underlying behavioural and physiological mechanisms remain poorly understood. Here we monitored the ecophysiological responses of Adelie penguin (Pygoscelis adeliae) pairs during two seasons of contrasting timing of sea-ice retreat. Beside classical breeding parameters like foraging trip duration, body mass and reproductive success, we also investigated food-related stress (via plasma corticosterone concentration), nutritional state (via metabolite levels) and the use of penguins' habitat (via blood isotopic values). Body mass and reproductive success remained unchanged but foraging trips were shorter when sea-ice retreated earlier. Constant plasma corticosterone concentrations indicated that none of the feeding conditions resulted in a food-related stress. However metabolite levels were lower when sea-ice retreated early, suggesting that the foraging performance and the quality/quantity of food differed. Indeed isotopic ratios indicated that coastal prey like fish contributed more to the penguins' diet when sea-ice retreated prematurely. The early sea-ice retreat was related to higher chlorophyll concentrations, known to favour krill recruitment. Paradoxically, this was not associated to a higher krill contribution in the penguins' diet. We propose that a shift in the phytoplankton quality (rather than quantity), affecting krill recruitment, forced penguins to switch to more available prey like coastal fish. In some Antarctic regions, sea-ice is retreating earlier and earlier. In the present study, even though the timing of sea-ice retreat and the consecutive ocean productivity differed drastically between the 2 years, Adelie penguins were not severely affected because they were able to adjust their at-sea behaviour and thus maintained their body condition and reproductive success unchanged. This suggests that the timing of sea-ice retreat does not represent an important threat to populations of Adelie penguins at least as long as alternative resources are still available and other environmental parameters like winter sea-ice extent are not dramatically altered.</t>
  </si>
  <si>
    <t>[Beaulieu, Michael; Dervaux, Antoine; Thierry, Anne-Mathilde; Lazin, David; Le Maho, Yvon; Ropert-Coudert, Yan; Spee, Marion; Raclot, Thierry; Ancel, Andre] UDS, Dept Ecol, IPHC, Physiol &amp; Ethol DEPE,CNRS,UMR 7178, F-67087 Strasbourg 2, France</t>
  </si>
  <si>
    <t>Centre National de la Recherche Scientifique (CNRS); CNRS - National Institute of Nuclear and Particle Physics (IN2P3); Universites de Strasbourg Etablissements Associes; Universite de Strasbourg</t>
  </si>
  <si>
    <t>Beaulieu, M (corresponding author), UDS, Dept Ecol, IPHC, Physiol &amp; Ethol DEPE,CNRS,UMR 7178, 23 Rue Becquerel, F-67087 Strasbourg 2, France.</t>
  </si>
  <si>
    <t>Thierry, Anne-Mathilde/A-1715-2010; Beaulieu, Michaël/A-5261-2011</t>
  </si>
  <si>
    <t>Beaulieu, Michaël/0000-0002-9948-269X; Thierry, Anne-Mathilde/0000-0002-0483-5131</t>
  </si>
  <si>
    <t>ethic committee of the French Polar Institute Paul Emile Victor</t>
  </si>
  <si>
    <t>We are grateful to Meteo France and the NASA for providing satellite data. We would also like to thank J. P. Robin for lyophilizing red blood cells, L. Joassard for the measurement of stable isotopes and A. Kato for her help with SeaDAS software. This study was approved by the ethic committee of the French Polar Institute Paul Emile Victor who also provided financial and logistical support in Adelie Land.</t>
  </si>
  <si>
    <t>0269-8463</t>
  </si>
  <si>
    <t>1365-2435</t>
  </si>
  <si>
    <t>FUNCT ECOL</t>
  </si>
  <si>
    <t>Funct. Ecol.</t>
  </si>
  <si>
    <t>10.1111/j.1365-2435.2009.01638.x</t>
  </si>
  <si>
    <t>541XT</t>
  </si>
  <si>
    <t>WOS:000273455500011</t>
  </si>
  <si>
    <t>Qin, LP; Alexander, CMO; Carlson, RW; Horan, MF; Yokoyama, T</t>
  </si>
  <si>
    <t>Qin, Liping; Alexander, Conel M. O'D; Carlson, Richard W.; Horan, Mary F.; Yokoyama, Tetsuya</t>
  </si>
  <si>
    <t>Contributors to chromium isotope variation of meteorites</t>
  </si>
  <si>
    <t>EARLY SOLAR-SYSTEM; CARBONACEOUS CHONDRITES; OXYGEN-ISOTOPE; NOBLE-GASES; PRESOLAR DIAMOND; IRON-METEORITES; EXPOSURE AGES; ANOMALIES; HETEROGENEITY; ORIGIN</t>
  </si>
  <si>
    <t>We report the results of a comprehensive, high precision survey of the Cr isotopic compositions of primitive chondrites, along with some differentiated meteorites. To ensure complete dissolution of our samples, they were first fused with lithium borate-tetraborate at 1050-1000 degrees C. Relative to the NIST Cr standard SRM 3112a, carbonaceous chondrites exhibit excesses in Cr-54/Cr-52 from 0.4 to 1.6 epsilon (1 epsilon = 1 part in 10,000), and ordinary chondrites display a common Cr-54/Cr-52 deficit of similar to 0.4 epsilon. Analyses of acid-digestion residues of chondrites show that carbonaceous and ordinary chondrites share a common Cr-54-enriched carrier, which is characterized by a large excess in Cr-54/Cr-52 (up to 200 epsilon) associated with a very small deficit in Cr-53/Cr-52 (&lt;2 epsilon). We did not find Cr-54 anomalies in either bulk enstatite chondrites or in leachates of their acid-digestion residues. This either requires that the enstatite chondrite parent bodies did not incorporate the Cr-54 anomaly carrier phase during their accretion, or the phase was destroyed by parent body metamorphism. Chromium in the terrestrial rocks and lunar samples analyzed here show no deviation from the NIST SRM 3112a Cr standard. The eucrite and Martian meteorites studied exhibit small deficits in Cr-54/Cr-52. The Cr-54/Cr-52 variations among different meteorite classes suggest that there was a spatial and/or temporal heterogeneity in the distribution of a Cr-54-rich component in the inner Solar System. We confirm the correlated excesses in Cr-54/Cr-52 and Cr-53/Cr-52 for bulk carbonaceous chondrites, but the new data yield a steeper slope (similar to 6.6) than that reported in Shukolyukov and Lugmair (2006). The correlated excesses may affect the use of the Mn-Cr chronometer in carbonaceous chondrites. We could not confirm the bulk carbonaceous chondrite Mn-Cr isochron reported by Shukolyukov and Lugmair (2006) and Moynier et al. (2007), mostly because we find much smaller total variations in epsilon Cr-53 (similar to 0.2). All bulk chondrites have small epsilon Cr-53 excesses (up to 0.3) relative to the Earth, most likely reflecting the sub-chondritic Mn/Cr ratio of the Earth. The epsilon Cr-53 variations in chondrites do seem to grossly correlate with Mn/Cr and yield an initial Solar System Mn-53/Mn-55 value of 5.4(+/- 2.4) x 10(-6), corresponding to an absolute age of 4566.4 (+/- 2.2) Ma. Nuclear interactions with cosmic rays result in coupled excesses in epsilon Cr-54 and epsilon Cr-53 with a similar to 4:1 ratio in phases with high Fe/Cr. These are most dramatically demonstrated in the iron meteorite Carbo, showing excesses in epsilon Cr-54 of up to 140 epsilon. These new results show that the Mn-Cr chronometer should be used with caution in samples/minerals with high Fe/Cr and long cosmic ray exposure ages. (C) 2009 Elsevier Ltd. All rights reserved.</t>
  </si>
  <si>
    <t>[Qin, Liping; Alexander, Conel M. O'D; Carlson, Richard W.; Horan, Mary F.] Carnegie Inst Sci, Dept Terr Magnetism, Washington, DC 20015 USA; [Yokoyama, Tetsuya] Tokyo Inst Technol, Dept Earth &amp; Planetary Sci, Tokyo 1528551, Japan</t>
  </si>
  <si>
    <t>Carnegie Institution for Science; Tokyo Institute of Technology</t>
  </si>
  <si>
    <t>Qin, LP (corresponding author), Carnegie Inst Sci, Dept Terr Magnetism, 5241 Broad Branch Rd NW, Washington, DC 20015 USA.</t>
  </si>
  <si>
    <t>lqin@ciw.edu</t>
  </si>
  <si>
    <t>Qin, Liping/AAW-1448-2021; Alexander, Conel M. O'D./N-7533-2013; Yokoyama, Tetsuya/E-9741-2012; Yurimoto, Hisayoshi/S-9938-2018</t>
  </si>
  <si>
    <t>Alexander, Conel M. O'D./0000-0002-8558-1427; Yokoyama, Tetsuya/0000-0003-2247-7232;</t>
  </si>
  <si>
    <t>Carnegie Postdoctoral Fellowship; NASA Cosmochemistry [NNX08AH65G]; NASA [NNX08AH65G, 100046] Funding Source: Federal RePORTER</t>
  </si>
  <si>
    <t>Carnegie Postdoctoral Fellowship; NASA Cosmochemistry(National Aeronautics &amp; Space Administration (NASA)); NASA(National Aeronautics &amp; Space Administration (NASA))</t>
  </si>
  <si>
    <t>We want to thank Cecilia Satterwhite from the Antarctic Meteorite Working Group, and Tin, McCoy and Linda Welzenbach at the Smithsonian Institution Museum of Natural History for providing the majority of the meteorite samples. We acknowledge Pascale Ehrenfreund for kindly providing the sample of Orgueil. We want to thank Nicolas Dauphas for making Carbo samples available for this study. We also want to acknowledge Tim Mock for his assistance in the lab. We are also grateful to Ingo Leya for his helpful discussion oil cosmogenic nuclides. We are grateful to Alexander Shukolyukov, Anne Trinquier and Dimitri Papanastassiou for their thorough reviews of the manuscript. This work was supported by a Carnegie Postdoctoral Fellowship (to L.Q.) and NASA Cosmochemistry Grant NNX08AH65G.</t>
  </si>
  <si>
    <t>FEB 1</t>
  </si>
  <si>
    <t>10.1016/j.gca.2009.11.005</t>
  </si>
  <si>
    <t>546BC</t>
  </si>
  <si>
    <t>WOS:000273781100021</t>
  </si>
  <si>
    <t>Shearer, CK; Burger, PV; Neal, C; Sharp, Z; Spivak-Birndorf, L; Borg, L; Fernandes, VA; Papike, JJ; Karner, J; Wadhwa, M; Gaffney, A; Shafer, J; Geissman, J; Atudorei, NV; Herd, C; Weiss, BP; King, PL; Crowther, SA; Gilmour, JD</t>
  </si>
  <si>
    <t>Shearer, C. K.; Burger, P. V.; Neal, C.; Sharp, Z.; Spivak-Birndorf, L.; Borg, L.; Fernandes, V. A.; Papike, J. J.; Karner, J.; Wadhwa, M.; Gaffney, A.; Shafer, J.; Geissman, J.; Atudorei, N. -V.; Herd, C.; Weiss, B. P.; King, P. L.; Crowther, S. A.; Gilmour, J. D.</t>
  </si>
  <si>
    <t>Non-basaltic asteroidal magmatism during the earliest stages of solar system evolution: A view from Antarctic achondrites Graves Nunatak 06128 and 06129</t>
  </si>
  <si>
    <t>IONIZATION MASS-SPECTROMETER; OXYGEN-ISOTOPE RATIOS; CORE FORMATION; I-XE; ORDINARY CHONDRITES; ACAPULCO METEORITE; REDOX CONDITIONS; TRACE-ELEMENT; PARENT BODIES; AGES</t>
  </si>
  <si>
    <t>The recently recovered paired Antarctic achondrites Graves Nunatak 06128 and 06129 (GRA) are meteorites that represent unique high-temperature asteroidal processes that are identified in only a few other meteorites. The GRA meteorites contain high abundances of sodic plagioclase, relatively Fe-rich pyroxenes and olivine, abundant phosphates, and low temperature alteration. They represent products of very early planetesimal melting (4565.9 +/- 0.3 Ma) of an unsampled geochemical reservoir from an asteroid that has characteristics similar to the brachinite parent body. The magmatism represented by these meteorites is contrary to the commonly held belief that the earliest stages of melting on all planetary bodies during the first 2-30 Ma of solar system history were fundamentally basaltic in nature. These sodic plagioclase-rich rocks represent a series of early asteroidal high-temperature processes: (stage 1) melting and partial extraction of a low-temperature Fe-Ni-S melt, (stage 2) small degrees of disequilibrium partial melting of a sodium- or alkali-rich chondritic parent body with additional incorporation of Fe-Ni-S melt that was not fully extracted during stage 1, (stage 3) volatile-enhanced rapid extraction and emplacement of the Na-rich, high-normative plagioclase melt, (stage 4) final emplacement and accumulation of plagioclase and phosphates, (stage 5) subsolidus reequilibration of lithology between 962 and 600 degrees C at an fO(2) Of IW to IW + 1.1, and (stage 6) replacement of merrillite and pyroxene by Cl-apatite resulting from the interaction between magmatic minerals and a Cl-rich fluid/residuum melt. The subsolidus events started as early as 4561.1 Ma and may have continued for upwards of 144 million years. The existence of assemblages similar to GRA on several other planetary bodies with different geochemical characteristics (ureilite, winonaites, IAB irons) implies that this type of early asteroidal melting was not rare. Whereas, eucrites and angrites represent extensive melting of a parent body with low concentrations of moderately-volatile elements, GRA represents low-degrees of melting of a parent body with chondritic abundances of moderately volatile elements. The interpretation of the low-temperature mineral assemblage is somewhat ambiguous. Textural features suggest multiple episodes of alteration. The earliest stage follows the interaction of magmatic assemblages with a Cl-rich fluid. The last episode of alteration appears to cross-cut the fusion crust and earlier stages or alteration. Stable isotopic measurements of the alteration can be interpreted as indicating that an extraterrestrial volatile component was preserved in GRA. (C) 2009 Elsevier Ltd. All rights reserved.</t>
  </si>
  <si>
    <t>[Shearer, C. K.; Burger, P. V.; Papike, J. J.; Karner, J.; King, P. L.] Univ New Mexico, Inst Meteorit, Dept Earth &amp; Planetary Sci, Albuquerque, NM 87131 USA; [Neal, C.; Shafer, J.] Univ Notre Dame, Dept Civil Eng &amp; Geo Sci, Notre Dame, IN 46556 USA; [Spivak-Birndorf, L.; Wadhwa, M.] Arizona State Univ, Sch Earth &amp; Space Explorat, Tempe, AZ 85287 USA; [Borg, L.; Gaffney, A.] Lawrence Livermore Natl Lab, Inst Geophys &amp; Planetary Phys, Livermore, CA 94550 USA; [Fernandes, V. A.] Berkeley Geochronol Ctr, Berkeley, CA 94709 USA; [Fernandes, V. A.] Univ Calif Berkeley, Dept Earth &amp; Planetary Sci, Berkeley, CA 94720 USA; [Herd, C.] Univ Alberta, Dept Earth &amp; Atmospher Sci, Edmonton, AB T6G 2E1, Canada; [Weiss, B. P.] MIT, Dept Earth Atmos &amp; Planetary Sci, Cambridge, MA 02139 USA; [Crowther, S. A.; Gilmour, J. D.] Univ Manchester, Sch Earth Atmospher &amp; Environm Sci, Manchester M13 9PL, Lancs, England</t>
  </si>
  <si>
    <t>University of New Mexico; University of Notre Dame; Arizona State University; Arizona State University-Tempe; United States Department of Energy (DOE); Lawrence Livermore National Laboratory; Berkeley Geochronolgy Center; University of California System; University of California Berkeley; University of Alberta; Massachusetts Institute of Technology (MIT); University of Manchester</t>
  </si>
  <si>
    <t>Shearer, CK (corresponding author), Univ New Mexico, Inst Meteorit, Dept Earth &amp; Planetary Sci, Albuquerque, NM 87131 USA.</t>
  </si>
  <si>
    <t>cshearer@umn.edu</t>
  </si>
  <si>
    <t>Neal, Clive R/C-2316-2014; Herd, Christopher/IYJ-9105-2023; Gilmour, Jamie Duncan/G-7515-2011; Crowther, Sarah A/P-7082-2014; Assis Fernandes, Vera/B-4653-2013; Gaffney, Amy/F-8423-2014; King, Penelope/A-1791-2011</t>
  </si>
  <si>
    <t>Crowther, Sarah A/0000-0002-5396-1775; Assis Fernandes, Vera/0000-0003-0848-9229; Gilmour, Jamie/0000-0003-1990-8636; Herd, Christopher/0000-0001-5210-4002; Gaffney, Amy/0000-0001-5714-0029; King, Penelope/0000-0002-8364-9168; Sharp, Zachary/0000-0003-1902-5542</t>
  </si>
  <si>
    <t>NASA, Cosmochemistry; STFC [PP/D001099/1, ST/G003068/1] Funding Source: UKRI; Science and Technology Facilities Council [ST/G003068/1, PP/D001099/1] Funding Source: researchfish</t>
  </si>
  <si>
    <t>NASA, Cosmochemistry(National Aeronautics &amp; Space Administration (NASA)); STFC(UK Research &amp; Innovation (UKRI)Science &amp; Technology Facilities Council (STFC)); Science and Technology Facilities Council(UK Research &amp; Innovation (UKRI)Science &amp; Technology Facilities Council (STFC))</t>
  </si>
  <si>
    <t>The first author wishes to thank every member of the consortium for making significant contributions in providing the varied types of data within the paper and the interpretation of their data. The first author assumes sole responsibility for any misinterpretation in the process of combining these varied data sets in an attempt of placing the data within the context of coherent conclusions. Further, the consortium provided more data and images than could possibly be incorporated into this paper. I apologize if your effort and vision was not completely incorporated into the paper. The consortium also thank the Sasha Krot (AE) for his prompt handing of the paper and providing coherent instructions on making this paper better. The reviewers (Jeff Taylor, Mac Rutherford, and Christina Floss) provided invaluable insights that were missed by the first author in the initial draft. Finally, the consortium members also acknowledge their institutions and funding sources (NASA, Cosmochemistry program) for their support.</t>
  </si>
  <si>
    <t>10.1016/j.gca.2009.10.029</t>
  </si>
  <si>
    <t>WOS:000273781100023</t>
  </si>
  <si>
    <t>Nesterenok, AV; Naidenov, VO</t>
  </si>
  <si>
    <t>Nesterenok, A. V.; Naidenov, V. O.</t>
  </si>
  <si>
    <t>Radiocarbon in the Antarctic ice: The formation of the cosmic ray muon component at large depths</t>
  </si>
  <si>
    <t>GEOMAGNETISM AND AERONOMY</t>
  </si>
  <si>
    <t>COSMOGENIC RADIONUCLIDES; TAYLOR-DOME; VOSTOK; C-14; SURFACES; CLIMATE; RECORD; CORE; AGE</t>
  </si>
  <si>
    <t>This study is devoted to the production of (14)C by the secondary cosmic radiation in polar ice. The radiocarbon production in the reactions caused by the nuclear-active and muon components is considered. The data on (14)C from the Vostok and Taylor Dome Antarctic boreholes are analyzed. The (14)C concentration values at depths larger than the firn-ice boundary by a factor of 2-3 can be explained by a deep production of radiocarbon in the reactions caused by the cosmic radiation muon component.</t>
  </si>
  <si>
    <t>[Nesterenok, A. V.; Naidenov, V. O.] Russian Acad Sci, AF Ioffe Phys Tech Inst, St Petersburg 194021, Russia</t>
  </si>
  <si>
    <t>Russian Academy of Sciences; St. Petersburg Scientific Centre of the Russian Academy of Sciences; Ioffe Physical Technical Institute</t>
  </si>
  <si>
    <t>Nesterenok, AV (corresponding author), Russian Acad Sci, AF Ioffe Phys Tech Inst, Politekhnicheskaya Ul 26, St Petersburg 194021, Russia.</t>
  </si>
  <si>
    <t>alex-n10@yandex.ru</t>
  </si>
  <si>
    <t>Nesterenok, Aleksandr/E-4890-2017</t>
  </si>
  <si>
    <t>0016-7932</t>
  </si>
  <si>
    <t>GEOMAGN AERONOMY+</t>
  </si>
  <si>
    <t>Geomagn. Aeron.</t>
  </si>
  <si>
    <t>10.1134/S0016793210010159</t>
  </si>
  <si>
    <t>563CL</t>
  </si>
  <si>
    <t>WOS:000275103800015</t>
  </si>
  <si>
    <t>Gomez, N; Mitrovica, JX; Tamisiea, ME; Clark, PU</t>
  </si>
  <si>
    <t>Gomez, Natalya; Mitrovica, Jerry X.; Tamisiea, Mark E.; Clark, Peter U.</t>
  </si>
  <si>
    <t>A new projection of sea level change in response to collapse of marine sectors of the Antarctic Ice Sheet</t>
  </si>
  <si>
    <t>Sea level change; Earth rotation variations; Antarctica</t>
  </si>
  <si>
    <t>GLACIAL ISOSTATIC-ADJUSTMENT; MANTLE VISCOSITY; ROTATING EARTH; FLUCTUATIONS; FINGERPRINT; FORMULATION; INFERENCE; EQUATION; MODELS; OCEANS</t>
  </si>
  <si>
    <t>We present gravitationally self-consistent predictions of sea level change that would follow the disappearance of either the West Antarctic Ice Sheet (WAIS) or marine sectors of the East Antarctic Ice Sheet (EAIS). Our predictions are based on a state-of-the-art pseudo-spectral sea level algorithm that incorporates deformational, gravitational and rotational effects on sea level, as well as the migration of shorelines due to both local sea-level variations and changes in the extent of marine-based ice cover. If we define the effective eustatic value (EEV) as the geographically uniform rise in sea level once all marine-based sectors have been filled with water, then we find that some locations can experience a sea level rise that is similar to 40 per cent higher than the EEV. This enhancement is due to the migration of water away from the zone of melting in response to the loss of gravitational attraction towards the ice sheet (load self-attraction), the expulsion of water from marine areas as these regions rebound due to the unloading, and the feedback into sea level of a contemporaneous perturbation in Earth rotation. In the WAIS case, this peak enhancement is twice the value predicted in a previous projection that did not include expulsion of water from exposed marine-sectors of the West Antarctic or rotational feedback. The peak enhancements occur over the coasts of the United States and in the Indian Ocean in the WAIS melt scenario, and over the south Atlantic and northwest Pacific in the EAIS scenario. We conclude that accurate projections of the sea level hazard associated with ongoing global warming should be based on a theory that includes the complete suite of physical processes described above.</t>
  </si>
  <si>
    <t>[Gomez, Natalya; Mitrovica, Jerry X.] Harvard Univ, Dept Earth &amp; Planetary Sci, Cambridge, MA 02138 USA; [Tamisiea, Mark E.] Proudman Oceanog Lab, Liverpool L3 5DA, Merseyside, England; [Clark, Peter U.] Oregon State Univ, Dept Geosci, Corvallis, OR 97331 USA</t>
  </si>
  <si>
    <t>Harvard University; NERC National Oceanography Centre; Oregon State University</t>
  </si>
  <si>
    <t>Gomez, N (corresponding author), Harvard Univ, Dept Earth &amp; Planetary Sci, 20 Oxford St, Cambridge, MA 02138 USA.</t>
  </si>
  <si>
    <t>ngomez@fas.harvard.edu</t>
  </si>
  <si>
    <t>Gomez, Natalya/AAU-4323-2020</t>
  </si>
  <si>
    <t>Gomez, Natalya/0000-0002-2463-7917</t>
  </si>
  <si>
    <t>Harvard University; NSERC; Canadian Institute for Advanced Research; NERC's Oceans 2025 program; NSF; NERC [pol010005, noc010005] Funding Source: UKRI; Natural Environment Research Council [noc010005, pol010005] Funding Source: researchfish</t>
  </si>
  <si>
    <t>Harvard University; NSERC(Natural Sciences and Engineering Research Council of Canada (NSERC)); Canadian Institute for Advanced Research(Canadian Institute for Advanced Research (CIFAR)); NERC's Oceans 2025 program; NSF(National Science Foundation (NSF)); NERC(UK Research &amp; Innovation (UKRI)Natural Environment Research Council (NERC)); Natural Environment Research Council(UK Research &amp; Innovation (UKRI)Natural Environment Research Council (NERC))</t>
  </si>
  <si>
    <t>We thank two anonymous reviewers for their constructive comments. The authors acknowledge funding from Harvard University (NG, JXM), NSERC (NG, JXM), the Canadian Institute for Advanced Research (JXM), NERC's Oceans 2025 program (MET) and NSF (PUC).</t>
  </si>
  <si>
    <t>10.1111/j.1365-246X.2009.04419.x</t>
  </si>
  <si>
    <t>544OB</t>
  </si>
  <si>
    <t>WOS:000273666400011</t>
  </si>
  <si>
    <t>Hughes, KA; Convey, P</t>
  </si>
  <si>
    <t>Hughes, Kevin A.; Convey, Pete</t>
  </si>
  <si>
    <t>The protection of Antarctic terrestrial ecosystems from inter- and intra-continental transfer of non-indigenous species by human activities: A review of current systems and practices</t>
  </si>
  <si>
    <t>GLOBAL ENVIRONMENTAL CHANGE-HUMAN AND POLICY DIMENSIONS</t>
  </si>
  <si>
    <t>Protected area; Antarctica; Biogeography; Biodiversity; Non-indigenous; Pathogens</t>
  </si>
  <si>
    <t>SOUTH SANDWICH ISLANDS; CLIMATE-CHANGE; DISPERSAL; DIVERSITY; OCEAN; LIFE; INVASIONS; IMPACTS; HISTORY; CONSEQUENCES</t>
  </si>
  <si>
    <t>Invasions by non-indigenous species are amongst the greatest threats to global biodiversity, causing substantial disruption to, and sometimes local extinction of, individual species and community assemblages which, in turn, can affect ecosystem structure and function. The terrestrial environment of Antarctica consists of many isolated 'islands' of ice-free ground. Prolonged isolation makes Antarctic biodiversity vulnerable to human-mediated impacts, in particular (1) the introduction of nonindigenous species from outside Antarctica, and (2) the redistribution of indigenous Antarctic species between biologically distinct areas within the continent. The Protocol on Environmental Protection to the Antarctic Treaty, the primary instrument through which environmental management is addressed within the Antarctic Treaty System, says little about unintentional introduction of non-indigenous species to Antarctica, and nothing specifically about human-mediated transfer of native species from one area to another. We review the effectiveness of the Antarctic protected area system, the primary means through which area-specific environmental protection is achieved under the Antarctic Treaty System. This reveals that the measures described in most Antarctic Specially Protected Area (ASPA) and Antarctic Specially Managed Area (ASMA) Management Plans, by themselves, may not be sufficient to (1) minimise the possibility of introduction of plants, animals and microbes not native to the protected area or (2) adequately protect the many unusual assemblages of species, type localities or only known habitats of certain species found in Antarctica. We discuss issues that should be considered in the development of a more effective system, including the implementation of appropriate biosecurity measures across different spatial scales and applied to different biological groups. Crown Copyright (C) 2009 Published by Elsevier Ltd. All rights reserved.</t>
  </si>
  <si>
    <t>[Hughes, Kevin A.; Convey, Pete] British Antarctic Survey, Nat Environm Res Council, Cambridge CB3 0ET, England</t>
  </si>
  <si>
    <t>Hughes, KA (corresponding author), British Antarctic Survey, Nat Environm Res Council, Madingley Rd, Cambridge CB3 0ET, England.</t>
  </si>
  <si>
    <t>0959-3780</t>
  </si>
  <si>
    <t>1872-9495</t>
  </si>
  <si>
    <t>GLOBAL ENVIRON CHANG</t>
  </si>
  <si>
    <t>Glob. Environ. Change-Human Policy Dimens.</t>
  </si>
  <si>
    <t>10.1016/j.gloenvcha.2009.09.005</t>
  </si>
  <si>
    <t>Environmental Sciences; Environmental Studies; Geography</t>
  </si>
  <si>
    <t>Environmental Sciences &amp; Ecology; Geography</t>
  </si>
  <si>
    <t>557MF</t>
  </si>
  <si>
    <t>WOS:000274672500012</t>
  </si>
  <si>
    <t>Burns, G; Thorne, MAS; Hillyard, G; Clark, MS; Convey, P; Worland, MR</t>
  </si>
  <si>
    <t>Burns, G.; Thorne, M. A. S.; Hillyard, G.; Clark, M. S.; Convey, P.; Worland, M. R.</t>
  </si>
  <si>
    <t>Gene expression associated with changes in cold tolerance levels of the Antarctic springtail, Cryptopygus antarcticus</t>
  </si>
  <si>
    <t>INSECT MOLECULAR BIOLOGY</t>
  </si>
  <si>
    <t>environmental; genomics; microarray; collembolan; cold tolerance</t>
  </si>
  <si>
    <t>SUBZERO TEMPERATURES; COLLEMBOLA; PROTEIN; DISTRIBUTIONS; HARDINESS; INSECTS; CUTICLE; STRESS; CYCLE; TOOL</t>
  </si>
  <si>
    <t>The ability of the Antarctic microarthropod Cryptopygus antarcticus (Collembola, Isotomidae) to survive low temperatures has been well studied at the physiological level, with recent investigations indicating the importance of the moulting process in conferring this ability. This study investigated gene expression in groups of C. antarcticus that have distinct differences in their ability to survive low temperatures. A microarray containing c. 5400 C. antarcticus expressed sequence tags was used to investigate gene expression differences between groups of animals with different supercooling points (SCP), and to low temperatures close to their SCP. By demonstrating the involvement of moult-related genes in the differential survival of two groups of C. antarcticus with distinct SCP profiles, the results of this investigation add support to the suggestion that moulting plays a role in conferring cold tolerance in C. antarcticus.</t>
  </si>
  <si>
    <t>[Burns, G.; Thorne, M. A. S.; Hillyard, G.; Clark, M. S.; Convey, P.; Worland, M. R.] British Antarctic Survey, Nat Environm Res Council, Cambridge CB3 0ET, England</t>
  </si>
  <si>
    <t>Burns, G (corresponding author), British Antarctic Survey, Nat Environm Res Council, Madingley Rd, Cambridge CB3 0ET, England.</t>
  </si>
  <si>
    <t>gabu@bas.ac.uk</t>
  </si>
  <si>
    <t>Convey, Peter/AAV-5728-2020; Clark, Melody/D-7371-2014</t>
  </si>
  <si>
    <t>Convey, Peter/0000-0001-8497-9903; Clark, Melody/0000-0002-3442-3824; Thorne, Michael/0000-0001-7759-612X</t>
  </si>
  <si>
    <t>NEST [012674]; MPI, Berlin [GR868548-GR870657]; NERC [bas0100025] Funding Source: UKRI; Natural Environment Research Council [bas0100025] Funding Source: researchfish</t>
  </si>
  <si>
    <t>NEST; MPI, Berlin; NERC(UK Research &amp; Innovation (UKRI)Natural Environment Research Council (NERC)); Natural Environment Research Council(UK Research &amp; Innovation (UKRI)Natural Environment Research Council (NERC))</t>
  </si>
  <si>
    <t>This work was produced within the BAS Q4 BIOREACH/BIOFLAME core programme and also contributes to the SCAR EBA programme, with supplementary funding for some of the EST sequencing provided by the EU Sleeping Beauty Consortium: Specific Targeted Research Project, contract no. 012674 (NEST). The authors would like to thank Richard Reinhardt and Michael Kube for access to the sequencing facilities at the MPI, Berlin (for GenBank sequences GR868548-GR870657), the Rothera Terrestrial Assistant, the Bonner Laboratory Manager and the Rothera boatman for help in collecting C. antarcticus.</t>
  </si>
  <si>
    <t>0962-1075</t>
  </si>
  <si>
    <t>1365-2583</t>
  </si>
  <si>
    <t>INSECT MOL BIOL</t>
  </si>
  <si>
    <t>Insect Mol. Biol.</t>
  </si>
  <si>
    <t>10.1111/j.1365-2583.2009.00953.x</t>
  </si>
  <si>
    <t>Biochemistry &amp; Molecular Biology; Entomology</t>
  </si>
  <si>
    <t>540DA</t>
  </si>
  <si>
    <t>WOS:000273309800010</t>
  </si>
  <si>
    <t>Miyashita, M; Fujimura, S; Nakagawa, Y; Nishizawa, M; Tomizuka, N; Nakagawa, T; Nakagawa, J</t>
  </si>
  <si>
    <t>Miyashita, Mika; Fujimura, Shuki; Nakagawa, Yasuyoshi; Nishizawa, Makoto; Tomizuka, Noboru; Nakagawa, Tomoyuki; Nakagawa, Junichi</t>
  </si>
  <si>
    <t>Flavobacterium algicola sp nov., isolated from marine algae</t>
  </si>
  <si>
    <t>ANTARCTIC LAKES; MICROBIAL MATS; RIBOSOMAL-RNA; DEOXYRIBONUCLEIC-ACID; EMENDED DESCRIPTION; BACTERIUM; SEQUENCE; 16S; PSYCHROPHILES; FUCOIDAN</t>
  </si>
  <si>
    <t>A rod-shaped Gram-staining-negative, non-motile, aerobic and fucoidan-digesting strain, designated TC2(T), was isolated from marine algae collected from the coast of the Sea of Okhotsk at Abashiri, Hokkaido, Japan. The bacterium formed yellow, translucent, circular and convex colonies. Comparative 16S rRNA gene sequence analysis indicated that the strain belonged to the genus Flavobacterium, with the highest sequence similarities of 97.1 to 97.3% to the type strains of Flavobacterium frigidarium, Flavobacterium frigoris, Flavobacterium limicola and Flavobacterium psychrolimnae. DNA-DNA relatedness values between strain TC2(T) and the above-mentioned species were lower than 28%. The genomic DNA G + C content was 33.9 mol%. The major respiratory quinone was menaquinone-6 and the predominant fatty acids were iso-C-15:1 G, iso-C-15:0, iso-C-15:0 3-OH and summed feature 3 (which comprises iso-C-15:0 2-OH and/or C-16:1 omega 7c). Strain TC2(T) could be differentiated from related species by several phenotypic characteristics. Thus, on the basis of these results, strain TC2(T) represents a novel species of the genus Flavobacterium, for which the name Flavobacterium algicola sp. nov. is proposed. The type strain is TC2(T) (=NBRC 102673(T) =CIP 109574(T)).</t>
  </si>
  <si>
    <t>[Nakagawa, Tomoyuki] Gifu Univ, Fac Appl Biol Sci, Gifu 5011193, Japan; [Miyashita, Mika; Nakagawa, Yasuyoshi] Natl Inst Technol &amp; Evaluat, Dept Biotechnol, Biol Resource Ctr NBRC, Chiba 2920818, Japan; [Fujimura, Shuki; Nishizawa, Makoto; Tomizuka, Noboru; Nakagawa, Junichi] Tokyo Univ Agr, Fac Bioindustry, Dept Food Sci &amp; Technol, Abashiri, Hokkaido 0992493, Japan</t>
  </si>
  <si>
    <t>Gifu University; Tokyo University of Agriculture</t>
  </si>
  <si>
    <t>Nakagawa, T (corresponding author), Gifu Univ, Fac Appl Biol Sci, 1-1 Yanagido, Gifu 5011193, Japan.</t>
  </si>
  <si>
    <t>t_nakaga@gifu-u.ac.jp</t>
  </si>
  <si>
    <t>Nakagawa, Tomoyuki/0000-0003-0112-0349</t>
  </si>
  <si>
    <t>Japan Science and Technology Agency (JST)</t>
  </si>
  <si>
    <t>Japan Science and Technology Agency (JST)(Japan Science &amp; Technology Agency (JST))</t>
  </si>
  <si>
    <t>We are grateful to Dr Takashi Ito, Ms Megumi Ando and Ms Tornomi Chida, Department of Food Science and Technology, Tokyo University of Agriculture, for their skilful assistance. This work was supported in part by the Research for Promoting Technological Seed from the Japan Science and Technology Agency (JST).</t>
  </si>
  <si>
    <t>10.1099/ijs.0.009365-0</t>
  </si>
  <si>
    <t>566OC</t>
  </si>
  <si>
    <t>WOS:000275380900015</t>
  </si>
  <si>
    <t>Schauer, R; Bienhold, C; Ramette, A; Harder, J</t>
  </si>
  <si>
    <t>Schauer, Regina; Bienhold, Christina; Ramette, Alban; Harder, Jens</t>
  </si>
  <si>
    <t>Bacterial diversity and biogeography in deep-sea surface sediments of the South Atlantic Ocean</t>
  </si>
  <si>
    <t>ISME JOURNAL</t>
  </si>
  <si>
    <t>barrier; biogeography; deep sea; Gammaproteobacteria; spatial scale</t>
  </si>
  <si>
    <t>OPERATIONAL TAXONOMIC UNITS; MICROBIAL DIVERSITY; COMMUNITY STRUCTURE; CLASS FLAVOBACTERIA; AREA RELATIONSHIP; MARINE-SEDIMENTS; ANGOLA BASIN; PROKARYOTES; ABUNDANCE; WATER</t>
  </si>
  <si>
    <t>Microbial biogeographic patterns in the deep sea depend on the ability of microorganisms to disperse. One possible limitation to microbial dispersal may be the Walvis Ridge that separates the Antarctic Lower Circumpolar Deep Water from the North Atlantic Deep Water. We examined bacterial communities in three basins of the eastern South Atlantic Ocean to determine diversity and biogeography of bacterial communities in deep-sea surface sediments. The analysis of 16S ribosomal RNA (rRNA) gene clone libraries in each basin revealed a high diversity, representing 521 phylotypes with 98% identity in 1051 sequences. Phylotypes affiliated with Gammaproteobacteria, Deltaproteobacteria and Acidobacteria were present in all three basins. The distribution of these shared phylotypes seemed to be influenced neither by the Walvis Ridge nor by different deep water masses, suggesting a high dispersal capability, as also indicated by low distance-decay relationships. However, the total bacterial diversity showed significant differences between the basins, based on 16S rRNA gene sequences as well as on terminal restriction fragment length polymorphism fingerprints. Noticeably, both geographic distance and environmental heterogeneity influenced bacterial diversity at intermediate (10-3000 km) and large scales (43000 km), indicating a complex interplay of local contemporary environmental effects and dispersal limitation. The ISME Journal (2010) 4, 159-170; doi: 10.1038/ismej.2009.106; published online 15 October 2009</t>
  </si>
  <si>
    <t>[Schauer, Regina; Bienhold, Christina; Harder, Jens] Max Planck Inst Marine Microbiol, Dept Microbiol, D-28359 Bremen, Germany; [Ramette, Alban] Max Planck Inst Marine Microbiol, Microbial Habitat Grp, D-28359 Bremen, Germany</t>
  </si>
  <si>
    <t>Max Planck Society; Max Planck Society</t>
  </si>
  <si>
    <t>Harder, J (corresponding author), Max Planck Inst Marine Microbiol, Dept Microbiol, Celsiusstr 1, D-28359 Bremen, Germany.</t>
  </si>
  <si>
    <t>jharder@mpi-bremen.de</t>
  </si>
  <si>
    <t>Ramette, Alban/E-9197-2016</t>
  </si>
  <si>
    <t>Ramette, Alban/0000-0002-3437-4639; Bienhold, Christina/0000-0003-2269-9468; Harder, Jens/0000-0001-9440-3609</t>
  </si>
  <si>
    <t>MarBEF Network of Excellence [GOCE-CT-2003-505446]; Max Planck Society</t>
  </si>
  <si>
    <t>MarBEF Network of Excellence; Max Planck Society(Max Planck Society)</t>
  </si>
  <si>
    <t>We thank M Turkay and P Martinez Arbizu for the invitation to participate to the Meteor cruise DIVA II (M63/2) and the captain, crew and shipboard scientific party for their assistance during sampling. We are grateful to I Kroncke and M Turkay for providing environmental data of the deep-sea sediments. The project has been carried out in the framework of the Consensus of Diversity of Abyssal Marine Life (CoML/CeDAMar) and the MarBEF Network of Excellence 'Marine Biodiversity and Ecosystem Functioning' (contract no. GOCE-CT-2003-505446). This work was financially supported by the Max Planck Society.</t>
  </si>
  <si>
    <t>1751-7362</t>
  </si>
  <si>
    <t>1751-7370</t>
  </si>
  <si>
    <t>ISME J</t>
  </si>
  <si>
    <t>ISME J.</t>
  </si>
  <si>
    <t>10.1038/ismej.2009.106</t>
  </si>
  <si>
    <t>Ecology; Microbiology</t>
  </si>
  <si>
    <t>Environmental Sciences &amp; Ecology; Microbiology</t>
  </si>
  <si>
    <t>559DG</t>
  </si>
  <si>
    <t>WOS:000274800300002</t>
  </si>
  <si>
    <t>Jungblut, AD; Lovejoy, C; Vincent, WF</t>
  </si>
  <si>
    <t>Jungblut, Anne D.; Lovejoy, Connie; Vincent, Warwick F.</t>
  </si>
  <si>
    <t>Global distribution of cyanobacterial ecotypes in the cold biosphere</t>
  </si>
  <si>
    <t>16S rRNA gene; biogeography; cyanobacteria; dispersal; microbial mats; polar</t>
  </si>
  <si>
    <t>MCMURDO ICE SHELF; MICROBIAL MATS; MOLECULAR EVIDENCE; ANTARCTIC LAKES; DIVERSITY; BIODIVERSITY; BIOGEOGRAPHY; COMMUNITIES; POPULATIONS; ECOSYSTEMS</t>
  </si>
  <si>
    <t>Perennially cold habitats are diminishing as a result of climate change; however, little is known of the diversity or biogeography of microbes that thrive in such environments. Here we use targeted 16S rRNA gene surveys to evaluate the global affinities of cold-dwelling cyanobacteria from lake, stream and ice communities living at the northern limit of High Arctic Canada. Pigment signature analysis by HPLC confirmed the dominance of cyanobacteria in the phototrophic communities of these High Arctic microbial mats, with associated populations of chlorophytes and chromophytes. Microscopic analysis of the cyanobacteria revealed a diverse assemblage of morphospecies grouping into orders Oscillatoriales, Nostocales and Chroococcales. The 16S rRNA gene sequences from six clone libraries grouped into a total of 24 ribotypes, with a diversity in each mat ranging from five ribotypes in ice-based communities to 14 in land-based pond communities. However, no significant differences in composition were observed between these two microbial mat systems. Based on clone-library and phylogenetic analysis, several of the High Arctic ribotypes were found to be &gt;99% similar to Antarctic and alpine sequences, including to taxa previously considered endemic to Antarctica. Among the latter, one High Arctic sequence was found 99.8% similar to Leptolyngbya antarctica sequenced from the Larsemann Hills, Antarctica. More than 68% of all identified ribotypes at each site matched only cyanobacterial sequences from perennially cold terrestrial ecosystems, and were &lt;97.5% similar to sequences from warmer environments. These results imply the global distribution of low-temperature cyanobacterial ecotypes throughout the cold terrestrial biosphere. The ISME Journal (2010) 4, 191-202; doi: 10.1038/ismej.2009.113; published online 5 November 2009</t>
  </si>
  <si>
    <t>[Jungblut, Anne D.; Lovejoy, Connie; Vincent, Warwick F.] Univ Laval, Dept Biol, Quebec City, PQ G1V 0A6, Canada; [Jungblut, Anne D.; Vincent, Warwick F.] Univ Laval, Ctr Etud Nord, Quebec City, PQ G1V 0A6, Canada; [Lovejoy, Connie] Univ Laval, IBIS, Quebec City, PQ G1V 0A6, Canada</t>
  </si>
  <si>
    <t>Laval University; Laval University; Laval University</t>
  </si>
  <si>
    <t>Jungblut, AD (corresponding author), Univ Laval, Dept Biol, Quebec City, PQ G1V 0A6, Canada.</t>
  </si>
  <si>
    <t>anne-dorothee-jungblut.1@ulaval.ca</t>
  </si>
  <si>
    <t>Vincent, Warwick/AAH-6152-2019; Lovejoy, Connie/A-3756-2008</t>
  </si>
  <si>
    <t>Vincent, Warwick/0000-0001-9055-1938; Lovejoy, Connie/0000-0001-8027-2281</t>
  </si>
  <si>
    <t>Natural Sciences and Engineering Research Council; Canada Research Chair in Aquatic Ecosystem Studies; ArcticNet; MERGE; Polar Continental Shelf Project (PCSP) [04109]</t>
  </si>
  <si>
    <t>Natural Sciences and Engineering Research Council(Natural Sciences and Engineering Research Council of Canada (NSERC)); Canada Research Chair in Aquatic Ecosystem Studies; ArcticNet; MERGE; Polar Continental Shelf Project (PCSP)(Natural Resources Canada)</t>
  </si>
  <si>
    <t>We acknowledge financial support from the Natural Sciences and Engineering Research Council, the Canada Research Chair in Aquatic Ecosystem Studies, the Network of Centres of Excellence program ArcticNet and the International Polar Year Programme MERGE. Logistical support was supplied by the Polar Continental Shelf Project (this is PCSP publication number 04109). Field assistance was provided by Denis Sarrazin, Julie Veillette, Caroline Chenard, Dermot Antoniades, Jeremie Pouliot and Alexandra Pontefract. We also thank the staff of Quttinirpaaq National Park, Parks Canada, for support and facilities, Marie-Josee Martineau for laboratory assistance and four anonymous reviewers for insightful comments and suggestions.</t>
  </si>
  <si>
    <t>10.1038/ismej.2009.113</t>
  </si>
  <si>
    <t>WOS:000274800300005</t>
  </si>
  <si>
    <t>Shaw, JD; Spear, D; Greve, M; Chown, SL</t>
  </si>
  <si>
    <t>Shaw, Justine D.; Spear, Dian; Greve, Michelle; Chown, Steven L.</t>
  </si>
  <si>
    <t>Taxonomic homogenization and differentiation across Southern Ocean Islands differ among insects and vascular plants</t>
  </si>
  <si>
    <t>Biological invasions; non-indigenous species; Southern Ocean Islands; spatial scale; sub-Antarctic; taxonomic homogenization; taxonomic resolution</t>
  </si>
  <si>
    <t>FRESH-WATER FISH; BIOTIC HOMOGENIZATION; SPECIES INVASIONS; BIOLOGICAL INVASIONS; NORTH-AMERICA; SPATIAL SCALE; HUMAN IMPACTS; URBAN FLORAS; NEW-ZEALAND; DIVERSITY</t>
  </si>
  <si>
    <t>Aim To investigate taxonomic homogenization and/or differentiation of insect and vascular plant assemblages across the Southern Ocean Islands (SOI), and how they differ with changing spatial extent and taxonomic resolution. Location Twenty-two islands located across the Southern Ocean, further subdivided into five island biogeographical provinces. These islands are used because comprehensive data on both indigenous and non-indigenous insect and plant species are available. Methods An existing database was updated, using newly published species records, identifying the indigenous and non-indigenous insect and vascular plant species recorded for each island. Homogenization and differentiation were measured using Jaccard's index (JI) of similarity for assemblages across all islands on a pairwise basis, and for island pairs within each of the biogeographical provinces. The effects of taxonomic resolution (species, genus, family) and distance on levels of homogenization or differentiation were examined. To explore further the patterns of similarity among islands for each of the taxa and groupings (indigenous and non-indigenous), islands were clustered based on JI similarity matrices and using group averaging. Results Across the SOI, insect assemblages have become homogenized (0.7% increase in similarity at species level) while plant assemblages have become differentiated at genus and species levels. Homogenization was recorded only when pairwise distances among islands exceeded 3000 km for insect assemblages, but distances had to exceed 10,000 km for plant assemblages. Widely distributed non-indigenous plant species tend to have wider distributions across the SOI than do their insect counterparts, and this is also true of the indigenous species. Main conclusions Insect assemblages across the SOI have become homogenized as a consequence of the establishment of non-indigenous species, while plant assemblages have become more differentiated. The likely reason is that indigenous plant assemblages are more similar across the SOI than are insect assemblages, which show greater regionalization. Thus, although a suite of widespread, typically European, weedy, non-indigenous plant species has established on many islands, the outcome has largely been differentiation. Because further introductions of insects and vascular plants are probable as climates warm across the region, the patterns documented here are likely to change through time.</t>
  </si>
  <si>
    <t>[Shaw, Justine D.; Spear, Dian; Greve, Michelle; Chown, Steven L.] Univ Stellenbosch, Ctr Invas Biol, Dept Bot &amp; Zool, ZA-7602 Matieland, South Africa</t>
  </si>
  <si>
    <t>Shaw, JD (corresponding author), Univ Stellenbosch, Ctr Invas Biol, Dept Bot &amp; Zool, Private Bag X1, ZA-7602 Matieland, South Africa.</t>
  </si>
  <si>
    <t>jshaw@sun.ac.za</t>
  </si>
  <si>
    <t>Greve, Michelle/G-7045-2012; Spear, Dian/B-2469-2009; Chown, Steven/ABD-7646-2021; Chown, Steven/H-3347-2011</t>
  </si>
  <si>
    <t>Greve, Michelle/0000-0002-6229-8506; Spear, Dian/0000-0002-2417-3980; Chown, Steven/0000-0001-6069-5105; Shaw, Justine/0000-0002-9603-2271</t>
  </si>
  <si>
    <t>Centre for Invasion Biology; NRF [SNA2007042400003]</t>
  </si>
  <si>
    <t>Centre for Invasion Biology; NRF</t>
  </si>
  <si>
    <t>This research was supported by the Centre for Invasion Biology and by NRF Grant SNA2007042400003 to S.L. Chown. We thank Peter Le Roux, Aleks Terauds, Philippe Vernon and an anonymous referee for helpful comments on an earlier version of the manuscript.</t>
  </si>
  <si>
    <t>10.1111/j.1365-2699.2009.02204.x</t>
  </si>
  <si>
    <t>545XU</t>
  </si>
  <si>
    <t>WOS:000273771100002</t>
  </si>
  <si>
    <t>Harcourt, RG; Turner, E; Hall, A; Waas, JR; Hindell, M</t>
  </si>
  <si>
    <t>Harcourt, Robert Geoffrey; Turner, Emma; Hall, Ailsa; Waas, Joseph R.; Hindell, Mark</t>
  </si>
  <si>
    <t>Effects of capture stress on free-ranging, reproductively active male Weddell seals</t>
  </si>
  <si>
    <t>JOURNAL OF COMPARATIVE PHYSIOLOGY A-NEUROETHOLOGY SENSORY NEURAL AND BEHAVIORAL PHYSIOLOGY</t>
  </si>
  <si>
    <t>Marine mammals; Leptonychotes weddellii; Handling stress; Cortisol; Antarctica</t>
  </si>
  <si>
    <t>BOTTLE-NOSED DOLPHINS; BLUBBER FATTY-ACIDS; ELEPHANT SEALS; LEPTONYCHOTES-WEDDELLII; PLASMA-CORTISOL; MCMURDO SOUND; GREY SEALS; WILD; MASS; DYNAMICS</t>
  </si>
  <si>
    <t>Physiological stress responses to capture may be an indicator of welfare challenges induced by animal handling. Simultaneously, blood chemistry changes induced by stress responses may confound experimental design by interacting with the biological parameters being measured. Cortisol elevation is a common indicator of stress responses in mammals and reproductive condition can profoundly influence endocrine response. We measured changes in blood cortisol and testosterone induced by handling reproductively active male Weddell seals (Leptonychotes weddellii) early and late in the breeding season. Weddell seals have the highest resting cortisol levels of all mammals yet showed a clear, prolonged elevation in cortisol in response to capture. Responses were similar when first caught and when caught a second time, later in the breeding season. Baseline testosterone levels declined over the breeding season but were not altered by capture. Administering a light dose of diazepam significantly ameliorated the cortisol response of handled animals without affecting testosterone levels. This may be an effective way of reducing acute capture stress responses. Male breeding success in years males were handled was no different to the years they were not, despite the acute capture response, suggesting no long-term impact of handling on male reproductive output.</t>
  </si>
  <si>
    <t>[Harcourt, Robert Geoffrey; Turner, Emma] Macquarie Univ, Grad Sch Environm, Marine Mammal Res Grp, Sydney, NSW 2109, Australia; [Hall, Ailsa] Univ St Andrews, Sea Mammal Res Unit, Scottish Oceans Inst, St Andrews KY16 8LB, Fife, Scotland; [Waas, Joseph R.] Univ Waikato, Dept Biol Sci, Hamilton, New Zealand; [Hindell, Mark] Univ Tasmania, Antarctic Wildlife Res Unit, Dept Zool, Hobart, Tas 7001, Australia</t>
  </si>
  <si>
    <t>Macquarie University; University of St Andrews; University of Waikato; University of Tasmania</t>
  </si>
  <si>
    <t>Harcourt, RG (corresponding author), Macquarie Univ, Grad Sch Environm, Marine Mammal Res Grp, Sydney, NSW 2109, Australia.</t>
  </si>
  <si>
    <t>rharcour@gse.mq.edu.au</t>
  </si>
  <si>
    <t>Hall, Ailsa J/E-1596-2011; Hindell, Mark A/K-1131-2013</t>
  </si>
  <si>
    <t>Harcourt, Robert/0000-0003-4666-2934; Hindell, Mark/0000-0002-7823-7185</t>
  </si>
  <si>
    <t>Seaworld Research and Rescue Foundation; Australian Research Council; Graduate School of the Environment; Macquarie University; Department of Biological Sciences; University of Waikato; Antarctic Scientific Advisory Committee; Natural Environment Research Council [smru10001] Funding Source: researchfish</t>
  </si>
  <si>
    <t>Seaworld Research and Rescue Foundation; Australian Research Council(Australian Research Council); Graduate School of the Environment; Macquarie University; Department of Biological Sciences; University of Waikato; Antarctic Scientific Advisory Committee; Natural Environment Research Council(UK Research &amp; Innovation (UKRI)Natural Environment Research Council (NERC))</t>
  </si>
  <si>
    <t>We would like to thank the staff of Scott Base and Antarctica New Zealand who provided excellent field support for 4 years of this study. We thank Dudley Bell, Tony Dorr, and Sarah Winter for field assistance. Randy Davis, Terrie Williams, Tom Gelatt and Mike Cameron provided invaluable support at various times. Two anonymous reviewers provided comments which improved the manuscript. The study was supported by the Seaworld Research and Rescue Foundation, the Australian Research Council, the Graduate School of the Environment, Macquarie University, the Department of Biological Sciences, University of Waikato and the Antarctic Scientific Advisory Committee. Permission to conduct the study was obtained from the Environmental Assessment and Review Panel of Antarctica New Zealand, the Department of Conservation, New Zealand and the Animal Ethics Committee of the University of Waikato.</t>
  </si>
  <si>
    <t>0340-7594</t>
  </si>
  <si>
    <t>1432-1351</t>
  </si>
  <si>
    <t>J COMP PHYSIOL A</t>
  </si>
  <si>
    <t>J. Comp. Physiol. A -Neuroethol. Sens. Neural Behav. Physiol.</t>
  </si>
  <si>
    <t>10.1007/s00359-009-0501-0</t>
  </si>
  <si>
    <t>Behavioral Sciences; Neurosciences; Physiology; Zoology</t>
  </si>
  <si>
    <t>Behavioral Sciences; Neurosciences &amp; Neurology; Physiology; Zoology</t>
  </si>
  <si>
    <t>546ZC</t>
  </si>
  <si>
    <t>WOS:000273853300006</t>
  </si>
  <si>
    <t>Naik, SS; Thamban, M; Rajakumar, A; D'Souza, W; Laluraj, CM; Chaturvedi, A</t>
  </si>
  <si>
    <t>Naik, Sushant S.; Thamban, Meloth; Rajakumar, A.; D'Souza, Witty; Laluraj, C. M.; Chaturvedi, Arun</t>
  </si>
  <si>
    <t>Influence of climatic teleconnections on the temporal isotopic variability as recorded in a firn core from the coastal Dronning Maud Land, East Antarctica</t>
  </si>
  <si>
    <t>JOURNAL OF EARTH SYSTEM SCIENCE</t>
  </si>
  <si>
    <t>Antarctica; ice cores; teleconnection; isotopes; ENSO; SAM; climate; cryosphere</t>
  </si>
  <si>
    <t>SOUTHERN ANNULAR MODE; ICE CORE; SEA-ICE; ACCUMULATION; PRECIPITATION; OSCILLATION; CIRCULATION</t>
  </si>
  <si>
    <t>Ice and firn core studies provide one of the most valuable tools for understanding the past climate change. In order to evaluate the temporal isotopic variability recorded in ice and its relevance to environmental changes, stable isotopes of oxygen and hydrogen were studied in a firn core from coastal Dronning Maud Land, East Antarctica. The annual delta O-18 profile of the core shows a close relation to the El Nino Southern Oscillation (ENSO) variability. The ENSO indices show significant correlation with the surface air temperatures and delta O-18 values of this region during the austral summer season and support an additional influence related to the Southern Annular Mode (SAM). The correlation between the combined ENSO-SAM index and the summer delta O-18 record seems to have been caused through an atmospheric mechanism. Snow accumulation in this region illustrates a decreasing trend with opposite relationships with delta O-18 data and surface air temperature prior and subsequent to the year 1997. A reorganization of the local water cycle is further indicated by the deuterium excess data showing a shift around 1997, consistent with a change in evaporation conditions. The present study thus illustrates the utility of ice-core studies in the reconstruction of past climate change and suggests possible influence of climatic teleconnections on the snow accumulation rates and isotopic profiles of snow in the coastal regions of east Antarctica.</t>
  </si>
  <si>
    <t>[Naik, Sushant S.; Thamban, Meloth; Rajakumar, A.; D'Souza, Witty; Laluraj, C. M.] Natl Ctr Antarctic &amp; Ocean Res, Vasco Da Gama 403804, Goa, India; [Chaturvedi, Arun] Geol Survey India, Antarctica Div, NIT, NH 5P, Faridabad 121001, India</t>
  </si>
  <si>
    <t>Ministry of Earth Sciences (MoES) - India; National Centre for Polar and Ocean Research (NCPOR); Geological Survey India</t>
  </si>
  <si>
    <t>Naik, SS (corresponding author), Natl Ctr Antarctic &amp; Ocean Res, Vasco Da Gama 403804, Goa, India.</t>
  </si>
  <si>
    <t>sushant@ncaor.org</t>
  </si>
  <si>
    <t>Naik, Sushant/B-3512-2011</t>
  </si>
  <si>
    <t>Thamban, Meloth/0000-0003-3379-8189</t>
  </si>
  <si>
    <t>Ministry of Eaxth Sciences (New Delhi); Director, NCAOR</t>
  </si>
  <si>
    <t>We thank the Ministry of Eaxth Sciences (New Delhi) and Director, NCAOR for their support. The authors thank B L Redkar (NCAOR) for isotopic analysis and P C George (GSI) for the field work. The leader and team members of the Indian Scientific Expedition to Antarctica</t>
  </si>
  <si>
    <t>2347-4327</t>
  </si>
  <si>
    <t>0973-774X</t>
  </si>
  <si>
    <t>J EARTH SYST SCI</t>
  </si>
  <si>
    <t>J. Earth Syst. Sci.</t>
  </si>
  <si>
    <t>10.1007/s12040-010-0006-9</t>
  </si>
  <si>
    <t>Geosciences, Multidisciplinary; Multidisciplinary Sciences</t>
  </si>
  <si>
    <t>Geology; Science &amp; Technology - Other Topics</t>
  </si>
  <si>
    <t>563VS</t>
  </si>
  <si>
    <t>WOS:000275163900004</t>
  </si>
  <si>
    <t>Giordano, D; Russo, R; Coppola, D; Di Prisco, G; Verde, C</t>
  </si>
  <si>
    <t>Giordano, D.; Russo, R.; Coppola, D.; Di Prisco, G.; Verde, C.</t>
  </si>
  <si>
    <t>Molecular adaptations in haemoglobins of notothenioid fishes</t>
  </si>
  <si>
    <t>JOURNAL OF FISH BIOLOGY</t>
  </si>
  <si>
    <t>Antarctic fish; biology; ecology; evolution; haemoglobin; molecular adaptation</t>
  </si>
  <si>
    <t>FUNCTIONALLY DISTINCT HEMOGLOBINS; ANTARCTIC FISH; CRYSTAL-STRUCTURE; OXYGEN SECRETION; CLIMATE-CHANGE; TETRAMERIC HEMOGLOBIN; TREMATOMUS-BERNACCHII; COLD ADAPTATION; GLOBIN GENES; NEW-ZEALAND</t>
  </si>
  <si>
    <t>Since haemoglobins of all animal species have the same haem group, differences in their properties, including oxygen affinity, electrophoretic mobility and pH sensitivity, must result from the interaction of the prosthetic group with specific amino-acid residues in the primary structure. For this reason, fish globins have been the subject of extensive studies in recent years, not only for their structural characteristics, but also because they offer the possibility to investigate the evolutionary history of these ancient molecules in marine and freshwater species living in a great variety of environmental conditions. This review summarizes the current knowledge on the structure, function and phylogeny of haemoglobins of notothenioid fishes. On the basis of crystallographic analysis, the evolution of the Root effect is analysed. Adaptation of the oxygen transport system in notothenioids seems to be based on evolutionary changes, involving levels of biological organization higher than the structure of haemoglobin. These include changes in the rate of haemoglobin synthesis or in regulation by allosteric effectors, which affect the amount of oxygen transported in blood. These factors are thought to be more important for short-term response to environmental challenges than previously believed.</t>
  </si>
  <si>
    <t>[Giordano, D.; Russo, R.; Coppola, D.; Di Prisco, G.; Verde, C.] CNR, Inst Prot Biochem, I-80131 Naples, Italy</t>
  </si>
  <si>
    <t>Verde, C (corresponding author), CNR, Inst Prot Biochem, Via Pietro Castellino 111, I-80131 Naples, Italy.</t>
  </si>
  <si>
    <t>c.verde@ibp.cnr.it</t>
  </si>
  <si>
    <t>Giordano, Daniela/AFK-7772-2022</t>
  </si>
  <si>
    <t>Giordano, Daniela/0000-0002-8891-6245; VERDE, Cinzia/0000-0001-6185-282X</t>
  </si>
  <si>
    <t>Italian National Programme for Antarctic Research (PNRA)</t>
  </si>
  <si>
    <t>This study is supported by the Italian National Programme for Antarctic Research (PNRA). It is in the framework of the SCAR programme Evolution and Biodiversity in the Antarctic (EBA), and the project CAREX ( Coordination Action for Research Activities on Life in Extreme Environments), European Commission FP7 call ENV.2007.2.2.1.6. It is partially supported by the Ministero Italiano dell'Universita e della Ricerca Scientifica (PRIN 2007SFZXZ7 'Structure, function and evolution of haem proteins from Arctic and Antarctic marine organisms: cold-adaptation mechanisms and acquisition of new functions').</t>
  </si>
  <si>
    <t>0022-1112</t>
  </si>
  <si>
    <t>1095-8649</t>
  </si>
  <si>
    <t>J FISH BIOL</t>
  </si>
  <si>
    <t>J. Fish Biol.</t>
  </si>
  <si>
    <t>10.1111/j.1095-8649.2009.02528.x</t>
  </si>
  <si>
    <t>555XU</t>
  </si>
  <si>
    <t>WOS:000274550900001</t>
  </si>
  <si>
    <t>Childerhouse, SJ; Dawson, SM; Fletcher, DJ; Slooten, E; Chilvers, BL</t>
  </si>
  <si>
    <t>Childerhouse, Simon J.; Dawson, Stephen M.; Fletcher, David J.; Slooten, Elisabeth; Chilvers, B. Louise</t>
  </si>
  <si>
    <t>Growth and reproduction of female New Zealand sea lions</t>
  </si>
  <si>
    <t>JOURNAL OF MAMMALOGY</t>
  </si>
  <si>
    <t>growth; New Zealand sea lion; Phocarcios hookert reproduction</t>
  </si>
  <si>
    <t>ANTARCTIC FUR SEALS; PHOCARCTOS-HOOKERI; ZALOPHUS-CALIFORNIANUS; AGE; PATTERNS; COSTS; BIRTH; GULF</t>
  </si>
  <si>
    <t>A sample of 834 female New Zealand sea lions (Phocarctos hookert), Which were aged mid measured. was obtained between 1998 and 2001 In addition, the reproductive histories of 505 marked females from the Auckland Islands were recorded from 1998 to 2005 These data sets were used to investigate growth and reproductive rates Length and weight ranged from 134 to 197 cm and 49 to 156 kg. respectively A Gompertz growth model best described growth and predicted that females attained 90% of asymptotic length (161 7 cm) and weight (112 0) at ages 4 and I I years. respectively No sionificant differences were found in growth rates among years. nor between the 2 major breeding colonies In the Auckland Islands Females reproduced between the ages of 3 and 26 years. With evidence of reproductive senescence starting at age 23 years. Although females up to age 28 years were observed, no females over 26 years were recorded as reproductive Age-specific reproductive rate P(x) increased rapidly between ages 3 and 7 years, reached a plateau between ages 7 and 23 Years. and then declined rapidly after age 23 years Mean observed reproductive rate was P(x)(3-28) = 0.67 (SE = 0.01). This is the 1st robust estimate of reproductive rate for this species, is consistent with rates reported for other sea lions, and is considerably lower than assumed rates used in recent population modeling for this species. This calls into question the current method for estimating levels of sustainable bycatch Low growth and reproductive rates are consistent with a population that is occupying a marginal foraging environment These factors, along with a recent significant decline in pup production, suggest that current management is insufficient to ensure population stasis, let alone meet the statutory goal of recovery DOI: 10.1644/09-MAMM-A110R.1</t>
  </si>
  <si>
    <t>[Childerhouse, Simon J.; Chilvers, B. Louise] Dept Conservat, Wellington 6011, New Zealand; [Fletcher, David J.] Univ Otago, Dept Math &amp; Stat, Dunedin 9016, New Zealand; [Slooten, Elisabeth] Univ Otago, Dept Zool, Dunedin 9016, New Zealand; [Childerhouse, Simon J.; Dawson, Stephen M.] Univ Otago, Dept Marine Sci, Dunedin 9016, New Zealand</t>
  </si>
  <si>
    <t>University of Otago; University of Otago; University of Otago</t>
  </si>
  <si>
    <t>Childerhouse, SJ (corresponding author), Australian Antarctic Div, Australian Marine Mammal Ctr, Channel Highway, Kingston, Tas 7050, Australia.</t>
  </si>
  <si>
    <t>Fletcher, David/AAT-2308-2020; Chilvers, B. Louise/AAV-1965-2021; Slooten, Elisabeth/E-7425-2014</t>
  </si>
  <si>
    <t>Fletcher, David/0000-0003-1988-5796; Chilvers, B. Louise/0000-0002-7657-4217; Slooten, Elisabeth/0000-0001-5384-511X; Dawson, Stephen/0000-0003-3182-0186</t>
  </si>
  <si>
    <t>Department of Conservation</t>
  </si>
  <si>
    <t>This research was funded by the Department of Conservation, with part of the costs recovered through Conservation Services Levies on the New Zealand fishing industry. The work was conducted with Animal Ethics and Marine mammal permits from the Department of Conservation. We are grateful to members of the Department of Conservation NZSL research team over the period of the study for their assistance in the field, in particular I wilkinson. W Hockly, and P dutgnan Thanks go to N Gales, R Mattlin and I west for discussions in developing this study and providing useful feedback and guidance L Douglas provided useful comments on an earlier draft</t>
  </si>
  <si>
    <t>0022-2372</t>
  </si>
  <si>
    <t>1545-1542</t>
  </si>
  <si>
    <t>J MAMMAL</t>
  </si>
  <si>
    <t>J. Mammal.</t>
  </si>
  <si>
    <t>10.1644/09-MAMM-A-110R.1</t>
  </si>
  <si>
    <t>560UR</t>
  </si>
  <si>
    <t>WOS:000274929300018</t>
  </si>
  <si>
    <t>Dahms, HU; Hwang, JS</t>
  </si>
  <si>
    <t>Dahms, Hans-Uwe; Hwang, Jiang-Shiou</t>
  </si>
  <si>
    <t>PERSPECTIVES OF UNDERWATER OPTICS IN BIOLOGICAL OCEANOGRAPHY AND PLANKTON ECOLOGY STUDIES</t>
  </si>
  <si>
    <t>JOURNAL OF MARINE SCIENCE AND TECHNOLOGY-TAIWAN</t>
  </si>
  <si>
    <t>ocean optics; underwater optics; biological oceanography; object recognition; imaging; automatic identification; image analysis; video cinematographic analysis; low cam; fast cam; 3-D analysis; digital tracking; plankton; benthos; field survey; behavior</t>
  </si>
  <si>
    <t>WESTERN ANTARCTIC PENINSULA; REMOTE-SENSING REFLECTANCE; IN-SITU; SILHOUETTE PHOTOGRAPHY; CALCIFICATION RATES; COMMUNITY STRUCTURE; SWIMMING BEHAVIOR; CALANOID COPEPODS; FORAGING BEHAVIOR; ZOOPLANKTON</t>
  </si>
  <si>
    <t>The ever expanding fields of UW (underwater) optics cover principal measurements of the optical properties of the sea, development of new methods of monitoring optical proper-ties, techniques for measurements of organisms or structures in the sea and the development and application of optical instrumentation. In this respect, ocean optics is a multidisciplinary (and multinational) endeavour of science and engineering. Ocean optics has applications in the study of upwelling irradiance and chlorophyll concentrations in the ocean, in the penetration of solar radiation in shallow shelf seas and how this influences temperature profiles and ultimately its effect on sound propagation. Recent development in optical holography allow underwater visual inspection and precision measurements, estimation of the biological diversity of ocean plankton and benthos. One requirement is the development of high-resolution tools for the imaging of specimens in the field. We review here current developments of ocean optics as an integrative tool of biological oceanography that holds for surveys in the field as for laboratory studies.</t>
  </si>
  <si>
    <t>[Hwang, Jiang-Shiou] Natl Taiwan Ocean Univ, Inst Marine Biol, Chilung 202, Taiwan; [Dahms, Hans-Uwe] Sangmyung Univ, Coll Nat Sci, Green Life Sci Dept, Seoul 110743, South Korea</t>
  </si>
  <si>
    <t>National Taiwan Ocean University; Sangmyung University</t>
  </si>
  <si>
    <t>Hwang, JS (corresponding author), Natl Taiwan Ocean Univ, Inst Marine Biol, Chilung 202, Taiwan.</t>
  </si>
  <si>
    <t>Jshwang@mail.ntou.edu.tw</t>
  </si>
  <si>
    <t>NATL TAIWAN OCEAN UNIV</t>
  </si>
  <si>
    <t>KEELUNG</t>
  </si>
  <si>
    <t>NO 2 PEI-NING RD, KEELUNG, 202, TAIWAN</t>
  </si>
  <si>
    <t>1023-2796</t>
  </si>
  <si>
    <t>J MAR SCI TECH-TAIW</t>
  </si>
  <si>
    <t>J. Mar. Sci. Technol.-Taiwan</t>
  </si>
  <si>
    <t>Engineering, Multidisciplinary; Oceanography</t>
  </si>
  <si>
    <t>Engineering; Oceanography</t>
  </si>
  <si>
    <t>562EX</t>
  </si>
  <si>
    <t>WOS:000275033600014</t>
  </si>
  <si>
    <t>Jorgensen, EM; Strugnell, JM; Allcock, AL</t>
  </si>
  <si>
    <t>Jorgensen, Elaina M.; Strugnell, Jan M.; Allcock, A. Louise</t>
  </si>
  <si>
    <t>Description and phylogenetic relationships of a new genus of octopus, Sasakiopus (Cephalopoda: Octopodidae), from the Bering Sea, with a redescription of Sasakiopus salebrosus (Sasaki, 1920)</t>
  </si>
  <si>
    <t>JOURNAL OF MOLLUSCAN STUDIES</t>
  </si>
  <si>
    <t>MOLECULAR PHYLOGENY; N.-SP.; MOLLUSCA; WATERS; MODEL</t>
  </si>
  <si>
    <t>A new genus of octopus, Sasakiopus, is erected for the species S. salebrosus (Sasaki, 1920) n. comb. Sasakiopus salebrosus is redescribed from the holotype and from new material recently collected in the eastern Bering Sea. Molecular phylogenetic analysis of one nuclear and three mitochondrial genes revealed that the new genus is the sister taxon of a clade containing the genera Benthoctopus and Vulcanoctopus. The clade containing Sasakiopus, Benthoctopus and Vulcanoctopus is the sister group of Enteroctopus. The genus Bathypolypus falls outside this clade. Sasakiopus differs from Bathypolypus and Enteroctopus by the shape of its ligula (simple in Sasakiopus and Benthoctopus, laminate in Bathypolypus and elongate in Enteroctopus), from Enteroctopus by the absence of enlarged suckers in mature male animals and from Benthoctopus by its skin sculpture and ability to ink.</t>
  </si>
  <si>
    <t>[Jorgensen, Elaina M.] NOAA, RACE, Alaska Fisheries Sci Ctr, Natl Marine Fisheries Serv, Seattle, WA 98115 USA; [Strugnell, Jan M.] Univ Cambridge, Dept Zool, Cambridge CB2 3EJ, England; [Allcock, A. Louise] Queens Univ Belfast, Sch Biol Sci, Belfast BT9 7BL, Antrim, North Ireland</t>
  </si>
  <si>
    <t>National Oceanic Atmospheric Admin (NOAA) - USA; University of Cambridge; Queens University Belfast</t>
  </si>
  <si>
    <t>Jorgensen, EM (corresponding author), NOAA, RACE, Alaska Fisheries Sci Ctr, Natl Marine Fisheries Serv, 7600 Sand Point Way NE, Seattle, WA 98115 USA.</t>
  </si>
  <si>
    <t>Elaina.Jorgensen@noaa.gov</t>
  </si>
  <si>
    <t>Strugnell, Jan/B-1698-2010; Allcock, Louise/A-7359-2012; Strugnell, Jan M/P-9921-2016</t>
  </si>
  <si>
    <t>Lloyd's Tercentenary; NERC [AFI NE/C506321/1]; Antarctic Science Bursaries; Systematics Association</t>
  </si>
  <si>
    <t>Lloyd's Tercentenary; NERC(UK Research &amp; Innovation (UKRI)Natural Environment Research Council (NERC)); Antarctic Science Bursaries; Systematics Association</t>
  </si>
  <si>
    <t>The authors would like to thank the Captain and crew of the F/V Northwest Explorer for facilitating the fieldwork. Carla Stehr assisted with the SEM of the radula. Linda Ward and Cheryl Ames assisted in registration of specimens at the NMNH. J.M.S. was supported by a Lloyd's Tercentenary Fellowship and NERC AFI NE/C506321/1, Antarctic Science Bursaries, and thanks the Systematics Association for funding the sequencing work.</t>
  </si>
  <si>
    <t>0260-1230</t>
  </si>
  <si>
    <t>1464-3766</t>
  </si>
  <si>
    <t>J MOLLUS STUD</t>
  </si>
  <si>
    <t>J. Molluscan Stud.</t>
  </si>
  <si>
    <t>10.1093/mollus/eyp046</t>
  </si>
  <si>
    <t>547MI</t>
  </si>
  <si>
    <t>WOS:000273892900006</t>
  </si>
  <si>
    <t>Nerini, D; Monestiez, P; Manté, C</t>
  </si>
  <si>
    <t>Nerini, David; Monestiez, Pascal; Mante, Claude</t>
  </si>
  <si>
    <t>Cokriging for spatial functional data</t>
  </si>
  <si>
    <t>JOURNAL OF MULTIVARIATE ANALYSIS</t>
  </si>
  <si>
    <t>Functional data analysis; RKHS; Functional linear model; Coregionalization; Cokriging; Legendre polynomials</t>
  </si>
  <si>
    <t>REGRESSION; SPLINES</t>
  </si>
  <si>
    <t>This work proposes to generalize the method of kriging when data are spatially sampled curves. A spatial functional linear model is constructed including spatial dependencies between curves. Under some regularity conditions of the curves, an ordinary kriging system is established in the infinite dimensional case. From a practical point-of-view, the decomposition of the curves into a functional basis boils down the problem of kriging in infinite dimension to a standard cokriging on basis coefficients. The methodological developments are illustrated with temperature profiles sampled with dives of elephant seals in the Antarctic Ocean. The projection of sampled profiles into a Legendre polynomial basis is performed with a regularization procedure based on spline smoothing which uses the variance of the sampling devices in order to estimate coefficients by quadrature. (C) 2009 Elsevier Inc. All rights reserved.</t>
  </si>
  <si>
    <t>[Nerini, David; Mante, Claude] Ctr Oceanol Marseille, CNRS, Lab Microbiol Geochim &amp; Ecol Marines, UMR 6117, F-13288 Marseille, France; [Monestiez, Pascal] INRA, Unite Biostat &amp; Proc Spatiaux, F-84914 Avignon, France</t>
  </si>
  <si>
    <t>Centre National de la Recherche Scientifique (CNRS); INRAE</t>
  </si>
  <si>
    <t>Nerini, D (corresponding author), Ctr Oceanol Marseille, CNRS, Lab Microbiol Geochim &amp; Ecol Marines, UMR 6117, Case 901,Campus Luminy, F-13288 Marseille, France.</t>
  </si>
  <si>
    <t>david.nerini@univmed.fr</t>
  </si>
  <si>
    <t>NERINI, DAVID/0000-0002-7995-1364; Mante, Claude/0000-0002-7268-9789; Monestiez, Pascal/0000-0001-5851-2699</t>
  </si>
  <si>
    <t>ELSEVIER INC</t>
  </si>
  <si>
    <t>525 B STREET, STE 1900, SAN DIEGO, CA 92101-4495 USA</t>
  </si>
  <si>
    <t>0047-259X</t>
  </si>
  <si>
    <t>J MULTIVARIATE ANAL</t>
  </si>
  <si>
    <t>J. Multivar. Anal.</t>
  </si>
  <si>
    <t>10.1016/j.jmva.2009.03.005</t>
  </si>
  <si>
    <t>Statistics &amp; Probability</t>
  </si>
  <si>
    <t>Mathematics</t>
  </si>
  <si>
    <t>529OF</t>
  </si>
  <si>
    <t>WOS:000272526300011</t>
  </si>
  <si>
    <t>Hirano, D; Kitade, Y; Nagashima, H; Matsuyama, M</t>
  </si>
  <si>
    <t>Hirano, Daisuke; Kitade, Yujiro; Nagashima, Hideki; Matsuyama, Masaji</t>
  </si>
  <si>
    <t>Characteristics of Observed Turbulent Mixing across the Antarctic Slope Front at 140°E, East Antarctica</t>
  </si>
  <si>
    <t>Antarctic Slope Front; turbulent mixing; internal tide; heat flux</t>
  </si>
  <si>
    <t>BOTTOM WATER FORMATION; SOUTHERN WEDDELL SEA; INTERNAL TIDES; ADELIE LAND; OCEAN; MICROSTRUCTURE; DISSIPATION; PROPAGATION; CIRCULATION; GENERATION</t>
  </si>
  <si>
    <t>The strength of mixing due to turbulence in the Antarctic Slope Front (ASF) region was investigated using CTD (conductivity-temperature-depth profilers) observations and direct measurements of turbulence conducted off Adelie Land, East Antarctica along 140 degrees E from the 12th-14th February, 2005. The strongest horizontal gradient of the ASF was located below 300 m depth near the 1000 m isobath. The turbulent measurements revealed that the energy dissipation rate frequently exceeded 10(-8) Wkg(-1) on the continental shelf and upper slope regions. Turbulent diffusivities near the shelf break were higher than 10(-3) m(2)s(-1). Near the ASF the average turbulent heat flux was 5.7 Wm(-2) and 1.1 Wm(-2) across the temperature minimum layer to 250 m and from 300 to 600 m, respectively. The distribution of the high dissipation rate was consistently explained by the characteristic curve of the M2 internal wave emanating from the shelf break and continental slope. The water mass observed in the ASF below 300 m in the continental slope comprised Modified Circumpolar Deep Water and low salinity Shelf Water originating from either the upper layer of the Adelie Depression or the Adelie Bank, and produced by boundary mixing near the shelf break.</t>
  </si>
  <si>
    <t>[Hirano, Daisuke; Kitade, Yujiro; Nagashima, Hideki; Matsuyama, Masaji] Tokyo Univ Marine Sci &amp; Technol, Grad Sch Marine Sci &amp; Technol, Minato Ku, Tokyo 1088477, Japan</t>
  </si>
  <si>
    <t>Tokyo University of Marine Science &amp; Technology</t>
  </si>
  <si>
    <t>Hirano, D (corresponding author), Tokyo Univ Marine Sci &amp; Technol, Grad Sch Marine Sci &amp; Technol, Minato Ku, Tokyo 1088477, Japan.</t>
  </si>
  <si>
    <t>d072006@kaiyodai.ac.jp</t>
  </si>
  <si>
    <t>Hirano, Daisuke/P-3963-2019; KITADE, Yujiro/O-1912-2014</t>
  </si>
  <si>
    <t>KITADE, Yujiro/0000-0002-9312-6870</t>
  </si>
  <si>
    <t>10.1007/s10872-010-0008-x</t>
  </si>
  <si>
    <t>538TR</t>
  </si>
  <si>
    <t>WOS:000273207400008</t>
  </si>
  <si>
    <t>Rao, VP; Kessarkar, PM; Thamban, M; Patil, SK</t>
  </si>
  <si>
    <t>Rao, Venigalla Purnachandra; Kessarkar, Pratima Mohan; Thamban, Meloth; Patil, Shiva Kumar</t>
  </si>
  <si>
    <t>Paleoclimatic and Diagenetic History of the Late Quaternary Sediments in a Core from the Southeastern Arabian Sea: Geochemical and Magnetic Signals</t>
  </si>
  <si>
    <t>Rock magnetic properties; redox-sensitive elements; sedimentary environment; diagenetic magnetic minerals; productivity; SE Arabian Sea; late Quaternary</t>
  </si>
  <si>
    <t>OXYGEN MINIMUM ZONE; SOUTHWESTERN CONTINENTAL-MARGIN; ORGANIC-CARBON; MARINE-SEDIMENTS; PRODUCTIVITY; MONSOON; RECORD; VARIABILITY; CLIMATE; RIDGE</t>
  </si>
  <si>
    <t>Geochemical and rock-magnetic investigations were carried out on a sediment core collected from the SE Arabian Sea at 1420 in depth in oxygenated waters below the present-day oxygen minimum zone. The top 250 cm of the core sediments represent the last 35 kaBP. The delta O-18 values of Globigerinoides ruber are heaviest during the Last Glacial Maximum (LGM) and appear unaffected by low-saline waters transported from the Bay of Bengal by the strong northeast monsoon and West Indian coastal current. The signatures of Bolling-Allerod and Younger Dryas events are distinct in the records of magnetic susceptibility, organic carbon (OC) and delta O-18. Glacial sediments show higher OC, CaCO3, Ba, Mo, U and Cd, while the early-to-late Holocene sediments show increasing concentrations of OC, CaCO3, Ba, Cu, Ni and Zn and decreasing concentrations of Mo, U and Cd. Productivity induced low-oxygenated bottom waters and reducing sedimentary conditions during glaciation, and productivity and oxygenated bottom waters in the Holocene are responsible for their variation. The core exhibits different stages of diagenesis at different sediment intervals. The occurrence of fine-grained, low-coercivity, ferrimagnetic mineral during glacial periods is indicative of its formation in organic-rich, anoxic sediments, which may be analogous to the diagenetic magnetic enhancement known in sapropels of the Mediterranean Sea and Japan Sea. The glacial sediments exhibiting reductive diagenesis with anoxic sedimentary environment in this core correspond to reductive diagenesis and intermittent bioturbation (oxygenation) reported in another core in the vicinity. This suggests that the poorly oxygenated bottom water conditions during glacial times should not be generalized, but are influenced locally by productivity, sedimentation rates and sediment reworking.</t>
  </si>
  <si>
    <t>[Rao, Venigalla Purnachandra; Kessarkar, Pratima Mohan] Natl Inst Oceanog, Council Sci &amp; Ind Res, Panaji 403004, Goa, India; [Thamban, Meloth] Natl Ctr Antarct &amp; Ocean Res, Headland Sada 403804, Goa, India; [Patil, Shiva Kumar] Indian Inst Geomagnetism, Dr KS Krishna Geomagnet Res Lab, Allahabad 221505, Uttar Pradesh, India</t>
  </si>
  <si>
    <t>Council of Scientific &amp; Industrial Research (CSIR) - India; CSIR - National Institute of Oceanography (NIO); Ministry of Earth Sciences (MoES) - India; National Centre for Polar and Ocean Research (NCPOR); Department of Science &amp; Technology (India); Indian Institute of Geomagnetism (IIG)</t>
  </si>
  <si>
    <t>Rao, VP (corresponding author), Natl Inst Oceanog, Council Sci &amp; Ind Res, Panaji 403004, Goa, India.</t>
  </si>
  <si>
    <t>vprao@nio.org</t>
  </si>
  <si>
    <t>Department of Science and Technology, New Delhi</t>
  </si>
  <si>
    <t>Department of Science and Technology, New Delhi(Department of Science &amp; Technology (India))</t>
  </si>
  <si>
    <t>We thank the Directors of the National Institute of Oceanography, National Centre for Antarctic and Ocean Research, Goa and Indian Institute of Geomagnetism, Mumbai for facilities and encouragement. Part of the geochemical work was carried out by Meloth Thamban (MT) at the Geological Survey of Japan, Tsukuba through financial support from the Japan Science Promotion Society (JSPS). MT thanks Prof. Hodaka Kawahata for extending the facilities. We thank Dr. C. Prakashbabu for organic carbon analyses. Part of this work was carried out from the project funds of Department of Science and Technology, New Delhi. We thank the reviewers of this paper for their insight and critical comments which improved our understanding of the processes suggested in the paper. This is NIO contribution 4624.</t>
  </si>
  <si>
    <t>1573-868X</t>
  </si>
  <si>
    <t>10.1007/s10872-010-0011-2</t>
  </si>
  <si>
    <t>WOS:000273207400011</t>
  </si>
  <si>
    <t>Thompson, AF</t>
  </si>
  <si>
    <t>Thompson, Andrew F.</t>
  </si>
  <si>
    <t>Jet Formation and Evolution in Baroclinic Turbulence with Simple Topography</t>
  </si>
  <si>
    <t>ANTARCTIC CIRCUMPOLAR CURRENT; MULTIPLE ZONAL JETS; QUASI-GEOSTROPHIC MODEL; BETA-PLANE CHANNEL; SOUTHERN-OCEAN; TRANSPORT BARRIERS; WIND-DRIVEN; MEAN FLOW; EFFECTIVE DIFFUSIVITY; EDDY AMPLITUDES</t>
  </si>
  <si>
    <t>Satellite altimetry and high-resolution ocean models indicate that the Southern Ocean comprises an intricate web of narrow, meandering jets that undergo spontaneous formation, merger, and splitting events, as well as rapid latitude shifts over periods of weeks to months. The role of topography in controlling jet variability is explored using over 100 simulations from a doubly periodic, forced-dissipative, two-layer quasi-geostrophic model. The system is forced by a baroclinically unstable, vertically sheared mean flow in a domain that is large enough to accommodate multiple jets. The dependence of (i) meridional jet spacing, (ii) jet variability, and (iii) domain-averaged meridional transport on changes in the length scale and steepness of simple sinusoidal topographical features is analyzed. The Rhines scale, l(beta) =2 pi root V-e /beta, where V-e is an eddy velocity scale and beta is the barotropic potential vorticity gradient, measures the meridional extent of eddy mixing by a single jet. The ratio l(beta)/l(T), where l(T) is the topographic length scale, governs jet behavior. Multiple, steady jets with fixed meridional spacing are observed when l(beta) &gt;&gt; l(T) or when l(beta) approximate to l(T). When l(beta) &lt; l(T), a pattern of perpetual jet formation and jet merger dominates the time evolution of the system. Zonal ridges systematically reduce the domain-averaged meridional transport, while two-dimensional, sinusoidal bumps can increase transport by an order of magnitude or more. For certain parameters, bumpy topography gives rise to periodic oscillations in the jet structure between purely zonal and topographically steered states. In these cases, transport is dominated by bursts of mixing associated with the transition between the two regimes. Topography modifies local potential vorticity (PV) gradients and mean flows; this can generate asymmetric Reynolds stresses about the jet core and can feed back on the conversion of potential energy to kinetic energy through baroclinic instability. Both processes contribute to unsteady jet behavior. It is likely that these processes play a role in the dynamic nature of Southern Ocean jets.</t>
  </si>
  <si>
    <t>Univ Cambridge, Dept Appl Math &amp; Theoret Phys, Ctr Math Sci, Cambridge CB3 0WA, England</t>
  </si>
  <si>
    <t>Thompson, AF (corresponding author), Univ Cambridge, Dept Appl Math &amp; Theoret Phys, Ctr Math Sci, Wilberforce Rd, Cambridge CB3 0WA, England.</t>
  </si>
  <si>
    <t>a.f.thompson@damtp.cam.ac.uk</t>
  </si>
  <si>
    <t>Natural Environment Research Council (NERC); Natural Environment Research Council [NE/E013171/1] Funding Source: researchfish; NERC [NE/E013171/1] Funding Source: UKRI</t>
  </si>
  <si>
    <t>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</si>
  <si>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The code used to calculate the effective diffusivities was provided by Peter Haynes. Insightful conversations with Pavel Berloff, Peter Haynes, Alberto Naveira Garabato, and David Stevens that improved this manuscript are gratefully acknowledged. This work was supported by a Natural Environment Research Council (NERC) Postdoctoral Fellowship.</t>
  </si>
  <si>
    <t>10.1175/2009JPO4218.1</t>
  </si>
  <si>
    <t>552YC</t>
  </si>
  <si>
    <t>WOS:000274330200001</t>
  </si>
  <si>
    <t>Hutchinson, DK; Hogg, AM; Blundell, JR</t>
  </si>
  <si>
    <t>Hutchinson, David K.; Hogg, Andrew McC.; Blundell, Jeffrey R.</t>
  </si>
  <si>
    <t>Southern Ocean Response to Relative Velocity Wind Stress Forcing</t>
  </si>
  <si>
    <t>ANTARCTIC CIRCUMPOLAR CURRENT; HEMISPHERE OCEAN; CIRCULATION; MODEL; TRANSPORT; CURRENTS; TEMPERATURE; EDDIES</t>
  </si>
  <si>
    <t>An eddy-resolving quasigeostrophic model of the Southern Ocean coupled to a dynamic atmospheric mixed layer is used to compare the performance of two different wind stress parameterization schemes. The first is the standard quadratic drag law, based on atmospheric velocity alone, whereas the second (more exact) formulation is based on the difference between ocean and atmosphere velocities. The two different schemes give very similar magnitudes of mean stress; however, the relative velocity scheme has substantially lower power input, resulting in a weaker eddy field, and consequently, greater circumpolar transport. These results are explored in terms of the existing theories of the Antarctic Circumpolar Current (including eddy saturation and eddy damping) and the implications for modeling the Southern Ocean are discussed.</t>
  </si>
  <si>
    <t>[Hogg, Andrew McC.] Australian Natl Univ, Res Sch Earth Sci, Canberra, ACT 0200, Australia; [Blundell, Jeffrey R.] Natl Oceanog Ctr Southampton, Southampton, Hants, England</t>
  </si>
  <si>
    <t>Australian National University; NERC National Oceanography Centre; University of Southampton</t>
  </si>
  <si>
    <t>Hogg, AM (corresponding author), Australian Natl Univ, Res Sch Earth Sci, GPO Box 4, Canberra, ACT 0200, Australia.</t>
  </si>
  <si>
    <t>andy.hogg@anu.edu.au</t>
  </si>
  <si>
    <t>Hogg, Andy/AAZ-8733-2021; Hutchinson, David/F-4564-2016; Hogg, Andy McC./A-7553-2011</t>
  </si>
  <si>
    <t>Hogg, Andy/0000-0001-5898-7635; Hutchinson, David/0000-0001-9385-4782; Hogg, Andy McC./0000-0001-5898-7635</t>
  </si>
  <si>
    <t>NERC [noc010010, noc010005] Funding Source: UKRI; Natural Environment Research Council [noc010005, noc010010] Funding Source: researchfish</t>
  </si>
  <si>
    <t>10.1175/2009JPO4240.1</t>
  </si>
  <si>
    <t>WOS:000274330200005</t>
  </si>
  <si>
    <t>de Boer, AM; Gnanadesikan, A; Edwards, NR; Watson, AJ</t>
  </si>
  <si>
    <t>de Boer, Agatha M.; Gnanadesikan, Anand; Edwards, Neil R.; Watson, Andrew J.</t>
  </si>
  <si>
    <t>Meridional Density Gradients Do Not Control the Atlantic Overturning Circulation</t>
  </si>
  <si>
    <t>THERMOHALINE CIRCULATION; OCEAN CIRCULATION; MULTIPLE EQUILIBRIA; CLIMATE-CHANGE; WIND STRESS; BOX MODEL; TRANSPORT; SENSITIVITY; MECHANISMS; STABILITY</t>
  </si>
  <si>
    <t>A wide body of modeling and theoretical scaling studies support the concept that changes to the Atlantic meridional overturning circulation (AMOC), whether forced by winds or buoyancy fluxes, can be understood in terms of a simple causative relation between the AMOC and an appropriately defined meridional density gradient (MDG). The MDG is supposed to translate directly into a meridional pressure gradient. Here two sets of experiments are performed using a modular ocean model coupled to an energy-moisture balance model in which the positive AMOC-MDGrelation breaks down. In the first suite of seven model integrations it is found that increasing winds in the Southern Ocean cause an increase in overturning while the surface density difference between the equator and North Atlantic drops. In the second suite of eight model integrations the equation of state is manipulated so that the density is calculated at the model temperature plus an artificial increment Delta T that ranges from 23 degrees to 9 degrees C. (An increase in Delta T results in increased sensitivity of density to temperature gradients.) The AMOC in these model integrations drops as the MDG increases regardless of whether the density difference is computed at the surface or averaged over the upper ocean. Traditional scaling analysis can only produce this weaker AMOC if the scale depth decreases enough to compensate for the stronger MDG. Five estimates of the depth scale are evaluated and it is found that the changes in the AMOC can be derived from scaling analysis when using the depth of the maximum overturning circulation or estimates thereof but not from the pycnocline depth. These two depth scales are commonly assumed to be the same in theoretical models of the AMOC. It is suggested that the correlation between the MDG and AMOC breaks down in these model integrations because the depth and strength of the AMOC is influenced strongly by remote forcing such as Southern Ocean winds and Antarctic Bottom Water formation.</t>
  </si>
  <si>
    <t>[de Boer, Agatha M.; Watson, Andrew J.] Univ E Anglia, Sch Environm Sci, Norwich NR4 7TJ, Norfolk, England; [Gnanadesikan, Anand] NOAA, Geophys Fluid Dynam Lab, Princeton, NJ USA; [Edwards, Neil R.] Open Univ, Milton Keynes MK7 6AA, Bucks, England</t>
  </si>
  <si>
    <t>University of East Anglia; National Oceanic Atmospheric Admin (NOAA) - USA; Open University - UK</t>
  </si>
  <si>
    <t>de Boer, AM (corresponding author), Univ E Anglia, Sch Environm Sci, Norwich NR4 7TJ, Norfolk, England.</t>
  </si>
  <si>
    <t>a.deboer@uea.ac.uk</t>
  </si>
  <si>
    <t>De Boer, Agatha M/H-4202-2012; Gnanadesikan, Anand/A-2397-2008</t>
  </si>
  <si>
    <t>Watson, Andrew/0000-0002-9654-8147; Gnanadesikan, Anand/0000-0001-5784-1116</t>
  </si>
  <si>
    <t>NERC [NE/D001803/1]; Princeton Cooperative Institute for Climate Science; Natural Environment Research Council [NE/D001803/1, NE/F01242X/1] Funding Source: researchfish; NERC [NE/D001803/1, NE/F01242X/1] Funding Source: UKRI</t>
  </si>
  <si>
    <t>NERC(UK Research &amp; Innovation (UKRI)Natural Environment Research Council (NERC)); Princeton Cooperative Institute for Climate Science; Natural Environment Research Council(UK Research &amp; Innovation (UKRI)Natural Environment Research Council (NERC)); NERC(UK Research &amp; Innovation (UKRI)Natural Environment Research Council (NERC))</t>
  </si>
  <si>
    <t>Discussions with Robert Toggweiler and KevinOliver were very helpful. This work was partly funded by NERC Quaternary Quest Fellowship NE/D001803/1 and by the Princeton Cooperative Institute for Climate Science. Neil R. Edwards acknowledges funding from the NERC RAPID program.</t>
  </si>
  <si>
    <t>10.1175/2009JPO4200.1</t>
  </si>
  <si>
    <t>WOS:000274330200008</t>
  </si>
  <si>
    <t>Williams, TJ; Burg, DW; Raftery, MJ; Poljak, A; Guilhaus, M; Pilak, O; Cavicchioli, R</t>
  </si>
  <si>
    <t>Williams, Timothy J.; Burg, Dominic W.; Raftery, Mark J.; Poljak, Anne; Guilhaus, Michael; Pilak, Oliver; Cavicchioli, Ricardo</t>
  </si>
  <si>
    <t>Global Proteomic Analysis of the Insoluble, Soluble, and Supernatant Fractions of the Psychrophilic Archaeon Methanococcoides burtonii Part I: The Effect of Growth Temperature</t>
  </si>
  <si>
    <t>JOURNAL OF PROTEOME RESEARCH</t>
  </si>
  <si>
    <t>proteome; LC/LC-MS/MS; iTRAQ; membrane protein; archaea; methanogen; psychrophile; methylotroph; cell envelope; S-layere; nucleic acid binding; oxidative stress; translation; transcriptional regulator</t>
  </si>
  <si>
    <t>COLD-SHOCK; ANTARCTIC ARCHAEON; ESCHERICHIA-COLI; METHANOSARCINA-ACETIVORANS; CHAPERONE PROPERTIES; RNA HELICASE; PROTEIN; STRESS; BINDING; ADAPTATION</t>
  </si>
  <si>
    <t>The response of the cold-adapted (psychrophilic) methanogenic archaeon Methanococcoides burtonii to growth temperature was investigated using differential proteomics (postincorporation isobaric labeling) and tandem liquid chromatography-mass spectrometry (LC/LC-MS/MS). This is the first proteomic study of M. burtonii to include techniques that specifically enrich for both surface and membrane proteins and to assess the effects of growth temperature (4 vs 23 degrees C) and carbon source (trimethylamine vs methanol) on cellular protein levels. Numerous surface layer proteins were more abundant at 4 degrees C, indicating an extensive remodeling of the cell envelope in response to low temperature. Many of these surface proteins contain domains associated with cell adhesion. Within the cell, small proteins each composed of a single TRAM domain were recovered as important cold adaptation proteins and might serve as RNA chaperones, in an analogous manner to Csp proteins (absent from M. burtonii). Other proteins that had higher abundances at 4 degrees C can be similarly tied to relieving or resolving the adverse affects of cold growth temperature on translational capacity and correct protein folding. The proteome of M. burtonii grown at 23 degrees C was dominated by oxidative stress proteins, as well as a large number of integral membrane proteins of unknown function. This is the first truly global proteomic study of a psychrophilic archaeon and greatly expands knowledge of the cellular mechanisms underpinning cold adaptation in the Archaea.</t>
  </si>
  <si>
    <t>[Williams, Timothy J.; Burg, Dominic W.; Pilak, Oliver; Cavicchioli, Ricardo] Univ New S Wales, Sch Biotechnol &amp; Biomol Sci, Sydney, NSW 2052, Australia; [Raftery, Mark J.; Poljak, Anne; Guilhaus, Michael] Univ New S Wales, Bioanalyt Mass Spectrometry Facil, Sydney, NSW 2052, Australia; [Poljak, Anne] Univ New S Wales, Sch Med Sci, Sydney, NSW 2052, Australia</t>
  </si>
  <si>
    <t>University of New South Wales Sydney; University of New South Wales Sydney; University of New South Wales Sydney</t>
  </si>
  <si>
    <t>Cavicchioli, R (corresponding author), Univ New S Wales, Sch Biotechnol &amp; Biomol Sci, Sydney, NSW 2052, Australia.</t>
  </si>
  <si>
    <t>r.cavicchioli@unsw.edu.au</t>
  </si>
  <si>
    <t>Burg, Dominic/A-8136-2013; Cavicchioli, Ricardo/D-4341-2013</t>
  </si>
  <si>
    <t>Burg, Dominic/0000-0002-9957-3233; Cavicchioli, Ricardo/0000-0001-8989-6402; Williams, Timothy/0000-0002-2738-3019; Poljak, Anne/0000-0001-9953-1984</t>
  </si>
  <si>
    <t>Australian Research Council; U.S. Air Force Office of Scientific Research</t>
  </si>
  <si>
    <t>Australian Research Council(Australian Research Council); U.S. Air Force Office of Scientific Research(United States Department of DefenseAir Force Office of Scientific Research (AFOSR))</t>
  </si>
  <si>
    <t>This work was supported by the Australian Research Council and U.S. Air Force Office of Scientific Research.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(NCRIS). Subsidized access to this facility is gratefully acknowledged.</t>
  </si>
  <si>
    <t>1535-3893</t>
  </si>
  <si>
    <t>1535-3907</t>
  </si>
  <si>
    <t>J PROTEOME RES</t>
  </si>
  <si>
    <t>J. Proteome Res.</t>
  </si>
  <si>
    <t>10.1021/pr900509n</t>
  </si>
  <si>
    <t>Biochemical Research Methods</t>
  </si>
  <si>
    <t>Biochemistry &amp; Molecular Biology</t>
  </si>
  <si>
    <t>552EA</t>
  </si>
  <si>
    <t>WOS:000274269400002</t>
  </si>
  <si>
    <t>Williams, TJ; Burg, DW; Ertan, H; Raftery, MJ; Poljak, A; Guilhaus, M; Cavicchioli, R</t>
  </si>
  <si>
    <t>Williams, Timothy J.; Burg, Dominic W.; Ertan, Haluk; Raftery, Mark J.; Poljak, Anne; Guilhaus, Michael; Cavicchioli, Ricardo</t>
  </si>
  <si>
    <t>Global Proteomic Analysis of the Insoluble, Soluble, and Supernatant Fractions of the Psychrophilic Archaeon Methanococcoides burtonii Part II: The Effect of Different Methylated Growth Substrates</t>
  </si>
  <si>
    <t>proteome; LC/LC-MS/MS; iTRAQ; archaea; methanogen; psychrophile; methylotroph; methylamine; methanol; methyltransferase; cell envelope; nucleic acid binding; oxidative stress</t>
  </si>
  <si>
    <t>METHANOL METHYLTRANSFERASE ISOZYMES; MOLYBDENUM FORMYLMETHANOFURAN DEHYDROGENASE; ANTARCTIC ARCHAEON; BIOCHEMICAL-CHARACTERIZATION; METHANOSARCINA-BARKERI; ENERGY-CONSERVATION; PYROCOCCUS-FURIOSUS; COLD ADAPTATION; BETA-PROPELLER; ACE LAKE</t>
  </si>
  <si>
    <t>Methanococcoides burtonii is a cold-adapted methanogenic archaeon from Ace Lake in Antarctica. Methanol and methylamines are the only substrates it can use for carbon and energy. We carried out quantitative proteomics using iTRAQ of M. burtonii cells grown on different substrates (methanol in defined media or trimethylamine in complex media), using techniques that enriched for secreted and membrane proteins in addition to cytoplasmic proteins. By integrating proteomic data with the complete, manually annotated genome sequence of M. burtonii, we were able to gain new insight into methylotrophic metabolism and the effects of methanol on the cell. Metabolic processing of methanol and methylamines is initiated by methyltransferases specific for each substrate, with multiple paralogs for each of the methyltransferases (similar to other members of the Methanosarcinaceae). In M. burtonii, most methyltransferases appear to have distinct roles in the metabolism of methylated substrates, although two methylamine methyltransferases appear to be nonfunctional. One set of methyltransferases for trimethylamine catabolism appears to be membrane associated, potentially providing a mechanism to directly couple trimethylamine uptake to demethylation. Important roles were highlighted for citrate synthase, glutamine synthetase, acetyl-CoA decarbonylase/synthase, and pyruvate synthase in carbon and nitrogen metabolism during growth on methanol. M. burtonii had only a marginal response to the provision of exogenous amino acids (from yeast extract), indicating that it is predisposed to the endogenous synthesis of amino acids. Growth on methanol appeared to cause oxidative stress in the cell, possibly through the formation of reactive nonoxygen species and formaldehyde, and the oxidative inactivation of corrinoid proteins, with the cell responding by elevating the synthesis of universal stress (Usp) proteins, several nucleic acid binding proteins, and a serpin. In addition, changes in levels of cell envelope proteins were linked to counteracting the disruptive solvent effects of methanol on cell membranes. This is the first global proteomic study to examine the effects of different carbon sources on the growth of an obligately methylotrophic methanogen.</t>
  </si>
  <si>
    <t>[Williams, Timothy J.; Burg, Dominic W.; Ertan, Haluk; Cavicchioli, Ricardo] Univ New S Wales, Sch Biotechnol &amp; Biomol Sci, Sydney, NSW 2052, Australia; [Ertan, Haluk] Istanbul Univ, Dept Mol Biol &amp; Genet, Fac Sci, Istanbul, Turkey; [Raftery, Mark J.; Poljak, Anne; Guilhaus, Michael] Univ New S Wales, Bioanalyt Mass Spectrometry Facil, Sydney, NSW 2052, Australia; [Poljak, Anne] Univ New S Wales, Sch Med Sci, Sydney, NSW 2052, Australia</t>
  </si>
  <si>
    <t>University of New South Wales Sydney; Istanbul University; University of New South Wales Sydney; University of New South Wales Sydney</t>
  </si>
  <si>
    <t>Burg, Dominic/0000-0002-9957-3233; Williams, Timothy/0000-0002-2738-3019; Cavicchioli, Ricardo/0000-0001-8989-6402; Poljak, Anne/0000-0001-9953-1984</t>
  </si>
  <si>
    <t>10.1021/pr9005102</t>
  </si>
  <si>
    <t>WOS:000274269400003</t>
  </si>
  <si>
    <t>Burg, DW; Lauro, FM; Williams, TJ; Raftery, MJ; Guilhaus, M; Cavicchioli, R</t>
  </si>
  <si>
    <t>Burg, Dominic W.; Lauro, Federico M.; Williams, Timothy J.; Raftery, Mark J.; Guilhaus, Michael; Cavicchioli, Ricardo</t>
  </si>
  <si>
    <t>Analyzing the Hydrophobic Proteome of the Antarctic Archaeon Methanococcoides burtonii Using Differential Solubility Fractionation</t>
  </si>
  <si>
    <t>hydrophobic proteome; LC/LC-MS/MS; detergent fractionation; membrane protein; archaea; methanogen; psychrophile; methylotroph; cell envelope; S-layer; transporter</t>
  </si>
  <si>
    <t>MEMBRANE PROTEOME; COLD ADAPTATION; MECHANOSENSITIVE CHANNEL; STATISTICAL-MODEL; SIGNAL PEPTIDES; RNA HELICASE; PROTEINS; BINDING; IDENTIFICATION; ALPHA(2)-MACROGLOBULIN</t>
  </si>
  <si>
    <t>Proteomic studies have proven useful for studying the Antarctic archaeon Methanococcoides burtonii; however, little has been learned about the hydrophobic and membrane proteins, despite knowledge of their biological importance. In this study, new methods were developed to analyze and maximize the coverage of the hydrophobic proteome. Central to the analysis was a differential solubility fractionation (DSF) procedure using n-octyl-beta-D-glucopyranoside. The study achieved a significant increase (330) in the total number of known expressed proteins. From 612 identified, 185 were predicted to contain transmembrane domains or be associated with the membrane and 190 to be hydrophobic. The DSF procedure increased the efficacy of identifying membrane proteins by up to 169% and was economical, requiring far fewer runs (12% of machine time) to analyze the proteome compared to procedures without DSF. The analysis of peptide spectral counts enabled the assessment of growth temperature specific proteins. This semiquantitative analysis was particularly useful for identifying low abundance proteins unable to be quantified using labeling strategies. The proteogenomic analysis of the newly identified proteins revealed many cellular processes not previously associated with adaptation of the cell, This DSF-based approach is likely to benefit proteomic analyses of hydrophobic proteins for a broad range of biological systems.</t>
  </si>
  <si>
    <t>[Burg, Dominic W.; Lauro, Federico M.; Williams, Timothy J.; Cavicchioli, Ricardo] Univ New S Wales, Sch Biotechnol &amp; Biomol Sci, Sydney, NSW 2052, Australia; [Raftery, Mark J.; Guilhaus, Michael] Univ New S Wales, Bioanalyt Mass Spectrometry Facil, Sydney, NSW 2052, Australia</t>
  </si>
  <si>
    <t>Lauro, Federico/X-2420-2019; Burg, Dominic/A-8136-2013; Cavicchioli, Ricardo/D-4341-2013</t>
  </si>
  <si>
    <t>Lauro, Federico/0000-0002-8373-1014; Burg, Dominic/0000-0002-9957-3233; Cavicchioli, Ricardo/0000-0001-8989-6402; Williams, Timothy/0000-0002-2738-3019</t>
  </si>
  <si>
    <t>Australian Research Council; US Air Force Office of Scientific Research</t>
  </si>
  <si>
    <t>Australian Research Council(Australian Research Council); US Air Force Office of Scientific Research(United States Department of DefenseAir Force Office of Scientific Research (AFOSR))</t>
  </si>
  <si>
    <t>This work was supported by the Australian Research Council and US Air Force Office of Scientific Research.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(NCRIS). Subsidised access to this facility is gratefully acknowledged. Kevin Barrow is gratefully acknowledged for discussions regarding selection of detergents for DSF.</t>
  </si>
  <si>
    <t>10.1021/pr9007865</t>
  </si>
  <si>
    <t>WOS:000274269400004</t>
  </si>
  <si>
    <t>Liu, CT; Williams, ER; Zipser, EJ; Burns, G</t>
  </si>
  <si>
    <t>Liu, Chuntao; Williams, Earle R.; Zipser, Edward J.; Burns, Gary</t>
  </si>
  <si>
    <t>Diurnal Variations of Global Thunderstorms and Electrified Shower Clouds and Their Contribution to the Global Electrical Circuit</t>
  </si>
  <si>
    <t>JOURNAL OF THE ATMOSPHERIC SCIENCES</t>
  </si>
  <si>
    <t>PART I; PRECIPITATION; INTENSITY; RAINFALL; FIELDS; CYCLE</t>
  </si>
  <si>
    <t>The long-standing mainstay of support for C. T. R. Wilson's global circuit hypothesis is the similarity between the diurnal variation of thunderstorm days in universal time and the Carnegie curve of electrical potential gradient. This rough agreement has sustained the widespread view that thunderstorms are the batteries'' for the global electrical circuit. This study utilizes 10 years of Tropical Rainfall Measuring Mission (TRMM) observations to quantify the global occurrence of thunderstorms with much better accuracy and to validate the comparison by F. J. W. Whipple 80 years ago. The results support Wilson's original ideas that both thunderstorms and electrified shower clouds contribute to the DC global circuit by virtue of negative charge carried downward by precipitation. First, the precipitation features (PFs) are defined by grouping the pixels with rain using 10 years of TRMM observations. Thunderstorms are identified from these PFs with lightning flashes observed by the Lightning Imaging Sensor. PFs without lightning flashes but with a 30-dBZ radar echo-top temperature lower than -10 degrees C over land and -17 degrees C over ocean are selected as possibly electrified shower clouds. The universal diurnal variation of rainfall, the raining area from the thunderstorms, and possibly electrified shower clouds in different seasons are derived and compared with the diurnal variations of the electric field observed at Vostok, Antarctica. The result shows a substantially better match from the updated diurnal variations of the thunderstorm area to the Carnegie curve than Whipple showed. However, to fully understand and quantify the amount of negative charge carried downward by precipitation in electrified storms, more observations of precipitation current in different types of electrified shower clouds are required.</t>
  </si>
  <si>
    <t>[Liu, Chuntao; Zipser, Edward J.] Univ Utah, Dept Atmospher Sci, Salt Lake City, UT 84112 USA; [Williams, Earle R.] MIT, Parsons Lab, Cambridge, MA 02139 USA; [Burns, Gary] Australian Govt, Australian Antarctic Div, Kingston, Tas, Australia</t>
  </si>
  <si>
    <t>Utah System of Higher Education; University of Utah; Massachusetts Institute of Technology (MIT); Australian Antarctic Division</t>
  </si>
  <si>
    <t>Liu, CT (corresponding author), Univ Utah, Dept Atmospher Sci, 135 S 1460 E,Rm 819, Salt Lake City, UT 84112 USA.</t>
  </si>
  <si>
    <t>liu.c.t@utah.edu</t>
  </si>
  <si>
    <t>liu, chuntao/CAF-5778-2022; liu, chuntao/CAI-2189-2022</t>
  </si>
  <si>
    <t>liu, chuntao/0000-0002-6914-0920</t>
  </si>
  <si>
    <t>NASA Precipitation Measurement Mission [NAG5-13628, NNX08AK28G, NNX07AT03G]; TRMM Science Data and Information System (TDSIS) at NASA Goddard Space Flight Center, Greenbelt, MD; Russian Foundation for Basic Research [98-05-65602]; Australian Antarctic Science Advisory Committee [AAS 974]; NASA [99791, NNX08AK28G] Funding Source: Federal RePORTER</t>
  </si>
  <si>
    <t>NASA Precipitation Measurement Mission; TRMM Science Data and Information System (TDSIS) at NASA Goddard Space Flight Center, Greenbelt, MD; Russian Foundation for Basic Research(Russian Foundation for Basic Research (RFBR)Spanish Government); Australian Antarctic Science Advisory Committee; NASA(National Aeronautics &amp; Space Administration (NASA))</t>
  </si>
  <si>
    <t>This research was supported by NASA Precipitation Measurement Mission Grants NAG5-13628 under the direction of Dr. Ramesh Kakar and NASA Grant NNX08AK28G under the direction of Dr. Erich Stocker. Special thanks go to John Kwiatkowski and the rest of the TRMM Science Data and Information System (TDSIS) at NASA Goddard Space Flight Center, Greenbelt, MD, for data processing assistance. Discussions on this topic with R. Blakeslee, S. Heckman, R. Holzworth, D. Mach, R. Markson, W. Petersen, D. Rosenfeld, and S. Rutledge are much appreciated. ERW's contribution to this study was supported by NASA Grant NNX07AT03G. The Vostok electric field data were collected by a Russian Australian collaboration approved by the Russian Foundation for Basic Research (Project 98-05-65602) and the Australian Antarctic Science Advisory Committee (AAS 974).</t>
  </si>
  <si>
    <t>0022-4928</t>
  </si>
  <si>
    <t>1520-0469</t>
  </si>
  <si>
    <t>J ATMOS SCI</t>
  </si>
  <si>
    <t>J. Atmos. Sci.</t>
  </si>
  <si>
    <t>10.1175/2009JAS3248.1</t>
  </si>
  <si>
    <t>555UL</t>
  </si>
  <si>
    <t>WOS:000274541400002</t>
  </si>
  <si>
    <t>Srivastava, AK; Ingle, PS; Khare, N</t>
  </si>
  <si>
    <t>Srivastava, Ashok K.; Ingle, Pravin S.; Khare, Neloy</t>
  </si>
  <si>
    <t>Textural Characteristics, Distribution Pattern and Provenance of Heavy Minerals in Glacial Sediments of Schirmacher Oasis, East Antarctica</t>
  </si>
  <si>
    <t>JOURNAL OF THE GEOLOGICAL SOCIETY OF INDIA</t>
  </si>
  <si>
    <t>Heavy minerals; Provenance; ZTR ratio; Schirmacher Oasis; Antarctica</t>
  </si>
  <si>
    <t>Heavy minerals of twenty sediment samples, belonging to polar ice sheet, lake, mainland area and shelf region of Schirmacher Oasis, east Antarctica, have been studied for their textural characteristics, abundance and provenance determination. The heavy crop is represented by zircon, tourmaline, rutile, garnet, hypersthene, hornblende, chlorite, enstatite, lawsonite, kyanite, sillimanite, zoisite, andalusite, spinel, topaz and opaques. The assemblage, in general, is dominated by hornblende-hypersthene-garnet assemblage, followed by kyanite-sillimanite-andalusite and zircon-tourmaline-rutile. The high concentration of specific minerals of metamorphic origin reveals high-grade metamorphic terrain as the primary source. The ZTR ratio is low showing low mineralogical maturity. An attempt has also been made to compare the trends of heavy minerals of various sub glacial regions with those of the average values of entire area.</t>
  </si>
  <si>
    <t>[Srivastava, Ashok K.; Ingle, Pravin S.] SGB Amravati Univ, Dept Geol, Amravati 444602, Maharashtra, India; [Khare, Neloy] Minist Earth Sci, New Delhi 111003, India</t>
  </si>
  <si>
    <t>Sant Gadge Baba Amravati University; Ministry of Earth Sciences (MoES) - India</t>
  </si>
  <si>
    <t>Srivastava, AK (corresponding author), SGB Amravati Univ, Dept Geol, Amravati 444602, Maharashtra, India.</t>
  </si>
  <si>
    <t>Ashokamt2000@hotmail.com</t>
  </si>
  <si>
    <t>University, Sant Gadge Baba Amravati/AAN-5820-2021</t>
  </si>
  <si>
    <t>University, Sant Gadge Baba Amravati/0000-0002-3759-6755</t>
  </si>
  <si>
    <t>CSIR [24/287/16]; EMR II</t>
  </si>
  <si>
    <t>CSIR(Council of Scientific &amp; Industrial Research (CSIR) - India); EMR II</t>
  </si>
  <si>
    <t>The work has been carried out under the financial assistance of a CSIR-funded major research project no. 24/287/16, EMR II, awarded to one of the author (AKS). The samples have been collected by the author (AKS) during 21st Indian Antarctica Expedition, organized by National Centre for Antarctic and Ocean Research, Goa. The help and cooperation extended by Sri. R. P. Lal, Leader of the expedition, is thankfully acknowledged.</t>
  </si>
  <si>
    <t>SPRINGER INDIA</t>
  </si>
  <si>
    <t>NEW DELHI</t>
  </si>
  <si>
    <t>7TH FLOOR, VIJAYA BUILDING, 17, BARAKHAMBA ROAD, NEW DELHI, 110 001, INDIA</t>
  </si>
  <si>
    <t>0016-7622</t>
  </si>
  <si>
    <t>0974-6889</t>
  </si>
  <si>
    <t>J GEOL SOC INDIA</t>
  </si>
  <si>
    <t>J. Geol. Soc. India</t>
  </si>
  <si>
    <t>10.1007/s12594-010-0035-7</t>
  </si>
  <si>
    <t>587SC</t>
  </si>
  <si>
    <t>WOS:000277011900005</t>
  </si>
  <si>
    <t>Tomikawa, Y; Sato, K</t>
  </si>
  <si>
    <t>Tomikawa, Yoshihiro; Sato, Kaoru</t>
  </si>
  <si>
    <t>Ozone Enhanced Layers in the 2003 Antarctic Ozone Hole</t>
  </si>
  <si>
    <t>JOURNAL OF THE METEOROLOGICAL SOCIETY OF JAPAN</t>
  </si>
  <si>
    <t>ROSSBY-WAVE BREAKING; STRATOSPHERIC ARCTIC VORTEX; POLAR VORTEX; SATELLITE-OBSERVATIONS; POTENTIAL VORTICITY; LAMINATED STRUCTURE; GRAVITY-WAVES; TRANSPORT; ADVECTION; PERTURBATIONS</t>
  </si>
  <si>
    <t>Ozone enhanced layers observed inside the Antarctic ozone hole were investigated using ozonesonde data at Syowa and Neumayer Stations during the dissipation period of the ozone hole in 2003. In 22 ozonesonde observations performed at Syowa and Neumayer Stations during one month after the maximum of ozone hole area, 17 ozone enhanced layers (i.e., up to three layers per one observation) were detected between 14 and 21 km in the lower stratosphere. They always had a thickness thinner than 2.1 km. Maximum ozone mixing ratios in the ozone enhanced layers suggested that most of the layers had their origin in the vortex boundary region. A reverse domain filling analysis indicated that air parcels originating in the vortex boundary region reached Syowa and Neumayer Stations in a form of horizontally-thin filaments. These filamentary structures were generated through chaotic advection due to transient planetary-scale Rossby waves, and became thin also in the vertical because of the vertical shear of horizontal wind. This study suggests that the ozone enhanced layers inside the ozone hole could be a useful measure to identify the poleward Rossby wave breaking and the origin of transported air parcels. A contribution of the ozone enhanced layers to an increase of total ozone was estimated at about 2.1 DU for the analysis period of one month, which is less than one tenth of the increase of vortex average total ozone during the same period. On the other hand, it is corresponding to about a half of the background ozone column in the height region of 14-21 km at the time of the ozone hole area maximum.</t>
  </si>
  <si>
    <t>[Tomikawa, Yoshihiro] Natl Inst Polar Res, Space &amp; Upper Atmospher Sci Grp, Tokyo 1908518, Japan; [Sato, Kaoru] Univ Tokyo, Dept Earth &amp; Planetary Sci, Tokyo, Japan</t>
  </si>
  <si>
    <t>Research Organization of Information &amp; Systems (ROIS); National Institute of Polar Research (NIPR) - Japan; University of Tokyo</t>
  </si>
  <si>
    <t>Tomikawa, Y (corresponding author), Natl Inst Polar Res, Space &amp; Upper Atmospher Sci Grp, 10-3 Midoricho, Tokyo 1908518, Japan.</t>
  </si>
  <si>
    <t>tomikawa@nipr.ac.jp</t>
  </si>
  <si>
    <t>Satoh, Kaoru/P-2047-2015; Tomikawa, Yoshihiro/D-5304-2012; Sato, Kaoru/E-1693-2012</t>
  </si>
  <si>
    <t>Tomikawa, Yoshihiro/0000-0002-5652-3017; Sato, Kaoru/0000-0002-6225-6066</t>
  </si>
  <si>
    <t>Ministry of Education, Culture, Sports, Science and Technology, Japan [17540417]; Grants-in-Aid for Scientific Research [17540417]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</si>
  <si>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</si>
  <si>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ozonesonde data at Neumayer Station were provided by the World Ozone and Ultraviolet Radiation Data Centre through their web site (http://www.woudc.org/). The operational analysis data used in this paper were provided by ECMWF and the GFD-DENNOU Library was used for drawing the figures. This research was supported by Grant-in-Aid for Scientific Research 17540417 of the Ministry of Education, Culture, Sports, Science and Technology, Japan.</t>
  </si>
  <si>
    <t>METEOROLOGICAL SOC JAPAN</t>
  </si>
  <si>
    <t>C/O JAPAN METEOROLOGICAL AGENCY 1-3-4 OTE-MACHI, CHIYODA-KU, TOKYO, 100-0004, JAPAN</t>
  </si>
  <si>
    <t>0026-1165</t>
  </si>
  <si>
    <t>2186-9057</t>
  </si>
  <si>
    <t>J METEOROL SOC JPN</t>
  </si>
  <si>
    <t>J. Meteorol. Soc. Jpn.</t>
  </si>
  <si>
    <t>10.2151/jmsj.2010-101</t>
  </si>
  <si>
    <t>587NL</t>
  </si>
  <si>
    <t>WOS:000276999300002</t>
  </si>
  <si>
    <t>Sun, JQ; Wang, HJ; Yuan, W</t>
  </si>
  <si>
    <t>Sun, Jianqi; Wang, Huijun; Yuan, Wei</t>
  </si>
  <si>
    <t>Linkage of the Boreal Spring Antarctic Oscillation to the West African Summer Monsoon</t>
  </si>
  <si>
    <t>SEA-SURFACE TEMPERATURE; ATMOSPHERE-OCEAN INTERACTION; EXTRATROPICAL SST ANOMALIES; SAHELIAN RAINFALL; NORTH-ATLANTIC; INTERANNUAL VARIABILITY; SOUTH-AMERICA; CIRCULATION; DYNAMICS; CLIMATE</t>
  </si>
  <si>
    <t>The relationship between the boreal spring (or the austral autumn) Antarctic Oscillation (AAO) (March April) and the West African summer monsoon (WASM) (June September) is analyzed based on NCEP/NCAR reanalysis data. The results show that the linkage of the boreal spring AAO to the WASM exhibits decadal-scale variations: a strong connection between the two appears over the period 1985-2006 and a weak connection over the period 1970-1984. Further analysis indicates that such an unstable relationship between the two results from the modulation by ENSO events to a large extent. A possible mechanism for the impacts of the boreal spring AAO on the WASM is also discussed. The variability of the boreal spring tropical South Atlantic sea surface temperature (SST) appears to serve as a bridge linking these two systems. The boreal spring AAO produces an anomalous SST over the tropical South Atlantic by exciting an equatorward Rossby wave train over the western Southern Hemisphere (SH). This AAO-related SST anomaly modulates the meridional gradient of moist static energy (MSE) between the Sahel and the Guinea-tropical Atlantic region in the boreal spring. The MSE gradient is of paramount importance for the changes from spring to summer in the West African monsoon because its relaxation along the seasonal cycle is linked to the northward excursion of the WASM system into the African continent. Therefore, an anomalous AAO-related MSE gradient can lead to anomalous Sahel rainfall in the early summer. When this rainfall occurs over the Sahel, the local positive soil moisture-rainfall feedback plays a crucial role in sustaining and prolonging this rainfall anomaly throughout the whole summer.</t>
  </si>
  <si>
    <t>[Sun, Jianqi; Wang, Huijun] Chinese Acad Sci, Inst Atmospher Phys, Nansen Zhu Int Res Ctr, Beijing 100029, Peoples R China; [Yuan, Wei] China Meteorol Adm Training Ctr, Beijing, Peoples R China</t>
  </si>
  <si>
    <t>Chinese Academy of Sciences; Institute of Atmospheric Physics, CAS</t>
  </si>
  <si>
    <t>Sun, JQ (corresponding author), Chinese Acad Sci, Inst Atmospher Phys, Nansen Zhu Int Res Ctr, POB 9804, Beijing 100029, Peoples R China.</t>
  </si>
  <si>
    <t>sunjq@mail.iap.ac.cn</t>
  </si>
  <si>
    <t>Sun, Jianqi/A-7084-2016</t>
  </si>
  <si>
    <t>Chinese Academy of Sciences [KZCX2-YW-217, KZCX2-YW-Q1-02]; National Basic Research Program of China [2009CB421406]; National Natural Science Foundation of China [40905041, 40631005]</t>
  </si>
  <si>
    <t>Chinese Academy of Sciences(Chinese Academy of Sciences); National Basic Research Program of China(National Basic Research Program of China); National Natural Science Foundation of China(National Natural Science Foundation of China (NSFC))</t>
  </si>
  <si>
    <t>We would like to thank Prof. Tore Furevik (Bjerknes Centre for Climate Research, Norway), Dr. Kevin Oliver (Department of Earth Sciences, Open University), Dr. Todd P. Mitchell (Joint Institute for the Study of the Atmosphere and Ocean, University of Washington), and two anonymous reviewers for their valuable comments and kind help. This research was jointly supported by the Chinese Academy of Sciences (Grant Nos. KZCX2-YW-217 and KZCX2-YW-Q1-02), the National Basic Research Program of China (Grant No. 2009CB421406), and the National Natural Science Foundation of China (Grant Nos. 40905041 and 40631005).</t>
  </si>
  <si>
    <t>10.2151/jmsj.2010-102</t>
  </si>
  <si>
    <t>WOS:000276999300003</t>
  </si>
  <si>
    <t>Lu, YD; Chi, XY; Li, ZX; Yang, QL; Li, FC; Liu, SF; Gan, QH; Qin, S</t>
  </si>
  <si>
    <t>Lu, Yandu; Chi, Xiaoyuan; Li, Zhaoxin; Yang, Qingli; Li, Fuchao; Liu, Shaofang; Gan, Qinhua; Qin, Song</t>
  </si>
  <si>
    <t>Isolation and Characterization of a Stress-Dependent Plastidial Δ12 Fatty Acid Desaturase from the Antarctic Microalga Chlorella vulgaris NJ-7</t>
  </si>
  <si>
    <t>LIPIDS</t>
  </si>
  <si>
    <t>Antarctic Chlorella; Cold stress; Delta(12) fatty acid desaturation; Gene regulation; Salt stress</t>
  </si>
  <si>
    <t>MULTIPLE SEQUENCE ALIGNMENT; FUNCTIONAL-CHARACTERIZATION; SACCHAROMYCES-CEREVISIAE; MEMBRANE-FLUIDITY; EXPRESSION; COLD; GENE; IDENTIFICATION; CLONING; ADAPTATION</t>
  </si>
  <si>
    <t>An acclimation to the changing physicochemical conditions and high amount of Delta(12)-unsaturated fatty acids of the Antarctic Chlorella vulgaris NJ-7 prompted us to speculate about the involvement of Delta(12)-fatty acid desaturases (FAD) in its adaptation to the extremely unfavorable ambience. A full-length cDNA sequence, designated CvFAD6, was isolated from C. vulgaris NJ-7 via RT-PCR and RACE methods. Sequence alignment showed that the gene was homologous to corresponding Delta(12)-FAD from other eukaryotes. Phylogenetic analysis showed that it was grouped with plastidial Delta(12)-FAD with conserved histidine boxes. Yeast cells transformed with a plasmid construct containing CvFAD6 coding region accumulated a considerable amount of linoleic acid (18:2 Delta(9,12)), normally not present in wild-type yeast cells, suggesting that the isolated gene encodes a functional Delta(12) enzyme. The correlation between the accumulation of CvFAD6 and temperature has been examined by real time PCR. The analysis showed a constant expression of CvFAD6 from 25 to 15 A degrees C whereas a fourfold increased from 25 to 4 A degrees C. Moreover, CvFAD6 transcription was more sensitive to saline stress since a 20-fold increase at 6% NaCl was detected. Our data demonstrate that CvFAD6 is the enzyme responsible for the Delta(12) fatty acids desaturation involved in low temperature and high salinity acclimation for Antarctic C. vulgaris NJ-7.</t>
  </si>
  <si>
    <t>[Lu, Yandu; Qin, Song] Chinese Acad Sci, YanTai Inst Coastal Zone Res, Yantai 264003, Peoples R China; [Lu, Yandu; Li, Fuchao; Liu, Shaofang] Chinese Acad Sci, Inst Oceanol, Qingdao 266071, Peoples R China; [Lu, Yandu; Liu, Shaofang] Chinese Acad Sci, Grad Sch, Beijing 100049, Peoples R China; [Chi, Xiaoyuan; Yang, Qingli] Shandong Peanut Res Inst, Qingdao 266100, Peoples R China; [Li, Zhaoxin] Chinese Acad Fishery Sci, Yellow Sea Fisheries Res Inst, Qingdao 266071, Peoples R China; [Gan, Qinhua] Shandong Entry Exit Inspect &amp; Quarantine Bur, Qingdao 266001, Peoples R China</t>
  </si>
  <si>
    <t>Chinese Academy of Sciences; Yantai Institute of Coastal Zone Research, CAS; Chinese Academy of Sciences; Institute of Oceanology, CAS; Chinese Academy of Sciences; University of Chinese Academy of Sciences, CAS; Shandong Academy of Agricultural Sciences; Chinese Academy of Fishery Sciences; Yellow Sea Fisheries Research Institute, CAFS</t>
  </si>
  <si>
    <t>Qin, S (corresponding author), Chinese Acad Sci, YanTai Inst Coastal Zone Res, Yantai 264003, Peoples R China.</t>
  </si>
  <si>
    <t>ydlu@live.cn; sqin@yic.ac.cn</t>
  </si>
  <si>
    <t>LU, Yandu/M-4973-2016; Lu, Yandu/ABF-1912-2020</t>
  </si>
  <si>
    <t>Lu, Yandu/0000-0002-0136-2252; Gan, Qinhua/0000-0002-7164-5135</t>
  </si>
  <si>
    <t>Key Innovative Project of Chinese Academy of Science [KSCX2-YW-G-002, KZCX2-YW-209, KZCX2-YW-225]; National Science Foundation of China [30870247, 30670165, 40876082]; High-Tech Research and Development Program of China [2006AA10A114]; National Key Basic Research and Development Project of China [2007CB116212]; Key Technology Research Project of Qingdao [07-1-4-16-nsh]</t>
  </si>
  <si>
    <t>Key Innovative Project of Chinese Academy of Science(Chinese Academy of Sciences); National Science Foundation of China(National Natural Science Foundation of China (NSFC)); High-Tech Research and Development Program of China(National High Technology Research and Development Program of China); National Key Basic Research and Development Project of China(National Basic Research Program of China); Key Technology Research Project of Qingdao</t>
  </si>
  <si>
    <t>We thank Pro. Xu Xudong (Institute of Hydrobiology, Chinese Academy of Sciences) for providing the Antarctic microalga strain C. vulgaris NJ-7. This work was supported by the Key Innovative Project of Chinese Academy of Science (KSCX2-YW-G-002, KZCX2-YW-209, KZCX2-YW-225), the National Science Foundation of China (30870247, 30670165, 40876082), the High-Tech Research and Development Program of China (No. 2006AA10A114), the National Key Basic Research and Development Project of China (No. 2007CB116212) and the Key Technology Research Project of Qingdao (No. 07-1-4-16-nsh).</t>
  </si>
  <si>
    <t>0024-4201</t>
  </si>
  <si>
    <t>1558-9307</t>
  </si>
  <si>
    <t>Lipids</t>
  </si>
  <si>
    <t>10.1007/s11745-009-3381-8</t>
  </si>
  <si>
    <t>Biochemistry &amp; Molecular Biology; Nutrition &amp; Dietetics</t>
  </si>
  <si>
    <t>552ZH</t>
  </si>
  <si>
    <t>WOS:000274333300008</t>
  </si>
  <si>
    <t>Majewski, W; Bohaty, SM</t>
  </si>
  <si>
    <t>Majewski, Wojciech; Bohaty, Steven M.</t>
  </si>
  <si>
    <t>Surface-water cooling and salinity decrease during the Middle Miocene climate transition at Southern Ocean ODP Site 747 (Kerguelen Plateau)</t>
  </si>
  <si>
    <t>MARINE MICROPALEONTOLOGY</t>
  </si>
  <si>
    <t>Miocene; Southern Ocean; Foraminifera; Stable isotopes; Seasonality</t>
  </si>
  <si>
    <t>SEAWATER CARBONATE CONCENTRATION; LIVING PLANKTONIC-FORAMINIFERA; OXYGEN ISOTOPIC COMPOSITION; DEPTH STRATIFICATION; SARGASSO SEA; EVOLUTION; ICE; SEDIMENT; FRACTIONATION; PACIFIC</t>
  </si>
  <si>
    <t>Paleoceanographic variability at southern high latitude Ocean Drilling Program (ODP) Site 747 was investigated in this study through the interval which spans the Middle Miocene Climate Transition (MMCT). Between 15.0 and 12.2 million years ago (Ma), foraminiferal delta O-18 records derived from both benthic (Cibicidoides spp.) and planktonic taxa (Globorotalia praescitula and Globigerina bulloides) reveal a history of changes in water column thermal and salinity structure and a strong imprint of seasonality. Prior to the MMCT, in the interval between 14.35 and 13.9 Ma, G. bulloides displays relatively high delta O-18 values similar to those of G. praescitula, interpreted to indicate weakening of the thermocline and/or increased seasonality with cooler early-spring and/or late-fall temperatures. Following this interval, G. bulloides delta O-18 values diverge significantly from benthic and G. praescitula values, with G. bulloides values remaining relatively low for at least 600 kyr following the benthic foraminiferal delta O-18 shift during the MMCT at similar to 13.9 Ma. This divergence in delta O-18 records occurs in direct association with the Mi3 cooling and glaciation event and may suggest: (1) a strengthening of the vertical temperature gradient, with greater cooling of deep waters than surface waters, (2) changes in the depth habitat of G. bulloides. (3) changes in the dominant season of G. bulloides calcification, (4) modification of surface-water delta O-18 values in association with enhanced sea-ice formation, (5) increased surface-water carbonate ion concentration, and/or (6) a significant decrease in surface-water salinity across the MMCT. The first of these possible scenarios is not likely, particularly in light of recent Mg/Ca evidence for significant surface-water cooling in the Southern Ocean associated with the MMCT. Of the remaining possibilities, we favor a change in surface salinity to explain the observed trends in delta O-18 values and hypothesize that surface salinity may have decreased by up to 2 salinity units at similar to 13.9 Ma. In this scenario, the development of a lower-salinity Antarctic surface layer coincided with regional cooling of both surface and deep waters of the Southern Ocean during the Mi3 glaciation of East Antarctica, and contributed into the dominance of Neogloboquadrina spp. between 13.8 and 13.2 Ma. Additionally, the distinct patterns observed in planktonic foraminiferal delta O-18 records spanning the MMCT correspond with changes in the vertical delta C-13 gradient between planktonic and benthic foraminiferal records and major changes in planktonic foraminiferal assemblages at Site 747, providing further evidence of the environmental significance of this climatic transition. (C) 2009 Elsevier B.V. All rights reserved.</t>
  </si>
  <si>
    <t>[Majewski, Wojciech] Polish Acad Sci, Inst Paleobiol, PL-00818 Warsaw, Poland; [Bohaty, Steven M.] Univ Southampton, Sch Ocean &amp; Earth Sci, Natl Oceanog Ctr, Southampton SO14 3ZH, Hants, England</t>
  </si>
  <si>
    <t>Polish Academy of Sciences; Institute of Paleobiology of the Polish Academy of Sciences; NERC National Oceanography Centre; University of Southampton</t>
  </si>
  <si>
    <t>Majewski, W (corresponding author), Polish Acad Sci, Inst Paleobiol, Twarda 51-55, PL-00818 Warsaw, Poland.</t>
  </si>
  <si>
    <t>wmaj@twarda.pan.pl; S.Bohaty@noc.soton.ac.uk</t>
  </si>
  <si>
    <t>Majewski, Wojciech/D-9255-2017</t>
  </si>
  <si>
    <t>Majewski, Wojciech/0000-0002-5407-1782</t>
  </si>
  <si>
    <t>NSF [OPP-0338337]</t>
  </si>
  <si>
    <t>We would like to thank two anonymous reviewers for many useful comments and suggestions that helped to improve this paper. This project was funded in part by NSF Grant OPP-0338337.</t>
  </si>
  <si>
    <t>0377-8398</t>
  </si>
  <si>
    <t>1872-6186</t>
  </si>
  <si>
    <t>MAR MICROPALEONTOL</t>
  </si>
  <si>
    <t>Mar. Micropaleontol.</t>
  </si>
  <si>
    <t>10.1016/j.marmicro.2009.10.002</t>
  </si>
  <si>
    <t>561PG</t>
  </si>
  <si>
    <t>WOS:000274989700001</t>
  </si>
  <si>
    <t>Romero, OE</t>
  </si>
  <si>
    <t>Romero, O. E.</t>
  </si>
  <si>
    <t>Changes in style and intensity of production in the Southeastern Atlantic over the last 70,000 yr</t>
  </si>
  <si>
    <t>Benguela; Biogenic bulk components; Diatoms; Productivity; Rapid climate changes; Upwelling</t>
  </si>
  <si>
    <t>BENGUELA UPWELLING SYSTEM; SOUTHERN-OCEAN; VARIABILITY; ACCUMULATION; SEDIMENTS; HISTORY; CARBONATE; NAMIBIA; RECORDS; SECTOR</t>
  </si>
  <si>
    <t>Accomplishing reliable paleo-reconstructions of productivity and upwelling conditions in eastern boundary current systems requires the use of cores collected in a basin-wide spatial pattern. Based on diatom assemblage analysis and the concentration and the bulk biogenic components of three gravity cores recovered from the Benguela Upwelling System (BUS) between 19 degrees and 25 degrees S, I describe rapid paleoceanographic changes that occurred during the last 70 ka B.P. in the southeastern Atlantic. The pattern of biogenic production and accumulation differs to varying degrees among the three core sites along the SW African coast. The highest sedimentation and accumulation rates at 25 degrees S off Luderitz conform with the present-day, well-known pattern of highest productivity and most intense coastal upwelling. Highest diatom values at 25 degrees S during MIS3 points to more intense upwelling due to the combination of strong seaward-extending upwelling filaments, shoaling of the upwelled water, and the influence of silicate-rich waters of Antarctic origin. Productivity decreased along the central BUS throughout MIS2, when the siliceous-calcareous productivity regime shifted toward a system dominated by calcareous producers. Although intensity and strength of winds created adequate conditions for upwelling during MIS2, diatom production decreased. The complete replacement of the upwelling-associated diatom flora by a non-upwelling-related diatom community during MIS1 reflects weakened upwelling, weakened seaward extension of the upwelling filaments, and dominance of warmer surface waters. Combining changes in the composition of the diatom assemblage and variations of the bulk biogenic components allows for reliable reconstruction of paleoproductivity and upwelling changes for the SE Atlantic during the last 70 ka B.P. (C) 2009 Elsevier B.V. All rights reserved.</t>
  </si>
  <si>
    <t>Univ Granada, Fac Ciencias, Inst Andaluz Ciencias Tierra UGR CSIC, Granada 18002, Spain</t>
  </si>
  <si>
    <t>University of Granada; Consejo Superior de Investigaciones Cientificas (CSIC); CSIC - Instituto Andaluz de Ciencias de la Tierra (IACT)</t>
  </si>
  <si>
    <t>Romero, OE (corresponding author), Univ Granada, Fac Ciencias, Inst Andaluz Ciencias Tierra UGR CSIC, Campus Fuentenueva, Granada 18002, Spain.</t>
  </si>
  <si>
    <t>oromero@ugr.es</t>
  </si>
  <si>
    <t>Spanish Council for Scientific Research</t>
  </si>
  <si>
    <t>Spanish Council for Scientific Research(Spanish Government)</t>
  </si>
  <si>
    <t>I am indebted to M. Klann and I. Seeberg (MARUM, Bremen) for their lab work. Dr. C. Stickley improved the English language. Critical comments by Dr. J. Fenner and an anonymous reviewer greatly improved this manuscript. This research was supported, in part, by grants to the author by the Spanish Council for Scientific Research. Data are available in the database www.pangaea.de.</t>
  </si>
  <si>
    <t>10.1016/j.marmicro.2009.11.001</t>
  </si>
  <si>
    <t>WOS:000274989700002</t>
  </si>
  <si>
    <t>Sakamoto, K; Nakamura, T; Noguchi, T; Tsuchiyama, A</t>
  </si>
  <si>
    <t>Sakamoto, Kanako; Nakamura, Tomoki; Noguchi, Takaaki; Tsuchiyama, Akira</t>
  </si>
  <si>
    <t>A new variant of saponite-rich micrometeorites recovered from recent Antarctic snowfall</t>
  </si>
  <si>
    <t>INTERPLANETARY DUST PARTICLE; TRANSMISSION ELECTRON-MICROSCOPY; RAY-DIFFRACTION ANALYSIS; CARBONACEOUS CHONDRITE; TAGISH LAKE; AQUEOUS ALTERATION; ACCRETION RATE; COSMIC SPHERULES; MINERALOGY; METEORITES</t>
  </si>
  <si>
    <t>Eight saponite-rich micrometeorites with very similar mineralogy were found from the recent surface snow in Antarctica. They might have come to Earth as a larger meteoroid and broke up into pieces on Earth, because they were recovered from the same layer and the same location of the snow. Synchrotron X-ray diffraction (XRD) analysis indicates that saponite, Mg-Fe carbonate, and pyrrhotite are major phases and serpentine, magnetite, and pentlandite are minor phases. Anhydrous silicates are entirely absent from all micrometeorites, suggesting that their parental object has undergone heavy aqueous alteration. Saponite/serpentine ratios are higher than in the Orgueil CI chondrite and are similar to the Tagish Lake carbonaceous chondrite. Transmission electron microscope (TEM) observation indicates that serpentine occupies core regions of fine-grained saponite, pyrrhotite has a low-Ni concentration, and Mg-Fe carbonate shows unique concentric ring structures and has a mean molar Mg/(Mg + Fe) ratio of 0.7. Comparison of the mineralogy to hydrated chondrites and interplanetary dust particles (IDPs) suggests that the micrometeorites are most similar to the carbonate-poor lithology of the Tagish Lake carbonaceous chondrite and some hydrous IDPs, but they show a carbonate mineralogy dissimilar to any primitive chondritic materials. Therefore, they are a new variant of saponite-rich micrometeorite extracted from a primitive hydrous asteroid and recently accreted to Antarctica.</t>
  </si>
  <si>
    <t>[Sakamoto, Kanako] Kyushu Univ, Grad Sch Sci, Dept Earth &amp; Planetary Sci, Fukuoka 8128581, Japan; [Nakamura, Tomoki] Kyushu Univ, Fac Sci, Dept Earth &amp; Planetary Sci, Fukuoka 8128581, Japan; [Noguchi, Takaaki] Ibaraki Univ, Dept Mat &amp; Biol Sci, Mito, Ibaraki 3108512, Japan; [Tsuchiyama, Akira] Osaka Univ, Grad Sch Sci, Dept Earth &amp; Space Sci, Toyonaka, Osaka 5600043, Japan</t>
  </si>
  <si>
    <t>Kyushu University; Kyushu University; Ibaraki University; Osaka University</t>
  </si>
  <si>
    <t>Sakamoto, K (corresponding author), Kyushu Univ, Grad Sch Sci, Dept Earth &amp; Planetary Sci, Fukuoka 8128581, Japan.</t>
  </si>
  <si>
    <t>kanako@geo.kyushu-u.ac.jp</t>
  </si>
  <si>
    <t>Noguchi, Takaaki/IWV-1123-2023</t>
  </si>
  <si>
    <t>Noguchi, Takaaki/0000-0001-7211-2595</t>
  </si>
  <si>
    <t>Japan Ministry of Education, Culture, Sports, Science and Technology [20654054, 21340165]; Grants-in-Aid for Scientific Research [21340165, 20654054] Funding Source: KAKEN</t>
  </si>
  <si>
    <t>Japan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</si>
  <si>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thank Drs. C. Floss, M. Genge, C. Engrand, and K. Nakamura for constructive and insightful reviews, Mr. K. Shimada for technical assistance during EPMA analysis, Messrs. N. Ohashi and S. Nishida for valuable supports during clean room work at Ibaraki University, Messrs. K. Ando and Y. Yamauchi for supports during SEM analysis, and Dr. K. Murata and Mr. H. Yoshida for the help during FE-SEM analysis at Osaka University and University of Tokyo, respectively. This work was supported by Grant-in-Aid ( No. 20654054 and 21340165 to Nakamura) of the Japan Ministry of Education, Culture, Sports, Science and Technology.</t>
  </si>
  <si>
    <t>10.1111/j.1945-5100.2010.01019.x</t>
  </si>
  <si>
    <t>604XP</t>
  </si>
  <si>
    <t>WOS:000278312100007</t>
  </si>
  <si>
    <t>Zhang, AC; Guan, YB; Hsu, WBA; Liu, Y; Taylor, LA</t>
  </si>
  <si>
    <t>Zhang, Aicheng; Guan, Yunbin; Hsu, Weibiao; Liu, Yang; Taylor, Lawrence A.</t>
  </si>
  <si>
    <t>Origin of a metamorphosed lithic clast in CM chondrite Grove Mountains 021536</t>
  </si>
  <si>
    <t>MINERALOGY; OLIVINE; INCLUSIONS; CHONDRULES; CHEMISTRY; RUMURUTI; PHOSPHORUS; FRAGMENTS; PLANETARY; PETROLOGY</t>
  </si>
  <si>
    <t>A metamorphosed lithic clast was discovered in the CM chondrite Grove Mountains 021536, which was collected in the Antarctica by the Chinese Antarctic Research Exploration team. The lithic clast is composed mainly of Fe-rich olivine (Fo(62)) with minor diopside (Fs(9.7-11.1)Wo(48.3-51.6)), plagioclase (An(43-46.5)), nepheline, merrillite, Al-rich chromite (21.8 wt% Al2O3; 4.43 wt% TiO2), and pentlandite. Delta 17O values of olivine in the lithic clast vary from -3.9 parts per thousand to -0.8 parts per thousand. Mineral compositions and oxygen isotopic compositions of olivine suggest that the lithic clast has an exotic source different from the CM chondrite parent body. The clast could be derived from strong thermal metamorphism of pre-existing chondrule that has experienced low-temperature anhydrous alteration. The lithic clast is similar in mineral assemblage and chemistry to a few clasts observed in oxidized CV3 chondrites (Mokoia and Yamato-86009) and might have been derived from the interior of the primitive CV asteroid. The apparent lack of hydration in the lithic clast indicates that the clast accreted into the CM chondrite after hydration of the CM components.</t>
  </si>
  <si>
    <t>[Zhang, Aicheng; Hsu, Weibiao] Purple Mt Observ, Lunar &amp; Planetary Sci Ctr, Lab Astrochem &amp; Planetary Sci, Nanjing 210008, Peoples R China; [Zhang, Aicheng; Liu, Yang; Taylor, Lawrence A.] Univ Tennessee, Planetary Geosci Inst, Dept Earth &amp; Planetary Sci, Knoxville, TN 37996 USA; [Guan, Yunbin] CALTECH, Div Geol &amp; Planetary Sci, Pasadena, CA 91125 USA; [Hsu, Weibiao] China Univ Geosci, Fac Earth Sci, Wuhan 430074, Peoples R China</t>
  </si>
  <si>
    <t>Purple Mountain Observatory, CAS; Chinese Academy of Sciences; Nanjing Institute of Astronomical Optics &amp; Technology, NAOC, CAS; University of Tennessee System; University of Tennessee Knoxville; California Institute of Technology; China University of Geosciences</t>
  </si>
  <si>
    <t>Guan, YB (corresponding author), Purple Mt Observ, Lunar &amp; Planetary Sci Ctr, Lab Astrochem &amp; Planetary Sci, Nanjing 210008, Peoples R China.</t>
  </si>
  <si>
    <t>aczhang@pmo.ac.cn</t>
  </si>
  <si>
    <t>Zhang, Aicheng/E-8375-2012; Liu, Yang/A-4708-2012; Liu, Yang/F-3775-2017</t>
  </si>
  <si>
    <t>Liu, Yang/0000-0003-0308-0942</t>
  </si>
  <si>
    <t>National Science Foundation of China [40703015, 40773046]; Minor Planet Foundation of China; Open Foundation of State Key Laboratory for Mineral Deposits Research, Nanjing University [14-8-6]; Planetary Geosciences Institute at the University of Tennessee through NASA [NNG05GG03G]</t>
  </si>
  <si>
    <t>National Science Foundation of China(National Natural Science Foundation of China (NSFC)); Minor Planet Foundation of China; Open Foundation of State Key Laboratory for Mineral Deposits Research, Nanjing University(Nanjing University); Planetary Geosciences Institute at the University of Tennessee through NASA</t>
  </si>
  <si>
    <t>The meteorite sample was graciously provided by the Polar Research Institute of China. We thank Allan Patchen for his kind assistance during electron probe analyses at the University of Tennessee. The authors would like to express their gratitude to Drs. Sasha Krot, Addi Bischoff, and Harold C. Connolly Jr. for their suggestions, comments, and helpful reviews and to the associate editor Dr. Cyrena Goodrich for her editorial efforts. The work was supported by National Science Foundation of China (Grants 40703015, 40773046), the Minor Planet Foundation of China, the Open Foundation of State Key Laboratory for Mineral Deposits Research, Nanjing University (Grant No. 14-8-6), and the Planetary Geosciences Institute at the University of Tennessee, through a NASA Cosmochemistry Program, NNG05GG03G (L.A.T.).</t>
  </si>
  <si>
    <t>10.1111/j.1945-5100.2010.01020.x</t>
  </si>
  <si>
    <t>WOS:000278312100008</t>
  </si>
  <si>
    <t>Simpson, PJL; Richardson, DJ; Codd, R</t>
  </si>
  <si>
    <t>Simpson, Philippa J. L.; Richardson, David J.; Codd, Rachel</t>
  </si>
  <si>
    <t>The periplasmic nitrate reductase in Shewanella: the resolution, distribution and functional implications of two NAP Isoforms, NapEDABC and NapDAGHB</t>
  </si>
  <si>
    <t>MICROBIOLOGY-SGM</t>
  </si>
  <si>
    <t>C-TYPE CYTOCHROME; ESCHERICHIA-COLI K-12; SOLE ELECTRON-ACCEPTOR; ANAEROBIC RESPIRATION; CRYSTAL-STRUCTURE; SP-NOV.; PUTREFACIENS MR-1; WOLINELLA-SUCCINOGENES; DIMETHYL-SULFOXIDE; REDUCING BACTERIUM</t>
  </si>
  <si>
    <t>In the bacterial periplasm, the reduction of nitrate to nitrite is catalysed by a periplasmic nitrate reductase (NAP) system, which is a species-dependent assembly of protein subunits encoded by the nap operon. The reduction of nitrate catalysed by NAP takes place in the 90 kDa NapA subunit, which contains a Mo-bis-molybdopterin guanine dinucleotide cofactor and one [4Fe-4S] iron-sulfur cluster. A review of the nap operons in the genomes of 19 strains of Shewanella shows that most genomes contain two nap operons. This is an unusual feature of this genus. The two NAP isoforms each comprise three isoform-specific subunits - NapA, a di-haem cytochrome NapB, and a maturation chaperone NapD - but have different membrane-intrinsic subunits, and have been named NAP-alpha (NapEDABC) and NAP-beta (NapDAGHB). Sixteen Shewanella genomes encode both NAP-alpha and NAP-beta The genome of the vigorous denitrifier Shewanella denitrificans OS217 encodes only NAP-alpha. and the genome of the respiratory nitrate ammonifier Shewanella oneidensis MR-1 encodes only NAP-beta. This raises the possibility that NAP-alpha and NAP-beta are associated with physiologically distinct processes in the environmentally adaptable genus Shewanella.</t>
  </si>
  <si>
    <t>[Simpson, Philippa J. L.; Codd, Rachel] Univ Sydney, Sch Chem, Ctr Heavy Met Res, Sydney, NSW 2006, Australia; [Richardson, David J.] Univ E Anglia, Sch Biol Sci, Norwich NR4 TJ7, Norfolk, England; [Codd, Rachel] Univ Sydney, Sch Med Sci Pharmacol, Sydney, NSW 2006, Australia; [Codd, Rachel] Univ Sydney, Bosch Inst, Sydney, NSW 2006, Australia</t>
  </si>
  <si>
    <t>University of Sydney; University of East Anglia; University of Sydney; University of Sydney</t>
  </si>
  <si>
    <t>Codd, R (corresponding author), Univ Sydney, Sch Chem, Ctr Heavy Met Res, Sydney, NSW 2006, Australia.</t>
  </si>
  <si>
    <t>rcodd@med.usyd.edu.au</t>
  </si>
  <si>
    <t>Codd, Rachel/C-1202-2012; Richardson, David J/E-2275-2011</t>
  </si>
  <si>
    <t>Codd, Rachel/0000-0002-2703-883X;</t>
  </si>
  <si>
    <t>Hermon Slade Foundation [HSF] [06/7]; Australian Antarctic Division [AAS] [2457]; Top-Up Postgraduate Scholarship; University of Sydney; Royal Society; BBSRC ISIS</t>
  </si>
  <si>
    <t>Hermon Slade Foundation [HSF]; Australian Antarctic Division [AAS]; Top-Up Postgraduate Scholarship; University of Sydney(University of Sydney); Royal Society(Royal Society); BBSRC ISIS(UK Research &amp; Innovation (UKRI)Biotechnology and Biological Sciences Research Council (BBSRC))</t>
  </si>
  <si>
    <t>Support from the Hermon Slade Foundation [HSF 06/7 (R.C.)], the Australian Antarctic Division [AAS Grant 2457 (R.C.) and Top-Up Postgraduate Scholarship (P.J.L.S.)] and the University of Sydney [Bridging Grant 2007 (R. C.); Dr Joan R Clark Research Scholarship (P. J. L. S.)] is gratefully acknowledged. D. J. R. is the recipient of a Royal Society Wolfson Merit Award Fellowship and received BBSRC ISIS funding to visit the University of Sydney. We acknowledge the DOE-Joint Genome Institute for the provision of unpublished sequence data to the community.</t>
  </si>
  <si>
    <t>1350-0872</t>
  </si>
  <si>
    <t>1465-2080</t>
  </si>
  <si>
    <t>MICROBIOL-SGM</t>
  </si>
  <si>
    <t>Microbiology-(UK)</t>
  </si>
  <si>
    <t>10.1099/mic.0.034421-0</t>
  </si>
  <si>
    <t>563NR</t>
  </si>
  <si>
    <t>WOS:000275139800002</t>
  </si>
  <si>
    <t>Shen, X; Wang, HQ; Ren, JF; Tian, M; Wang, MX</t>
  </si>
  <si>
    <t>Shen, Xin; Wang, Haiqing; Ren, Jianfeng; Tian, Mei; Wang, Minxiao</t>
  </si>
  <si>
    <t>The mitochondrial genome of Euphausia superba (Prydz Bay) (Crustacea: Malacostraca: Euphausiacea) reveals a novel gene arrangement and potential molecular markers</t>
  </si>
  <si>
    <t>MOLECULAR BIOLOGY REPORTS</t>
  </si>
  <si>
    <t>Malacostraca; Euphausiacea; Mitochondrial genome; Gene rearrangement; Phylogenomics</t>
  </si>
  <si>
    <t>ANTARCTIC KRILL; DNA SEQUENCE; DECAPOD CRUSTACEANS; CRAB; ORDER; TOOL; BRACHYURA; SELECTION; INSECTS; MODELS</t>
  </si>
  <si>
    <t>Euphausiid krill are dominant organisms in the zooplankton population and play a central role in marine ecosystems. In this paper, we described the gene organization, gene rearrangement and codon usage in the mitochondrial genome of Euphausia superba Dana 1852 (sampling from Prydz Bay, PB). The mitochondrial genome of E. superba is more than 15,498 bp in length (partial non-coding region was not determined). Translocation of four tRNAs (trnL (1) , trnL (2) , trnW and trnI) and duplication of one tRNA (trnN) were founded in the mitochondrial genome of E. superba when comparing its genome with the pancrustacean ground pattern. To investigate the phylogenetic relationship within Malacostraca, phylogenetic trees based on currently available malacostracan mitochondrial genomes were built with the maximum likelihood and the Bayesian models. All analyses based on nucleotide and amino acid data strongly support the monophyly of Stomatopoda, Penaeidae, Caridea, and Brachyura, which is consistent with previous research. However, the taxonomic position of Euphausiacea within Malacostraca is unstable. From comparing the mitochondrial genome between E. superba (PB) and E. superba (sampling from Weddell Sea, WS), we found that nad2 gene contains maximal variation with 61 segregating sites, following by nad5 gene which has 12 segregating sites. Thus, nad2 and nad5 genes may be used as potential molecular markers to study the inherit diversity among different E. superba groups, which would be helpful to the exploitation and management of E. superba resources.</t>
  </si>
  <si>
    <t>[Shen, Xin; Wang, Haiqing; Ren, Jianfeng; Wang, Minxiao] Chinese Acad Sci, Inst Oceanol, Qingdao 266071, Peoples R China; [Shen, Xin; Tian, Mei] Huaihai Inst Technol, Jiangsu Key Lab Marine Biotechnol, Coll Marine Sci, Lianyungang 222005, Peoples R China</t>
  </si>
  <si>
    <t>Chinese Academy of Sciences; Institute of Oceanology, CAS; Jiangsu Ocean University</t>
  </si>
  <si>
    <t>Shen, X (corresponding author), Chinese Acad Sci, Inst Oceanol, Qingdao 266071, Peoples R China.</t>
  </si>
  <si>
    <t>shenthin@163.com; wangminxiao@ms.qdio.ac.cn</t>
  </si>
  <si>
    <t>Shen, Xin/F-9579-2013; Shen, Xin/JBI-6913-2023</t>
  </si>
  <si>
    <t>Minxiao, Wang/0000-0002-6567-3295</t>
  </si>
  <si>
    <t>Jiangsu Natural Science Funds [BK2007066]; Lianyungang Natural Science Funds [ZH200805]; Huaihai Institute of Technology Natural Science Funds [Z2008044]</t>
  </si>
  <si>
    <t>Jiangsu Natural Science Funds; Lianyungang Natural Science Funds; Huaihai Institute of Technology Natural Science Funds</t>
  </si>
  <si>
    <t>This study was supported by Jiangsu Natural Science Funds (BK2007066), Lianyungang Natural Science Funds (ZH200805) and Huaihai Institute of Technology Natural Science Funds (Z2008044).</t>
  </si>
  <si>
    <t>0301-4851</t>
  </si>
  <si>
    <t>1573-4978</t>
  </si>
  <si>
    <t>MOL BIOL REP</t>
  </si>
  <si>
    <t>Mol. Biol. Rep.</t>
  </si>
  <si>
    <t>10.1007/s11033-009-9602-7</t>
  </si>
  <si>
    <t>537AS</t>
  </si>
  <si>
    <t>WOS:000273085800018</t>
  </si>
  <si>
    <t>Lanterbecq, D; Rouse, GW; Eeckhaut, I</t>
  </si>
  <si>
    <t>Lanterbecq, Deborah; Rouse, Grey W.; Eeckhaut, Igor</t>
  </si>
  <si>
    <t>Evidence for cospeciation events in the host-symbiont system involving crinoids (Echinodermata) and their obligate associates, the myzostomids (Myzostomida, Annelida)</t>
  </si>
  <si>
    <t>Coevolution; Cophylogeny; Codivergence; Host-switch; Symbiosis; Commensalism; Evolution; ParaFit; Treemap</t>
  </si>
  <si>
    <t>PHYLOGENETIC-RELATIONSHIPS; SEQUENCE DATA; EVOLUTION; PARASITES; LICE; COEVOLUTION; SEABIRD; SUPPORT; MODEL; TREES</t>
  </si>
  <si>
    <t>Although molecular-based phylogenetic studies of hosts and their associates are increasingly common in the literature, no study to date has examined the hypothesis of coevolutionary process between hosts and commensals in the marine environment. The present work investigates the phylogenetic relationships among 16 species of obligate symbiont marine worms (Myzostomida) and their echinoderm hosts (Crinoidea) in order to estimate the phylogenetic congruence existing between the two lineages. The combination of a high species diversity in myzostomids, their host specificity, their wide variety of lifestyles and body shapes, and millions years of association, raises many questions about the underlying mechanisms triggering their diversification. The phylogenetic relationships, inferred using a three-genes dataset (185 rDNA, 165 rDNA, and COI) and two-genes dataset (185 rDNA, and COI) for the myzostomids and crinoids, respectively, were congruent with the literature. The overall congruence between the two phylogenies was statistically significant according to topology-based, distance-based, and data-based approaches: a significant pattern of cophylogeny was found, though not perfect probably resulting from occasional host switches, duplications or extinction events. A minimum of 8 cospeciation events was estimated, which is significantly higher than it would have been expected due to chance alone. (C) 2009 Elsevier Inc. All rights reserved.</t>
  </si>
  <si>
    <t>[Lanterbecq, Deborah; Eeckhaut, Igor] Univ Mons, Marine Biol Lab, B-7000 Mons, Belgium; [Rouse, Grey W.] Univ Calif San Diego, Scripps Inst Oceanog, La Jolla, CA 92093 USA</t>
  </si>
  <si>
    <t>University of Mons; University of California System; University of California San Diego; Scripps Institution of Oceanography</t>
  </si>
  <si>
    <t>Lanterbecq, D (corresponding author), Univ Mons, Marine Biol Lab, 6 Av Champ Mars,Bat Sci Vie, B-7000 Mons, Belgium.</t>
  </si>
  <si>
    <t>deborah.lanterbecq@umh.ac.be; grouse@ucsd.edu; Igor.eeckhaut@umh.ac.be</t>
  </si>
  <si>
    <t>Lanterbecq, Deborah/ABD-4115-2021; Rouse, Greg W/F-2611-2010; Rouse, Gregory/AAW-1494-2021</t>
  </si>
  <si>
    <t>Rouse, Greg W/0000-0001-9036-9263; Rouse, Gregory/0000-0001-9036-9263; Lanterbecq, Deborah/0000-0002-1104-9227</t>
  </si>
  <si>
    <t>National Fund for Scientific Research in Belgium [2.4.565.08, 2.4583.05.F]; Fonds pour la formation a la recherche dans l'industrie et clans l'agriculture; Postdoctoral Research Associate at the National Fund for Scientific Research, Belgium; Australian Research Council and South Australian Museum and SIO</t>
  </si>
  <si>
    <t>National Fund for Scientific Research in Belgium(Fonds de la Recherche Scientifique - FNRS); Fonds pour la formation a la recherche dans l'industrie et clans l'agriculture(Fonds de la Recherche Scientifique - FNRS); Postdoctoral Research Associate at the National Fund for Scientific Research, Belgium; Australian Research Council and South Australian Museum and SIO(Australian Research Council)</t>
  </si>
  <si>
    <t>Many thanks to Tatsuo Oji (University of Tokyo) who provided Japanese specimens of myzostomids and hosts, Nadia Ameziane-Cominardi (Musee d'histoires naturelles de Paris) for the New Caledonian specimens, and Rich Mooi (California Academy of Natural Sciences) for the Antarctic crinoids. We are indebted to Charles Messing (Nova Southeastern University) for helping us in determining crinoid hosts. The National Fund for Scientific Research in Belgium (FRFC Contract Numbers 2.4.565.08 and 2.4583.05.F) provided substantial support for this work. Deborah Lanterbecq was supported by a Ph.D. grant from the Fonds pour la formation a la recherche dans l'industrie et clans l'agriculture (FRIA) and is now a Postdoctoral Research Associate at the National Fund for Scientific Research, Belgium (FNRS). Greg Rouse was supported by the Australian Research Council and South Australian Museum and SIO. This research is a contribution of the Centre lnteruniversitaire de Biologie Marine (CIBIM).</t>
  </si>
  <si>
    <t>10.1016/j.ympev.2009.08.011</t>
  </si>
  <si>
    <t>545SX</t>
  </si>
  <si>
    <t>WOS:000273758200005</t>
  </si>
  <si>
    <t>Techow, NMSM; O'Ryan, C; Phillips, RA; Gales, R; Marin, M; Patterson-Fraser, D; Quintana, F; Ritz, MS; Thompson, DR; Wanless, RM; Weimerskirch, H; Ryan, PG</t>
  </si>
  <si>
    <t>Techow, N. M. S. M.; O'Ryan, C.; Phillips, R. A.; Gales, R.; Marin, M.; Patterson-Fraser, D.; Quintana, F.; Ritz, M. S.; Thompson, D. R.; Wanless, R. M.; Weimerskirch, H.; Ryan, P. G.</t>
  </si>
  <si>
    <t>Speciation and phylogeography of giant petrels Macronectes</t>
  </si>
  <si>
    <t>Giant Petrels; Microsatellite; Cytochrome b; Macronectes; Genetic differentiation; Genetic diversity; Species</t>
  </si>
  <si>
    <t>MITOCHONDRIAL-DNA; POPULATION-STRUCTURE; GENETIC-STRUCTURE; BREEDING BIOLOGY; GIGANTEUS; ALBATROSSES; PROCELLARIIFORMES; CONSERVATION; FISHERIES; PATAGONIA</t>
  </si>
  <si>
    <t>We examine global phylogeography of the two forms of giant petrel Macronectes spp. Although previously considered to be a single taxon, and despite debate over the status of some populations and the existence of minimal genetic data (one mitochondrial cytochrome b sequence per form), the current consensus based on morphology is that there are two species, Northern Giant Petrel M. halli and Southern Giant Petrel M. giganteus. This study examined genetic variation at cytochrome b as well as six microsatellite loci in giant petrels from 22 islands, representing most island groups at which the two species breed. Both markers support separate species status, although sequence divergence in cytochrome b was only 0.42% (corrected). Divergence was estimated to have occurred approximately 0.2 mya, but with some colonies apparently separated for longer (up to 0.5 my). Three clades were found within giant petrels, which separated approximately 0.7 mya, with the Southern Giant Petrel paraphyletic to a monophyletic Northern Giant Petrel. There was evidence of past fragmentation during the Pleistocene, with subsequent secondary contact within Southern Giant Petrels. The analysis also suggested a period of past population expansion that corresponded roughly to the timing of speciation and the separation of an ancestral giant petrel population from the fulmar Fulmarus clade. (C) 2009 Elsevier Inc. All rights reserved.</t>
  </si>
  <si>
    <t>[Techow, N. M. S. M.; Wanless, R. M.; Ryan, P. G.] Univ Cape Town, DST NRF Ctr Excellence, Percy FitzPatrick Inst, ZA-7701 Rondebosch, South Africa; [Techow, N. M. S. M.; O'Ryan, C.] Univ Cape Town, Dept Mol &amp; Cell Biol, ZA-7701 Rondebosch, South Africa; [Phillips, R. A.] British Antarctic Survey, NERC, Cambridge CB3 0ET, England; [Gales, R.] DPIW, Biodivers Conservat Branch, Wildlife &amp; Marine Conservat Sect, Hobart, Tas 7001, Australia; [Marin, M.] Feather Link Inc, Cincinnati, OH 45244 USA; [Marin, M.] Nat Hist Museum Los Angeles Cty, Sect Ornithol, Los Angeles, CA 90007 USA; [Patterson-Fraser, D.] Polar Oceans Res Grp, Sheridan, MT 59749 USA; [Quintana, F.] Consejo Nacl Invest Cient &amp; Tecn, Ctr Nacl Patagon, RA-9120 Puerto Madryn, Chubut, Argentina; [Quintana, F.] Wildlife Conservat Soc, Bronx, NY 10460 USA; [Ritz, M. S.] Univ Jena, Inst Ecol, D-07743 Jena, Germany; [Thompson, D. R.] Natl Inst Water &amp; Atmospher Res Ltd NIWA, Wellington, New Zealand; [Weimerskirch, H.] CNRS, UPR 1934, CEB Chize, F-79360 Villiers En Bois, France</t>
  </si>
  <si>
    <t>University of Cape Town; National Research Foundation - South Africa; University of Cape Town; UK Research &amp; Innovation (UKRI); Natural Environment Research Council (NERC); NERC British Antarctic Survey; Centro Nacional Patagonico (CENPAT); Consejo Nacional de Investigaciones Cientificas y Tecnicas (CONICET); Wildlife Conservation Society; Friedrich Schiller University of Jena; National Institute of Water &amp; Atmospheric Research (NIWA) - New Zealand; Centre National de la Recherche Scientifique (CNRS)</t>
  </si>
  <si>
    <t>Techow, NMSM (corresponding author), Univ Cape Town, DST NRF Ctr Excellence, Percy FitzPatrick Inst, Private Bag X3, ZA-7701 Rondebosch, South Africa.</t>
  </si>
  <si>
    <t>mtechow@gmail.com</t>
  </si>
  <si>
    <t>Weimerskirch, Henri/K-7306-2019; Ritz, Markus S./A-5321-2008; Weimerskirch, Henri/F-5562-2013</t>
  </si>
  <si>
    <t>Weimerskirch, Henri/0000-0002-0457-586X; Ryan, Peter/0000-0002-3356-2056; Quintana, Flavio/0000-0003-0696-2545; O'Ryan, Colleen/0000-0003-3719-4657</t>
  </si>
  <si>
    <t>DEPROREN-SAG [3503-1-63-2004]; IPEV [109]; South African National Antarctic Programme; Australian Antarctic Division; Australian Government; Tasmanian Department of Primary Industries and Water, FEATHER LINK Inc.; Environmental Planning Department of the Falklands Island Government; Government of South Georgia and the South Sandwich Islands; South African National Research Foundation; University of Cape Town; NERC [bas0100025] Funding Source: UKRI; Natural Environment Research Council [bas0100025] Funding Source: researchfish</t>
  </si>
  <si>
    <t>DEPROREN-SAG; IPEV; South African National Antarctic Programme; Australian Antarctic Division; Australian Government(Australian Government); Tasmanian Department of Primary Industries and Water, FEATHER LINK Inc.; Environmental Planning Department of the Falklands Island Government; Government of South Georgia and the South Sandwich Islands; South African National Research Foundation(National Research Foundation - South Africa); University of Cape Town; NERC(UK Research &amp; Innovation (UKRI)Natural Environment Research Council (NERC)); Natural Environment Research Council(UK Research &amp; Innovation (UKRI)Natural Environment Research Council (NERC))</t>
  </si>
  <si>
    <t>This study would not have been possible without the efforts of filed-workers involved in sample collection or logistics: Quentin Hagen and Genevieve Jones (Marion Island), Graeme Elliott and Kath Walker (Antipodes Island), Josh Kemp and James Armstrong (Adams Island), Louise Chilvers and Padraig Duignan (Enderby Island), Stuart Bearhop (Campbell Island), Dave Bell (Chatham Islands), Mike Dunn (Signy Island), Markus Ritz (King George Island), Aleks Terauds, Georgie Hedley and Rachael Alderman (Macquarie Island), David Oehler (Isla Noir), Alejandro Kusch and Rodrigo Gonzales of the MV Chonos (Patagonia) and Chris May (Falklands/Malvinas Islands). Kieran Lawton and Graham Robertson, and Donna Patterson and Bill Fraser also kindly provided samples from Heard Island, and from islands close to Palmer Station, respectively, but these were not included in the genetic analysis. Jacob Gonzalez-Solis was closely involved in the conception of the project and initial discussions. Research in Patagonia/Argentinia was supported by a grant to F. Quintana from the Wildlife Conservation Society. We also thank the Centro Nacional Patagonico (CONICET) for institutional support. The Chilean permits for the collection were provided by DEPROREN-SAG # 3503-1-63-2004. Field study in the French Southern territories was supported by IPEV program 109. Work in the Falkland Islands was licensed by the Environmental Planning Department of the Falkland Islands Government. Funding: Logistical or financial support was obtained from the South African National Antarctic Programme, the Australian Antarctic Division, the Australian Government, the Tasmanian Department of Primary Industries and Water, FEATHER LINK Inc., the Environmental Planning Department of the Falklands Island Government, the Government of South Georgia and the South Sandwich Islands, the South African National Research Foundation and the University of Cape Town.</t>
  </si>
  <si>
    <t>10.1016/j.ympev.2009.09.005</t>
  </si>
  <si>
    <t>WOS:000273758200015</t>
  </si>
  <si>
    <t>Cary, SC; McDonald, IR; Barrett, JE; Cowan, DA</t>
  </si>
  <si>
    <t>Cary, S. Craig; McDonald, Ian R.; Barrett, John E.; Cowan, Don A.</t>
  </si>
  <si>
    <t>On the rocks: the microbiology of Antarctic Dry Valley soils</t>
  </si>
  <si>
    <t>NATURE REVIEWS MICROBIOLOGY</t>
  </si>
  <si>
    <t>ROSS SEA REGION; SOUTHERN VICTORIA-LAND; CARBON-DIOXIDE FLUX; BACTERIAL DIVERSITY; COMMUNITY COMPOSITION; NEMATODE COMMUNITIES; OZONE DEPLETION; ORGANIC-CARBON; TAYLOR VALLEY; RIBOSOMAL-RNA</t>
  </si>
  <si>
    <t>The arid soils of the Antarctic Dry Valleys constitute some of the oldest, coldest, driest and most oligotrophic soils on Earth. Early studies suggested that the Dry Valley soils contained, at best, very low levels of viable microbiota. However, recent applications of molecular methods have revealed a dramatically contrasting picture - a very wide diversity of microbial taxa, many of which are uncultured and taxonomically unique, and a community that seems to be structured solely by abiotic processes. Here we review our understanding of these extreme Antarctic terrestrial microbial communities, with particular emphasis on the factors that are involved in their development, distribution and maintenance in these cold desert environments.</t>
  </si>
  <si>
    <t>[Cary, S. Craig; McDonald, Ian R.] Univ Waikato, Dept Biol Sci, Hamilton 3240, New Zealand; [Cary, S. Craig] Univ Delaware, Coll Earth Ocean &amp; Environm, Lewes, DE 19958 USA; [Barrett, John E.] Virginia Polytech Inst &amp; State Univ, Dept Biol Sci, Blacksburg, VA 24061 USA; [Cowan, Don A.] Univ Western Cape, Inst Microbial Biotechnol &amp; Metagenom, ZA-7535 Cape Town, South Africa</t>
  </si>
  <si>
    <t>University of Waikato; University of Delaware; Virginia Polytechnic Institute &amp; State University; University of the Western Cape</t>
  </si>
  <si>
    <t>Cary, SC (corresponding author), Univ Waikato, Dept Biol Sci, Private Bag 3105, Hamilton 3240, New Zealand.</t>
  </si>
  <si>
    <t>caryc@udel.edu</t>
  </si>
  <si>
    <t>Cowan, Donald A/E-3991-2012; McDonald, Ian R/A-4851-2008; Barrett, John/D-5851-2016</t>
  </si>
  <si>
    <t>Cowan, Donald A/0000-0001-8059-861X; McDonald, Ian R/0000-0002-4847-6492; Barrett, John/0000-0002-7610-0505; Cary, Stephen/0000-0002-2876-2387</t>
  </si>
  <si>
    <t>Antarctica New Zealand; Marsden Fund, New Zealand; Foundation of Research Science and Technology, New Zealand; National Science Foundation, USA; National Research Foundation, South Africa; Directorate For Geosciences; Office of Polar Programs (OPP) [0739648] Funding Source: National Science Foundation</t>
  </si>
  <si>
    <t>Antarctica New Zealand; Marsden Fund, New Zealand(Royal Society of New ZealandMarsden Fund (NZ)); Foundation of Research Science and Technology, New Zealand(New Zealand Foundation for Research, Science and Technology); National Science Foundation, USA(National Science Foundation (NSF)); National Research Foundation, South Africa(National Research Foundation - South Africa); Directorate For Geosciences; Office of Polar Programs (OPP)(National Science Foundation (NSF)NSF - Directorate for Geosciences (GEO))</t>
  </si>
  <si>
    <t>We acknowledge support from Antarctica New Zealand to S. C. C, I. R. M and D. A. C., from the Marsden Fund, New Zealand, to S. C. C. and I. R. M., from the Foundation of Research Science and Technology, New Zealand, to S. C. C., from the National Science Foundation, USA, to S. C. C. and J. E. B., and from the National Research Foundation, South Africa, to D. A. C.</t>
  </si>
  <si>
    <t>NATURE PORTFOLIO</t>
  </si>
  <si>
    <t>HEIDELBERGER PLATZ 3, BERLIN, 14197, GERMANY</t>
  </si>
  <si>
    <t>1740-1526</t>
  </si>
  <si>
    <t>1740-1534</t>
  </si>
  <si>
    <t>NAT REV MICROBIOL</t>
  </si>
  <si>
    <t>Nat. Rev. Microbiol.</t>
  </si>
  <si>
    <t>10.1038/nrmicro2281</t>
  </si>
  <si>
    <t>544MA</t>
  </si>
  <si>
    <t>WOS:000273659700012</t>
  </si>
  <si>
    <t>Maridet, O; Costeur, L</t>
  </si>
  <si>
    <t>Maridet, Olivier; Costeur, Loic</t>
  </si>
  <si>
    <t>Diversity trends in Neogene European ungulates and rodents: large-scale comparisons and perspectives</t>
  </si>
  <si>
    <t>NATURWISSENSCHAFTEN</t>
  </si>
  <si>
    <t>Ungulates; Rodents; Neogene; Europe; Broad-scale diversity patterns; Life-history traits</t>
  </si>
  <si>
    <t>MESSINIAN SALINITY CRISIS; ANTARCTIC ICE-SHEET; BODY-SIZE; POPULATION-DYNAMICS; CLIMATIC CHANGES; EVOLUTION; MIOCENE; MAMMALS; EXTINCTION; BASIN</t>
  </si>
  <si>
    <t>The ungulate and rodent fossil records are often used independently to understand mammalian evolutionary history. Few studies have directly compared both records over long time periods and large geographic areas. Here, we compiled two datasets of European fossil localities containing rodents and/or ungulates over 20 My (Early Miocene-Early Pliocene) and processed the data with the same methodology. We counted the raw diversity and calculated a measure of evenness (Pielou's index). After controlling for potential biases on diversity estimators, we identify the evenness index as a more reliable estimator bringing interesting insights into the way both mammal groups are structured by biotic or abiotic factors. In this study, we consider that an uneven distribution of the species richness among families, when only some families successfully diversify within the continental-scale community, represents a lower adaptability of this community to the environmental context. Pielou's index is used to estimate this adaptability through time. The responses of ungulates and rodents to environmental changes are very divergent, especially facing the climatic changes known since the Middle Miocene. The general patterns suggest that rodent broad-scale assemblages are affected by all kinds of perturbations, even short biotic and abiotic events, but show a better adaptability when facing long-term abiotic changes. Unlike rodents, the ungulate assemblages show more stability in periods of relative environmental stability but show less adaptability to long-term climatic changes. Life-history traits of mammals can help explain patterns of diversity and biogeography at different spatial scales and may probably partly explain the opposite patterns evidenced here.</t>
  </si>
  <si>
    <t>[Maridet, Olivier] Chinese Acad Sci, Inst Vertebrate Paleontol &amp; Paleoanthropol, Beijing 100044, Peoples R China; [Costeur, Loic] Nat Hist Museum Basel, CH-4001 Basel, Switzerland</t>
  </si>
  <si>
    <t>Chinese Academy of Sciences; Institute of Vertebrate Paleontology &amp; Paleoanthropology, CAS</t>
  </si>
  <si>
    <t>Maridet, O (corresponding author), Chinese Acad Sci, Inst Vertebrate Paleontol &amp; Paleoanthropol, 142 Xizhimenwai Dajie,POB 643, Beijing 100044, Peoples R China.</t>
  </si>
  <si>
    <t>Olivier.Maridet@ivpp.ac.cn; Loic.Costeur@bs.ch</t>
  </si>
  <si>
    <t>Maridet, Olivier/H-5313-2019</t>
  </si>
  <si>
    <t>Maridet, Olivier/0000-0002-0956-0712; Costeur, Loic/0000-0001-6213-8556</t>
  </si>
  <si>
    <t>French Ministry of Education and Research; China Postdoctoral Science Foundation [20080430557]</t>
  </si>
  <si>
    <t>French Ministry of Education and Research; China Postdoctoral Science Foundation(China Postdoctoral Science Foundation)</t>
  </si>
  <si>
    <t>This study was granted by the Institut Francais de la Biodiversite. Both authors also acknowledge financial support from the French Ministry of Education and Research. A part of the results of this study follows from the PhD work of both authors; their supervisors C. Guerin, S. Legendre, and P. Mein have contributed to this study through many discussions and advices. The first author's research is also supported by the China Postdoctoral Science Foundation (Grant No. 20080430557) and the Research Fellowship for International Young Researchers of the Chinese Academy of Sciences 2008. Two anonymous reviewers have provided interesting comments which have significantly contributed to improve this study.</t>
  </si>
  <si>
    <t>0028-1042</t>
  </si>
  <si>
    <t>1432-1904</t>
  </si>
  <si>
    <t>Naturwissenschaften</t>
  </si>
  <si>
    <t>10.1007/s00114-009-0623-9</t>
  </si>
  <si>
    <t>549IJ</t>
  </si>
  <si>
    <t>WOS:000274041100005</t>
  </si>
  <si>
    <t>Fröbisch, J; Angielczyk, KD; Sidor, CA</t>
  </si>
  <si>
    <t>Froebisch, Joerg; Angielczyk, Kenneth D.; Sidor, Christian A.</t>
  </si>
  <si>
    <t>The Triassic dicynodont Kombuisia (Synapsida, Anomodontia) from Antarctica, a refuge from the terrestrial Permian-Triassic mass extinction</t>
  </si>
  <si>
    <t>Synapsida; Anomodontia; Antarctica; End-Permian extinction; Refugium</t>
  </si>
  <si>
    <t>CENTRAL TRANSANTARCTIC MOUNTAINS; SOUTH-AFRICA; BEAUFORT GROUP; KAROO-BASIN; THERAPSIDA; BOUNDARY; BIOSTRATIGRAPHY; PHYLOGENY; BIOGEOGRAPHY; TETRAPOD</t>
  </si>
  <si>
    <t>Fossils from the central Transantarctic Mountains in Antarctica are referred to a new species of the Triassic genus Kombuisia, one of four dicynodont lineages known to survive the end-Permian mass extinction. The specimens show a unique combination of characters only present in this genus, but the new species can be distinguished from the type species of the genus, Kombuisia frerensis, by the presence of a reduced but slit-like pineal foramen and the lack of contact between the postorbitals. Although incomplete, the Antarctic specimens are significant because Kombuisia was previously known only from the South African Karoo Basin and the new specimens extend the taxon's biogeographic range to a wider portion of southern Pangaea. In addition, the new finds extend the known stratigraphic range of Kombuisia from the Middle Triassic subzone B of the Cynognathus Assemblage Zone into rocks that are equivalent in age to the Lower Triassic Lystrosaurus Assemblage Zone, shortening the proposed ghost lineage of this taxon. Most importantly, the occurrence of Kombuisia and Lystrosaurus mccaigi in the Lower Triassic of Antarctica suggests that this area served as a refuge from some of the effects of the end-Permian extinction. The composition of the lower Fremouw Formation fauna implies a community structure similar to that of the ecologically anomalous Lystrosaurus Assemblage Zone of South Africa, providing additional evidence for widespread ecological disturbance in the extinction's aftermath.</t>
  </si>
  <si>
    <t>[Froebisch, Joerg; Angielczyk, Kenneth D.] Field Museum, Dept Geol, Chicago, IL 60605 USA; [Sidor, Christian A.] Univ Washington, Burke Museum, Seattle, WA 98195 USA; [Sidor, Christian A.] Univ Washington, Dept Biol, Seattle, WA 98195 USA</t>
  </si>
  <si>
    <t>Field Museum of Natural History (Chicago); University of Washington; University of Washington Seattle; University of Washington; University of Washington Seattle</t>
  </si>
  <si>
    <t>Fröbisch, J (corresponding author), Field Museum, Dept Geol, Chicago, IL 60605 USA.</t>
  </si>
  <si>
    <t>jfrobisch@fieldmuseum.org</t>
  </si>
  <si>
    <t>Deutsche Forschungsgemeinschaft [FR 2457/3-1]; National Science Foundation [ANT-0551163, ANT-0838762]; Directorate For Geosciences; Office of Polar Programs (OPP) [0838762] Funding Source: National Science Foundation</t>
  </si>
  <si>
    <t>Deutsche Forschungsgemeinschaft(German Research Foundation (DFG)); National Science Foundation(National Science Foundation (NSF)); Directorate For Geosciences; Office of Polar Programs (OPP)(National Science Foundation (NSF)NSF - Directorate for Geosciences (GEO))</t>
  </si>
  <si>
    <t>We would like to thank Carl Mehling and Chris Norris for access to the collection at the American Museum of Natural History and for enabling the loan of AMNH 9562 and AMNH 9545. This study was supported by the Deutsche Forschungsgemeinschaft (FR 2457/3-1) to JF and National Science Foundation (ANT-0551163 and ANT-0838762) to CAS.</t>
  </si>
  <si>
    <t>10.1007/s00114-009-0626-6</t>
  </si>
  <si>
    <t>WOS:000274041100008</t>
  </si>
  <si>
    <t>Olbers, D; Hellmer, H</t>
  </si>
  <si>
    <t>Olbers, Dirk; Hellmer, Hartmut</t>
  </si>
  <si>
    <t>A box model of circulation and melting in ice shelf caverns</t>
  </si>
  <si>
    <t>OCEAN DYNAMICS</t>
  </si>
  <si>
    <t>Antarctic ice shelves; Melt rate; Box model</t>
  </si>
  <si>
    <t>THERMOHALINE CIRCULATION; MASS-BALANCE; OCEAN; ANTARCTICA; GLACIER; BENEATH; SHEET; SEA</t>
  </si>
  <si>
    <t>A simple box model of the circulation into and inside the ocean cavern beneath an ice shelf is used to estimate the melt rates of Antarctic glaciers and ice shelves. The model uses simplified cavern geometries and includes a coarse parameterization of the overturning circulation and vertical mixing. The melting/freezing physics at the ice shelf/ocean interface are those usually implemented in high-resolution circulation models of ice shelf caverns. The model is driven by the thermohaline inflow conditions and coupling to the heat and freshwater exchanges at the sea surface in front of the cavern. We tune the model for Pine Island Glacier and then apply it to six other major caverns. The dependence of the melting rate on thermohaline conditions at the ice shelf front is investigated for this set of caverns, including sensitivity studies, alternative parameterizations, and warming scenarios. An analytical relation between the melting rate and the inflow temperature is derived for a particular model version, showing a quadratic dependence of basal melting on small values of the temperature of the inflow, which changes to a linear dependence for larger values. The model predicts melting at all ice shelf bases in agreement with observations, ranging from below a meter per year for Ronne Ice Shelf to about 25 m/year for the Pine Island Glacier. In a warming scenario with a one-degree increase of the inflow temperature, the latter glacier responds with a 1.4-fold increase of the melting rate. Other caverns respond by more than a tenfold increase, as, e.g., Ronne Ice Shelf. The model is suitable for use as a simple fast module izn coarse large-scale ocean models.</t>
  </si>
  <si>
    <t>[Olbers, Dirk; Hellmer, Hartmut] Alfred Wegener Inst Polar &amp; Marine Res, D-27515 Bremerhaven, Germany</t>
  </si>
  <si>
    <t>Olbers, D (corresponding author), Alfred Wegener Inst Polar &amp; Marine Res, D-27515 Bremerhaven, Germany.</t>
  </si>
  <si>
    <t>dolbers@awi-bremerhaven.de</t>
  </si>
  <si>
    <t>Hellmer, Hartmut/0000-0002-9357-9853</t>
  </si>
  <si>
    <t>1616-7341</t>
  </si>
  <si>
    <t>OCEAN DYNAM</t>
  </si>
  <si>
    <t>Ocean Dyn.</t>
  </si>
  <si>
    <t>10.1007/s10236-009-0252-z</t>
  </si>
  <si>
    <t>549IK</t>
  </si>
  <si>
    <t>WOS:000274041200009</t>
  </si>
  <si>
    <t>Tarakanov, RY</t>
  </si>
  <si>
    <t>Tarakanov, R. Yu.</t>
  </si>
  <si>
    <t>Circumpolar Bottom Water in the Scotia Sea and the Drake Passage</t>
  </si>
  <si>
    <t>OCEANOLOGY</t>
  </si>
  <si>
    <t>SOUTHERN-OCEAN; WEDDELL GYRE; DEEP WATERS; CURRENTS; STRATIFICATION; CIRCULATION; TRANSPORT</t>
  </si>
  <si>
    <t>The quantitative properties and circulation of the lower layer of circumpolar water in the Scotia Sea with density 28.16 &lt; 28.26 (potential temperature 0.9 degrees&gt;theta&gt;0.2 degrees C) are investigated using the original procedure for determination of boundaries between water masses. The primary objective of this work is data analyses of four Russian sections, which were occupied in the vicinity of the Shackleton Fracture Zone in 2003, 2005, and 2007. It is shown that the ridges in the Hero and Shackleton fracture zones essentially con strain overflow of the lower layer of circumpolar water, and thereby, they produce the conditions to the east of the Shackleton Ridge for transformation (freshening and warming) of this layer reaching the northern side of the Antarctic Circumpolar Current. These ridges also promote formation of several quasi-permanent and semi-enclosed abyssal and deep-water eddies adjacent to these ridges. The estimation of overflow of the lower part of the investigated layer with density 28.23&lt;28.26 (0.9 degrees&gt;theta&gt;0.2 degrees C) through the Shackleton Ridge based on LADCP measurements in 2007 is 0.5 Sv (0.1 Sv) to the east (west). The upper part of the overflow is estimated as 8.0 (7.9) Sv. Thus, the total transport of the lower layer of circumpolar water through the ridge is practically zero. It is confirmed by LADCP measurements carried out on the section across the Drake Passage in 2003.</t>
  </si>
  <si>
    <t>Russian Acad Sci, Shirshov Inst Oceanol, Moscow, Russia</t>
  </si>
  <si>
    <t>Russian Academy of Sciences; Shirshov Institute of Oceanology</t>
  </si>
  <si>
    <t>Tarakanov, RY (corresponding author), Russian Acad Sci, Shirshov Inst Oceanol, Moscow, Russia.</t>
  </si>
  <si>
    <t>rtarakanov@gmail.com</t>
  </si>
  <si>
    <t>Tarakanov, Roman/R-3325-2016</t>
  </si>
  <si>
    <t>Tarakanov, Roman/0000-0002-8711-1859</t>
  </si>
  <si>
    <t>Russian Foundation for Basic Research [09-05-00242a, 09-05-00802a, 08-05-00120a, 09-05-00788a]; NWO-RFBR [047.017.2006.003]; Russian Academy of Sciences; Foundation for the Promotion of National Science</t>
  </si>
  <si>
    <t>Russian Foundation for Basic Research(Russian Foundation for Basic Research (RFBR)Spanish Government); NWO-RFBR(Netherlands Organization for Scientific Research (NWO)Russian Foundation for Basic Research (RFBR)); Russian Academy of Sciences(Russian Academy of Sciences); Foundation for the Promotion of National Science</t>
  </si>
  <si>
    <t>This study was supported by the Russian Foundation for Basic Research, project nos. 09-05-00242a, 09-05-00802a, 08-05-00120a, 09-05-00788a, and NWO-RFBR 047.017.2006.003; by Program no. 17 for basic research of the Russian Academy of Sciences; by the Federal program World Ocean; and by the Foundation for the Promotion of National Science. The expeditions of the years 2003, 2005, and 2007 were conducted within the framework of interagency project Meridian Plus.</t>
  </si>
  <si>
    <t>0001-4370</t>
  </si>
  <si>
    <t>OCEANOLOGY+</t>
  </si>
  <si>
    <t>Oceanology</t>
  </si>
  <si>
    <t>10.1134/S0001437010010017</t>
  </si>
  <si>
    <t>590DI</t>
  </si>
  <si>
    <t>WOS:000277203800001</t>
  </si>
  <si>
    <t>Franke, D; Ehrmann, W</t>
  </si>
  <si>
    <t>Franke, Daniel; Ehrmann, Werner</t>
  </si>
  <si>
    <t>Neogene clay mineral assemblages in the AND-2A drill core (McMurdo Sound, Antarctica) and their implications for environmental change</t>
  </si>
  <si>
    <t>Palaeoenvironment; Provenance; Diagenesis; Mid-Miocene Climatic Optimum; ANDRILL</t>
  </si>
  <si>
    <t>GLACIAL HISTORY; ICE-SHEET; ROSS SEA; TRANSANTARCTIC MOUNTAINS; VICTORIA LAND; LATE EOCENE; SEDIMENTS; OCEAN; SEQUENCE; GEOCHEMISTRY</t>
  </si>
  <si>
    <t>Clay mineral assemblages in sediments from ANDRILL drill core AND-2A were used to reconstruct the Neogene palaeoenvironment. For the first time a clay mineral data set can be presented for southern McMurdo Sound, Ross Sea, Antarctica, that covers an expanded and fairly continuous Lower and Middle Miocene section. Although the occurrence of some authigenic smectites, zeolites and opal-CT documents diagenetic processes, the clay mineral assemblages allow a subdivision of the core into three intervals that reflect changes in provenance and volcanic activity. Interval I (1000-440 mbsf, 20.0-16.5 Ma) is characterised by a dominant sediment source in the Transantarctic Mountains. Frequent and short-term changes in the illite and smectite concentrations were caused by the influx of volcanic sediment components from southern McMurdo Sound and by diagenesis. Interval II (440-225 mbsf, 16.5-15.0 Ma) has much more uniform illite and smectite contents. The assemblage is derived from the Transantarctic Mountains. Interval III (225-0 mbsf, 15.0-0 Ma, containing major hiatuses) shows a distinctly enhanced volcanic influence and sediment components that come from the south of McMurdo Sound. The AND-2A clay mineral assemblages indicate persistent physical weathering conditions and do not mirror the Mid-Miocene Climatic Optimum. They indicate that the climatic changes were probably not strong enough to cause a modification in the weathering regime on the Antarctic continent. (C) 2009 Elsevier B.V. All rights reserved.</t>
  </si>
  <si>
    <t>[Franke, Daniel; Ehrmann, Werner] Univ Leipzig, Inst Geophys &amp; Geol, D-04103 Leipzig, Germany</t>
  </si>
  <si>
    <t>Leipzig University</t>
  </si>
  <si>
    <t>Franke, D (corresponding author), Tech Univ Darmstadt, Inst Appl Sedimentol, Schnittspahnstr 9, D-64287 Darmstadt, Germany.</t>
  </si>
  <si>
    <t>franke@geo.tu-darmstadt.de</t>
  </si>
  <si>
    <t>Raytheon Polar Services Corporation; Crary Science and Engineering Laboratory; US National Science Foundation (NSF); NZ Foundation for Research, Science and Technology (FRST); Italian Antarctic Research Program (PNRA); German Research Foundation (DFG); Alfred Wegener Institute for Polar and Marine Research (AWI)</t>
  </si>
  <si>
    <t>Raytheon Polar Services Corporation; Crary Science and Engineering Laboratory; US National Science Foundation (NSF)(National Science Foundation (NSF)); NZ Foundation for Research, Science and Technology (FRST)(New Zealand Foundation for Research, Science and Technology); Italian Antarctic Research Program (PNRA); German Research Foundation (DFG)(German Research Foundation (DFG)); Alfred Wegener Institute for Polar and Marine Research (AWI)</t>
  </si>
  <si>
    <t>The ANDRILL Program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(NSF), NZ Foundation for Research, Science and Technology (FRST), the Italian Antarctic Research Program (PNRA), the German Research Foundation (DFG) and the Alfred Wegener Institute for Polar and Marine Research (AWI).</t>
  </si>
  <si>
    <t>10.1016/j.palaeo.2009.12.003</t>
  </si>
  <si>
    <t>561IU</t>
  </si>
  <si>
    <t>WOS:000274970400005</t>
  </si>
  <si>
    <t>Lu, QB</t>
  </si>
  <si>
    <t>Lu, Qing-Bin</t>
  </si>
  <si>
    <t>Cosmic-ray-driven electron-induced reactions of halogenated molecules adsorbed on ice surfaces: Implications for atmospheric ozone depletion and global climate change</t>
  </si>
  <si>
    <t>PHYSICS REPORTS-REVIEW SECTION OF PHYSICS LETTERS</t>
  </si>
  <si>
    <t>Cosmic rays (CRs); Dissociative electron transfer (DET); Chlorofluorocarbons (CFCs); Ozone hole; Global warming; Global cooling</t>
  </si>
  <si>
    <t>NEGATIVE-ION FORMATION; CHARGE-TRANSFER PHOTODISSOCIATION; ABSOLUTE CROSS-SECTIONS; WATER-CLUSTER ANIONS; STIMULATED DESORPTION; HYDRATED-ELECTRON; INDUCED DISSOCIATION; SOLVATION DYNAMICS; EXCESS ELECTRONS; FEMTOSECOND DYNAMICS</t>
  </si>
  <si>
    <t>The cosmic-ray-driven electron-induced reaction of halogenated molecules adsorbed on ice surfaces has been proposed as a new mechanism for the formation of the polar ozone hole. Here, experimental findings of dissociative electron transfer reactions of halogenated molecules on ice surfaces in electron stimulated desorption, electron trapping and femtosecond time-resolved laser spectroscopic measurements are reviewed. This is followed by a review of the evidence from recent satellite observations of this new mechanism for the Antarctic ozone hole, and all other possible physical mechanisms are discussed. Moreover, new observations of the 11-year cyclic variations of both polar ozone loss and stratospheric cooling and the seasonal variations of CFCs and CH4 in the polar stratosphere are presented, and quantitative predictions of the Antarctic ozone hole in the future are given. Finally, a new observation of the effects of CFCs and cosmic-ray-driven ozone depletion on global climate change is also presented and discussed. (C) 2009 Elsevier B.V. All rights reserved.</t>
  </si>
  <si>
    <t>[Lu, Qing-Bin] Univ Waterloo, Dept Phys &amp; Astron, Waterloo, ON N2L 3G1, Canada; [Lu, Qing-Bin] Univ Waterloo, Dept Biol, Waterloo, ON N2L 3G1, Canada; [Lu, Qing-Bin] Univ Waterloo, Dept Chem, Waterloo, ON N2L 3G1, Canada</t>
  </si>
  <si>
    <t>University of Waterloo; University of Waterloo; University of Waterloo</t>
  </si>
  <si>
    <t>Lu, QB (corresponding author), Univ Waterloo, Dept Phys &amp; Astron, Waterloo, ON N2L 3G1, Canada.</t>
  </si>
  <si>
    <t>qblu@uwaterloo.ca</t>
  </si>
  <si>
    <t>NSF [ATM-0527878]; Canadian Institutes of Health Research (CIHR); Natural Science and Engineering Research Council of Canada (NSERC)</t>
  </si>
  <si>
    <t>NSF(National Science Foundation (NSF)); Canadian Institutes of Health Research (CIHR)(Canadian Institutes of Health Research (CIHR)); Natural Science and Engineering Research Council of Canada (NSERC)(Natural Sciences and Engineering Research Council of Canada (NSERC))</t>
  </si>
  <si>
    <t>NASA satellite data sets were obtained from http://toms.gsfc.nasa.gov. The O3 data obtained at Halley were obtained from the BAS (http://www.antarctica.ac.uk/met/jds/ozone/), credited to Dr. J.D. Shanklin. Cosmic ray data obtained at McMurdo were from the Bartol Research Institute, supported by NSF grant ATM-0527878, http://neutronm.bartol.udel.edu. The data on CH4 and CF2Cl2 in the stratosphere were obtained from the NASA Goddard Space Flight Center (GDFC) CLAES and HALOE data sets. The southern hemisphere (SH), northern hemisphere (NH) and global surface temperatures were obtained from the Climatic Research Unit of the School of Environmental Sciences, University of East Anglia: the HadCRUT3 version, combined land and marine temperature anomalies on a 5 by 5 grid-box basis (http://www.cru.uea.ac.uk/cru/data/temperature/). The author thanks the above-mentioned teams for making the data available. This work was supported by the Canadian Institutes of Health Research (CIHR) and Natural Science and Engineering Research Council of Canada (NSERC).</t>
  </si>
  <si>
    <t>0370-1573</t>
  </si>
  <si>
    <t>1873-6270</t>
  </si>
  <si>
    <t>PHYS REP</t>
  </si>
  <si>
    <t>Phys. Rep.-Rev. Sec. Phys. Lett.</t>
  </si>
  <si>
    <t>10.1016/j.physrep.2009.12.002</t>
  </si>
  <si>
    <t>566WL</t>
  </si>
  <si>
    <t>WOS:000275403900001</t>
  </si>
  <si>
    <t>Pabis, K; Sicinski, J</t>
  </si>
  <si>
    <t>Pabis, Krzysztof; Sicinski, Jacek</t>
  </si>
  <si>
    <t>Distribution and diversity of polychaetes collected by trawling in Admiralty Bay: an Antarctic glacial fiord</t>
  </si>
  <si>
    <t>West Antarctic; King George Island; Admiralty Bay; Shelf polychaetes; Patterns of distribution</t>
  </si>
  <si>
    <t>KING-GEORGE ISLAND; SOUTH SHETLAND ISLANDS; BENTHIC MEGAFAUNA; NEARSHORE ZONE; SOFT BOTTOMS; MARTEL-INLET; ROSS SEA; DISTURBANCE; ASSEMBLAGES; WATERS</t>
  </si>
  <si>
    <t>The aim of the study is to determine patterns of distribution, species richness and diversity of polychaetes collected by trawling in Admiralty Bay. Forty-seven species of polychaetes were found in 75 samples collected in 1988 along a depth range from 15 to 500 m. Four polychaete assemblages were distinguished. The most diverse and peculiar assemblage was found in the deepest sublittoral of the central basin from ca. 300-500 m with main constant species Laetmonice producta, Sternaspis sp. and Thelepus cincinnatus. Shallow water assemblages had low diversity and species richness. The most common and eurytopic epifaunal polychaetes were Aglaophamus trissophyllus, Barrukia cristata, Harmothoe spp., Flabelligera mundata and Perkinsiana littoralis. The low species richness in shallow waters of Admiralty Bay is probably associated with depth, influence of glacial streams and suspended matter inflow which is particularly distinct in the shallow water fiord areas.</t>
  </si>
  <si>
    <t>[Pabis, Krzysztof; Sicinski, Jacek] Univ Lodz, Lab Polar Biol &amp; Oceanobiol, PL-90237 Lodz, Poland</t>
  </si>
  <si>
    <t>University of Lodz</t>
  </si>
  <si>
    <t>Pabis, K (corresponding author), Univ Lodz, Lab Polar Biol &amp; Oceanobiol, Banacha 12-16, PL-90237 Lodz, Poland.</t>
  </si>
  <si>
    <t>cataclysta@wp.pl; sicinski@biol.uni.lodz.pl</t>
  </si>
  <si>
    <t>Sicinski, Jacek/P-2033-2017; Pabis, Krzysztof/O-8628-2017</t>
  </si>
  <si>
    <t>Pabis, Krzysztof/0000-0002-9625-3453; Sicinski, Jacek/0000-0002-5235-3188</t>
  </si>
  <si>
    <t>Polish Ministry of Science and Higher Education [51/NIPY/2007/0]</t>
  </si>
  <si>
    <t>Polish Ministry of Science and Higher Education(Ministry of Science and Higher Education, Poland)</t>
  </si>
  <si>
    <t>Authors would like to thank Dr. P. Presler for the polychaete collection used in this analysis. Thanks are also due to Dr. M. Grabowski for his kind assistance in the manuscript editing. We want to thank the reviewers of the manuscript Dr. Briggite Ebbe, Dr. Monica Petti and one anonymous reviewer for the advices and critiques that help us to improve this article. The study was supported by grant from Polish Ministry of Science and Higher Education No. 51/NIPY/2007/0.</t>
  </si>
  <si>
    <t>10.1007/s00300-009-0692-4</t>
  </si>
  <si>
    <t>543QW</t>
  </si>
  <si>
    <t>WOS:000273594300002</t>
  </si>
  <si>
    <t>Mahon, AR; Thornhill, DJ; Norenburg, JL; Halanych, KM</t>
  </si>
  <si>
    <t>Mahon, Andrew R.; Thornhill, Daniel J.; Norenburg, Jon L.; Halanych, Kenneth M.</t>
  </si>
  <si>
    <t>DNA uncovers Antarctic nemertean biodiversity and exposes a decades-old cold case of asymmetric inventory</t>
  </si>
  <si>
    <t>Antarctica; Biodiversity; Cryptic species; 16S; Larvae</t>
  </si>
  <si>
    <t>OCEAN BARRIERS; POLAR FRONT; TEMPERATURE; PHYLOGENY; LARVAE; HETERONEMERTEA; CORRUGATUS; CHECKLIST; EVOLUTION; CRUSTACEA</t>
  </si>
  <si>
    <t>With threats to biodiversity posed by anthropogenic impacts and global climate change, characterization of existing flora and fauna is increasingly important, but continues to focus predominantly on easily studied taxa. In the Southern Ocean, levels of species richness remain relatively unexplored due to remoteness and difficulties of sampling the region. Nemerteans (proboscis worms; ribbon worms) are unusually abundant and occasionally conspicuous in the Antarctic region. Despite being routinely collected, difficulties in preserving voucher material, morphological limitations, and shortage of taxonomic expertise have hindered our understanding of nemertean diversity. To assess patterns of diversity, we examined a fragment of the mitochondrial 16S rRNA gene from larval and adult nemerteans (n = 192) from 53 sites along the western Antarctic Peninsula. We found 20 distinct lineages having an uncorrected genetic distance (p) greater than 5% to the nearest sister taxon or group, 19 of which have not been genetically characterized in previous studies. Additionally, the putatively dominant adult species in the region, Parborlasia corrugatus, was found to comprise only 4.3% of larvae sampled (n = 3 out of 69 samples from 12 locations). Of 47 nemertean species recorded from Antarctic waters, 20 are heteronemerteans and therefore could have a pelagic pilidium larval phase. These results suggest that Antarctic biodiversity is underestimated, and that unknown species of nemerteans await description from Southern Ocean waters.</t>
  </si>
  <si>
    <t>[Mahon, Andrew R.; Thornhill, Daniel J.; Halanych, Kenneth M.] Auburn Univ, Dept Biol Sci, Auburn, AL 36849 USA; [Mahon, Andrew R.] Univ Notre Dame, Dept Biol Sci, Ctr Aquat Conservat, Notre Dame, IN 46617 USA; [Thornhill, Daniel J.] Bowdoin Coll, Dept Biol, Brunswick, ME 04011 USA; [Norenburg, Jon L.] Natl Museum Nat Hist, Smithsonian Inst, Washington, DC 20013 USA</t>
  </si>
  <si>
    <t>Auburn University System; Auburn University; University of Notre Dame; Bowdoin College; Smithsonian Institution; Smithsonian National Museum of Natural History</t>
  </si>
  <si>
    <t>Mahon, AR (corresponding author), Univ Notre Dame, Dept Biol Sci, Ctr Aquat Conservat, Galvin Hall, Notre Dame, IN 46556 USA.</t>
  </si>
  <si>
    <t>amahon@nd.edu; thornhill.dan@gmail.com; norenburgj@si.edu; ken@auburn.edu</t>
  </si>
  <si>
    <t>Thornhill, Daniel J/A-7730-2009; Norenburg, Jon L/K-3481-2015; Halanych, Kenneth/A-9480-2009</t>
  </si>
  <si>
    <t>Mahon, Andrew/0000-0002-5074-8725; Halanych, Kenneth/0000-0002-8658-9674</t>
  </si>
  <si>
    <t>ASRV Laurence M. Gould [LMG 04-14, LMG 06-05]; National Science Foundation [OPP-9910164, OPP-0338087, OPP-0338218, OPP-0132032]</t>
  </si>
  <si>
    <t>ASRV Laurence M. Gould; National Science Foundation(National Science Foundation (NSF))</t>
  </si>
  <si>
    <t>We would like to thank R. S. Scheltema for his assistance in this work. Additionally, we thank H. W. Deitrich, S. J. Lockhart for sharing samples for this investigation and also to S. Santos for insightful discussions leading to this work. The Edison-Chouest Offshore crew, Raytheon personnel, and scientific participants of the ASRV Laurence M. Gould in the 2004 and 2006 Antarctic cruises (LMG 04-14 and LMG 06-05, respectively) are gratefully acknowledged for their help and logistical support. This work was supported by a National Science Foundation grants to R. S. Scheltema and K. M. Halanych (OPP-9910164, OPP-0338087, OPP-0338218), and to H. W. Detrich (OPP-0132032). This work is AU Marine Biology Program contribution number 56.</t>
  </si>
  <si>
    <t>10.1007/s00300-009-0696-0</t>
  </si>
  <si>
    <t>WOS:000273594300006</t>
  </si>
  <si>
    <t>Bilyk, KT; DeVries, AL</t>
  </si>
  <si>
    <t>Bilyk, Kevin T.; DeVries, Arthur L.</t>
  </si>
  <si>
    <t>Freezing avoidance of the Antarctic icefishes (Channichthyidae) across thermal gradients in the Southern Ocean</t>
  </si>
  <si>
    <t>AFGP; Antifreeze glycoprotein; Antifreeze protein; Thermal hysteresis; Antarctica; Antarctic fish; Notothenioid; Channichthyidae; Notothenioid distribution; Distributional patterns; Freeze avoidance</t>
  </si>
  <si>
    <t>BIOLOGICAL ANTIFREEZE AGENTS; SEAWATER TEMPERATURES; MCMURDO SOUND; ICE SHELF; WATER; NOTOTHENIOIDEI; CIRCULATION; FISHES; SEA; GLYCOPEPTIDES</t>
  </si>
  <si>
    <t>Biogeographic studies separate the Antarctic Notothenioid fish fauna into high- and low-latitude species. Past studies indicate that some species found in the high-latitude freezing waters of the High-Antarctic Zone have low-serum hysteresis freezing points, while other species restricted to the low-latitude seasonal pack ice zone have higher serum hysteresis freezing points above the freezing point of seawater (-1.9A degrees C), but the relationship has not been systematically investigated. Freeze avoidance was quantified in 11 species of Antarctic icefishes by determining the hysteresis freezing points of their blood serum, in addition, the freezing point depression from serum osmolytes, the antifreeze activity from serum antifreeze glycoproteins (AFGPs), and the antifreeze activity from serum antifreeze potentiating protein were measured for each species. Serum hysteresis freezing point, a proxy for organismal freeze avoidance, decreased as species were distributed at increasing latitude (linear regression r (2) 0.66, slope -0.046A degrees C A degrees latitude(-1)), which appeared largely independent of phylogenetic influences. Greater freeze avoidance at high latitudes was largely a result of higher levels of antifreeze activity from serum AFGPs relative to those in species inhabiting the low-latitude waters. The icefish fauna could be separated into a circum High-Antarctic Group of eight species that maintained serum hysteresis freezing points below -1.9A degrees C even when sampled from less severe habitats. The remaining three species with low-latitude ranges restricted to the waters of the northern part of the west Antarctic Peninsula and Scotia Arc Islands had serum hysteresis freezing points at or above -1.9A degrees C due to significantly lower combined activity from all of their serum antifreeze proteins than found in the High-Antarctic Zone icefish.</t>
  </si>
  <si>
    <t>[Bilyk, Kevin T.; DeVries, Arthur L.] Univ Illinois, Dept Anim Biol, Urbana, IL 61801 USA</t>
  </si>
  <si>
    <t>University of Illinois System; University of Illinois Urbana-Champaign</t>
  </si>
  <si>
    <t>Bilyk, KT (corresponding author), Univ Illinois, Dept Anim Biol, Urbana, IL 61801 USA.</t>
  </si>
  <si>
    <t>kbilyk@life.uiuc.edu</t>
  </si>
  <si>
    <t>U.S. National Science Foundation Office of Polar Programs [NSF OPP-Ant-0231006]</t>
  </si>
  <si>
    <t>U.S. National Science Foundation Office of Polar Programs(National Science Foundation (NSF))</t>
  </si>
  <si>
    <t>The authors would like to thank Bruce Sidell for providing C. aceratus samples and Chris Jones for the opportunity to collect samples during the AMLAR 2003 cruise. We also thank Christina Jovanovic, Vernon Modglin, and Grace Tiao for their help in measuring antifreeze activity, and Dr. Rebecca Fuller for her thoughtful comments. This research was funded by the U.S. National Science Foundation Office of Polar Programs Grant NSF OPP-Ant-0231006 to A. L. DeVries and C-H. C. Cheng</t>
  </si>
  <si>
    <t>10.1007/s00300-009-0697-z</t>
  </si>
  <si>
    <t>WOS:000273594300007</t>
  </si>
  <si>
    <t>Moravcová, A; Beyens, L; Van de Vijver, B</t>
  </si>
  <si>
    <t>Moravcova, Adela; Beyens, Louis; Van de Vijver, Bart</t>
  </si>
  <si>
    <t>Diatom communities in soils influenced by the wandering albatross (Diomedea exulans)</t>
  </si>
  <si>
    <t>Soil diatoms; Subantarctica; Organic enrichment; Nutrients; Animal impact; Wandering albatross; Perturbed soils</t>
  </si>
  <si>
    <t>LA POSSESSION CROZET; ANTARCTIC ILES-KERGUELEN; FRESH-WATER DIATOMS; MEDITERRANEAN ISLANDS; DECEPTION ISLAND; EAST ANTARCTICA; SUB-ANTARCTICA; SOUTH SHETLAND; LAKES; ARCHIPELAGO</t>
  </si>
  <si>
    <t>Soil diatom communities within two breeding colonies of the wandering albatross (Diomedea exulans) on AZle de la Possession (Crozet Archipelago) were investigated. Samples were collected around occupied and abandoned nests and compared with control samples taken from soils lacking any animal influence. A total of 163 diatom taxa has been identified. Differences in the diatom flora were recorded between the two colonies, but the results show that it is almost impossible to identify a single diatom community typical for albatross-influenced areas. Diatom species composition varied markedly between control samples, occupied and abandoned nests. A turnover in the diatom community (shift from eutraphentic to oligotraphentic taxa) was observed when moving away from both occupied and abandoned nests, although no significant differences in diversity have been found. In summary, soil diatom species composition seems to indicate the impact of animal perturbations. However, it is too early to draw sound conclusions and further studies regarding the topic should be performed to confirm the results of the present study.</t>
  </si>
  <si>
    <t>[Van de Vijver, Bart] Natl Bot Garden Belgium, Dept Bryophyta &amp; Thallophyta, B-1860 Meise, Belgium; [Moravcova, Adela] Charles Univ Prague, Fac Sci, Dept Ecol, CR-12844 Prague 2, Czech Republic; [Beyens, Louis] Univ Antwerp, Dept Biol, Unit Polar Biol Limnol &amp; Geomorphol, B-2610 Antwerp, Belgium</t>
  </si>
  <si>
    <t>Charles University Prague; University of Antwerp</t>
  </si>
  <si>
    <t>Van de Vijver, B (corresponding author), Natl Bot Garden Belgium, Dept Bryophyta &amp; Thallophyta, B-1860 Meise, Belgium.</t>
  </si>
  <si>
    <t>vandevijver@br.fgov.be</t>
  </si>
  <si>
    <t>10.1007/s00300-009-0700-8</t>
  </si>
  <si>
    <t>WOS:000273594300010</t>
  </si>
  <si>
    <t>Schoof, C; Hindmarsh, RCA</t>
  </si>
  <si>
    <t>Schoof, Christian; Hindmarsh, Richard C. A.</t>
  </si>
  <si>
    <t>Thin-Film Flows with Wall Slip: An Asymptotic Analysis of Higher Order Glacier Flow Models</t>
  </si>
  <si>
    <t>QUARTERLY JOURNAL OF MECHANICS AND APPLIED MATHEMATICS</t>
  </si>
  <si>
    <t>ICE-SHEET; DYNAMICS; STRESS; APPROXIMATION</t>
  </si>
  <si>
    <t>Free-surface thin-film flows can principally be described by two types of models. Lubrication models assume that shear stresses are dominant in the force balance of the flow and are appropriate where there is little or no slip at the base of the flow. Conversely, membrane or 'free-film' models are appropriate in situations where there is rapid slip and normal (or extensional) stresses play a significant role in force balance. In some physical applications, notably in glaciology, both rapid and slow slip can occur within the same fluid film. In order to capture the dynamics of rapid and slow slip in a single model that describes the entire fluid film, a hybrid of membrane and lubrication models is therefore required. Several of these hybrid models have been constructed on an ad hoc basis in glaciology, where they are usually termed 'higher order models'. Here, we present a self-consistent asymptotic analysis of the most common of these models due originally to Blatter. We show that Blatter's model reproduces the solution to the underlying Stokes equations to second order in the film's aspect ratio, regardless of the amount of slip at the base of the fluid. In doing so, we also construct asymptotic expansions for the Stokes equations to this order for shear-thinning power-law fluids, paying particular attention to a high-viscosity boundary layer that develops at the free surface when there is little or no slip at the base. Lastly, we demonstrate that a depth-integrated hybrid model of comparable accuracy to Blatter's model-which cannot be depth integrated-can also be constructed, which we suggest as a viable tool for numerical simulations of thin films that contain both slowly and rapidly sliding parts.</t>
  </si>
  <si>
    <t>[Schoof, Christian] Univ British Columbia, Dept Earth &amp; Ocean Sci, Vancouver, BC V6T 1Z4, Canada; [Hindmarsh, Richard C. A.] British Antarctic Survey, Div Phys Sci, Cambridge CB3 0ET, England</t>
  </si>
  <si>
    <t>University of British Columbia; UK Research &amp; Innovation (UKRI); Natural Environment Research Council (NERC); NERC British Antarctic Survey</t>
  </si>
  <si>
    <t>Schoof, C (corresponding author), Univ British Columbia, Dept Earth &amp; Ocean Sci, 6339 Stores Rd, Vancouver, BC V6T 1Z4, Canada.</t>
  </si>
  <si>
    <t>cschoof@eos.ubc.ca</t>
  </si>
  <si>
    <t>Schoof, Christian/A-8587-2013; Hindmarsh, Richard/N-1195-2019</t>
  </si>
  <si>
    <t>Hindmarsh, Richard/0000-0003-1633-2416</t>
  </si>
  <si>
    <t>Research Chair at the University of British Columbia; NSERC [357193-08]; Canadian Foundation for Climate and Atmospheric Science through the Polar Climate Stability Network; NERC [bas010018, bas0100027] Funding Source: UKRI; Natural Environment Research Council [bas010018, bas0100027] Funding Source: researchfish</t>
  </si>
  <si>
    <t>Research Chair at the University of British Columbia; NSERC(Natural Sciences and Engineering Research Council of Canada (NSERC)); Canadian Foundation for Climate and Atmospheric Science through the Polar Climate Stability Network; NERC(UK Research &amp; Innovation (UKRI)Natural Environment Research Council (NERC)); Natural Environment Research Council(UK Research &amp; Innovation (UKRI)Natural Environment Research Council (NERC))</t>
  </si>
  <si>
    <t>We wish to acknowledge the thorough and helpful comments of Kolumban Hutter, Nina Kirchner and an anonymous referee, as well as the work of the editor, Peter Duck. CS was supported by a Canada Research Chair at the University of British Columbia and by NSERC Discovery grant number 357193-08 and by the Canadian Foundation for Climate and Atmospheric Science through the Polar Climate Stability Network.</t>
  </si>
  <si>
    <t>0033-5614</t>
  </si>
  <si>
    <t>1464-3855</t>
  </si>
  <si>
    <t>Q J MECH APPL MATH</t>
  </si>
  <si>
    <t>Q. J. Mech. Appl. Math.</t>
  </si>
  <si>
    <t>10.1093/qjmam/hbp025</t>
  </si>
  <si>
    <t>Mathematics, Applied; Mechanics</t>
  </si>
  <si>
    <t>Mathematics; Mechanics</t>
  </si>
  <si>
    <t>553DR</t>
  </si>
  <si>
    <t>WOS:000274346500005</t>
  </si>
  <si>
    <t>Bromley, GRM; Hall, BL; Stone, JO; Conway, H; Todd, CE</t>
  </si>
  <si>
    <t>Bromley, Gordon R. M.; Hall, Brenda L.; Stone, John O.; Conway, Howard; Todd, Claire E.</t>
  </si>
  <si>
    <t>Late Cenozoic deposits at Reedy Glacier, Transantarctic Mountains: implications for former thickness of the West Antarctic Ice Sheet</t>
  </si>
  <si>
    <t>SOUTHERN VICTORIA LAND; SIRIUS GROUP SEDIMENTS; DRY VALLEYS AREA; SURFACE FLUCTUATIONS; DRAINAGE SYSTEM; MCMURDO SOUND; TAYLOR VALLEY; ROSS SEA; MAXIMUM; HISTORY</t>
  </si>
  <si>
    <t>Deposits corresponding to multiple periods of glaciation are preserved in ice-free areas adjacent to Reedy Glacier, southern Transantarctic Mountains. Glacial geologic mapping, supported by Be-10 surface-exposure dating, shows that Reedy Glacier was significantly thicker than today multiple times during the mid-to-late Cenozoic. Longitudinal-surface profiles reconstructed from the upper limits of deposits indicate greater thickening at the glacier mouth than at the head during these episodes, indicating that Reedy Glacier responded primarily to changes in the thickness of the West Antarctic Ice Sheet. Surface-exposure ages suggest this relationship has been in place since at least 5 Ma. The last period of thickening of Reedy Glacier occurred during Marine Isotope Stage 2, at which time the glacier surface near its confluence with the West Antarctic Ice Sheet was at least 500 m higher than today. (C) 2009 Elsevier Ltd. All rights reserved.</t>
  </si>
  <si>
    <t>[Bromley, Gordon R. M.; Hall, Brenda L.] Univ Maine, Dept Earth Sci, Climate Change Inst, Edward T Bryand Global Sci Ctr, Orono, ME 04469 USA; [Stone, John O.; Conway, Howard] Univ Washington, Dept Earth &amp; Space Sci, Seattle, WA 98195 USA; [Todd, Claire E.] Pacific Lutheran Univ, Rieke Sci Ctr, Dept Geol Sci, Tacoma, WA 98447 USA</t>
  </si>
  <si>
    <t>University of Maine System; University of Maine Orono; University of Washington; University of Washington Seattle; Pacific Lutheran University</t>
  </si>
  <si>
    <t>Bromley, GRM (corresponding author), Univ Maine, Dept Earth Sci, Climate Change Inst, Edward T Bryand Global Sci Ctr, Orono, ME 04469 USA.</t>
  </si>
  <si>
    <t>gordon.bromley@umit.maine.edu</t>
  </si>
  <si>
    <t>Conway, Howard/0000-0003-4634-3474</t>
  </si>
  <si>
    <t>National Science Foundation [OPP-0229314]</t>
  </si>
  <si>
    <t>This project was supported by the Office of Polar Programs of the National Science Foundation (Grant number OPP-0229314). We received excellent logistical support from Raytheon Polar Services, Ken Borek Air, and the Air National Guard. Also, we are indebted to Maurice Conway for invaluable assistance in the field. Thoughtful comments by R. Ackert, Mike Bentley, and one anonymous reviewer greatly improved this article and are much appreciated.</t>
  </si>
  <si>
    <t>10.1016/j.quascirev.2009.07.001</t>
  </si>
  <si>
    <t>561FA</t>
  </si>
  <si>
    <t>WOS:000274960100002</t>
  </si>
  <si>
    <t>Charles, CD; Pahnke, K; Zahn, R; Mortyn, PG; Ninnemann, U; Hodell, DA</t>
  </si>
  <si>
    <t>Charles, Christopher D.; Pahnke, Katharina; Zahn, Rainer; Mortyn, P. G.; Ninnemann, Ulysses; Hodell, D. A.</t>
  </si>
  <si>
    <t>Millennial scale evolution of the Southern Ocean chemical divide</t>
  </si>
  <si>
    <t>DEEP-WATER; THERMOHALINE CIRCULATION; NORTHERN-HEMISPHERE; ATMOSPHERIC CO2; CLIMATE-CHANGE; INDIAN-OCEAN; ATLANTIC; CARBON; TEMPERATURE; VARIABILITY</t>
  </si>
  <si>
    <t>The chemical properties of the mid-depth and deep Southern Ocean are diagnostic of the mechanisms of abrupt changes in the global ocean throughout the late Pleistocene, because the regional water mass conversion and mixing help determine global ocean gradients. Here we define continuous time series of Southern Ocean vertical gradients by differencing the records from two high deposition rate deep sea sedimentary sequences that span the last several ice age cycles. The inferred changes in vertical carbon and oxygen isotopic gradients were dominated by variability on the millennial scale, and they followed closely the abrupt climate events of the high latitude Northern Hemisphere. In particular, the stadial events of at least the last 200 kyr were characterized by enhanced mid-deep gradients in both delta C-13 (dissolved inorganic carbon) and delta O-18 (temperature). Interstadial events, conversely, featured reduced vertical gradients in both properties. The glacial terminations represented exceptions to this pattern of variability, as the vertical carbon isotopic gradient flattened dramatically at times of peak warmth in the Southern Ocean surface waters and with little or no corresponding change delta O-18 gradient. The available evidence suggests that properties of the upper layer of the Southern Ocean (Antarctic Intermediate Water) were influenced by an atmospherically mediated teleconnection to high latitude Northern Hemisphere. (C) 2009 Elsevier Ltd. All rights reserved.</t>
  </si>
  <si>
    <t>[Charles, Christopher D.] Univ Calif San Diego, Scripps Inst Oceanog, La Jolla, CA 92093 USA; [Pahnke, Katharina] Univ Hawaii, Dept Geol &amp; Geophys, Honolulu, HI 96822 USA; [Zahn, Rainer] ICREA, E-08193 Bellaterra, Spain; [Zahn, Rainer; Mortyn, P. G.] Univ Autonoma Barcelona, ICTA, Bellaterra 08193, Spain; [Mortyn, P. G.] Univ Autonoma Barcelona, Dept Geog, Bellaterra 08193, Spain; [Ninnemann, Ulysses] UIB, Bjerknes Ctr Clmate Res, N-5007 Bergen, Norway; [Hodell, D. A.] Univ Cambridge, Godwin Lab Paleoclimate Res, Cambridge CB2 3EQ, England</t>
  </si>
  <si>
    <t>University of California System; University of California San Diego; Scripps Institution of Oceanography; University of Hawaii System; ICREA; Autonomous University of Barcelona; Autonomous University of Barcelona; Bjerknes Centre for Climate Research; University of Bergen; University of Cambridge</t>
  </si>
  <si>
    <t>Charles, CD (corresponding author), Univ Calif San Diego, Scripps Inst Oceanog, La Jolla, CA 92093 USA.</t>
  </si>
  <si>
    <t>ccharles@ucsd.edu</t>
  </si>
  <si>
    <t>Mortyn, P. Graham/I-3860-2015</t>
  </si>
  <si>
    <t>Mortyn, P. Graham/0000-0002-9473-4309; Pahnke, Katharina/0000-0001-9114-8411; Hodell, David/0000-0001-8537-1588</t>
  </si>
  <si>
    <t>NSF; Ocean Drilling Program; ICREA Funding Source: Custom</t>
  </si>
  <si>
    <t>NSF(National Science Foundation (NSF)); Ocean Drilling Program(National Science Foundation (NSF)NSF - Directorate for Geosciences (GEO)); ICREA(ICREA)</t>
  </si>
  <si>
    <t>This work was an outgrowth of projects supported previously by NSF and the Ocean Drilling Program (grants to CDC and DAH). We thank numerous colleagues for discussion, including Ralph Keeling, Jess Adkins and Jeff Severinghaus. We also thank Robbie Toggweiler and an anonymous reviewer for their especially helpful comments on an earlier draft.</t>
  </si>
  <si>
    <t>10.1016/j.quascirev.2009.09.021</t>
  </si>
  <si>
    <t>WOS:000274960100003</t>
  </si>
  <si>
    <t>Siddall, M; Kaplan, MR; Schaefer, JM; Putnam, A; Kelly, MA; Goehring, B</t>
  </si>
  <si>
    <t>Siddall, Mark; Kaplan, Mike R.; Schaefer, Joerg M.; Putnam, Aaron; Kelly, Meredith A.; Goehring, Brent</t>
  </si>
  <si>
    <t>Changing influence of Antarctic and Greenlandic temperature records on sea-level over the last glacial cycle</t>
  </si>
  <si>
    <t>SCALE CLIMATE-CHANGE; CORAL-REEF TERRACES; ICE-SHEET; EAST ANTARCTICA; HEMISPHERE; MAXIMUM; DURATION; CONSTRAINTS; VARIABILITY; DYNAMICS</t>
  </si>
  <si>
    <t>We use a simple model to analyse the relationship between ice core temperature proxy data and global ice volume/eustatic sea-level data over the last glacial cycle (LGC). By allowing the temperature forcing to be a mix of Greenlandic and Antarctic signals we optimise the proportion of this mixing to fit sea-level data. We find that sea-level forcing is best represented by a mix of Antarctic and Greenlandic temperature signals through the whole glacial cycle. We suggest that a distinct bipolar switch occurs which links eustatic sea-level more closely with the Antarctic-like variability during the glacial period (MIS 4, 3 and 2) and more closely to the Greenland-like variability during the last termination (TI) and the interglacial periods (Holocene and MIS 5). This switch may be caused by the spatio-temporal distribution of ice sheet collapse perhaps linked to glacial to interglacial changes in deep water distribution in the ocean, which in turn drive changes in pole-ward heat and moisture transport. (C) 2009 Elsevier Ltd. All rights reserved.</t>
  </si>
  <si>
    <t>[Siddall, Mark] Univ Bristol, Dept Earth Sci, Bristol, Avon, England; [Kaplan, Mike R.; Schaefer, Joerg M.; Kelly, Meredith A.; Goehring, Brent] Columbia Univ, Lamont Doherty Geol Observ, Palisades, NY 10964 USA; [Putnam, Aaron] Univ Maine, Climate Change Inst, Orono, ME USA</t>
  </si>
  <si>
    <t>University of Bristol; Columbia University; University of Maine System; University of Maine Orono</t>
  </si>
  <si>
    <t>Siddall, M (corresponding author), Univ Bristol, Dept Earth Sci, Bristol, Avon, England.</t>
  </si>
  <si>
    <t>siddall@climate.unibe.ch</t>
  </si>
  <si>
    <t>IPO, PAGES/JXY-7546-2024; Kaplan, Michael R/D-4720-2011</t>
  </si>
  <si>
    <t>Goehring, Brent/0000-0001-6405-5156; Putnam, Aaron/0000-0002-5358-1473; Kelly, Meredith/0000-0001-8163-3907</t>
  </si>
  <si>
    <t>Lamont Doherty Earth Observatory; University of Bristol; PALSEA PAGES/IMAGES; Research Council UK fellowship</t>
  </si>
  <si>
    <t>Mark Siddall acknowledges support from Lamont Doherty Earth Observatory and the University of Bristol and the PALSEA PAGES/IMAGES working group. Mark Siddall is supported by a Research Council UK fellowship. Helpful suggestions from Thomas Stocker and John Shepherd have helped to form the ideas in this paper. An insightful and constructive review from Peter Clark was also very useful.</t>
  </si>
  <si>
    <t>10.1016/j.quascirev.2009.11.007</t>
  </si>
  <si>
    <t>WOS:000274960100004</t>
  </si>
  <si>
    <t>Winsborrow, MCM; Andreassen, K; Corner, GD; Laberg, JS</t>
  </si>
  <si>
    <t>Winsborrow, Monica C. M.; Andreassen, Karin; Corner, Geoffrey D.; Laberg, Jan Sverre</t>
  </si>
  <si>
    <t>Deglaciation of a marine-based ice sheet: Late Weichselian palaeo-ice dynamics and retreat in the southern Barents Sea reconstructed from onshore and offshore glacial geomorphology</t>
  </si>
  <si>
    <t>NORTH-ATLANTIC; CONTINENTAL-SHELF; MAXIMUM EXTENT; GROUNDING-LINE; STRATIGRAPHY; PLEISTOCENE; STREAMS; KARA; PALAEOGLACIOLOGY; SEDIMENTS</t>
  </si>
  <si>
    <t>Marine and terrestrial datasets (swath bathymetry, 2D and 3D seismic and remote sensing data) are used to map the megascale glacial geomorphology of the southern Barents Sea seafloor, northern Fennoscandia and the Kola Peninsula, giving new insights into the dynamics and behaviour of the Barents Sea Ice Sheet during retreat. The glacial geomorphology indicates clear spatial and temporal variations in ice dynamics, with evidence for both active ice streaming and frozen-bed conditions at the maximum and during deglaciation. A five-stage reconstruction of the Late Weichselian deglaciation is proposed. At the Late Weichselian maximum, ice covered the whole of the Barents Sea shelf and the configuration and dynamics of the ice sheet were controlled by the Bjornoyrenna (Bear Island Trough) Ice Stream. This was fed by source areas in the central and north-eastern Barents Sea and in the Fennoscandian mainland. Deglaciation was initiated along the western continental margin. Available dating results show that this occurred after 19 cal ka BP. The Bjornoyrenna Ice Stream retreated rapidly (ice margin retreat rates of similar to 275 m a(-1)), but was periodically grounded, as evidenced by a well-developed series of grounding zone wedges. This was followed by an advance of two short-lived ice streams from the eastern sector of the ice sheet into the south-western Barents Sea. These ice streams advanced and retreated very rapidly with no evidence for ice margin standstills. Correlation to dated cores suggests an age of around 16 000 cal ka BP for this readvance. The period of operation of these two ice streams was coincident with maximum ice extent along the eastern margin in Russia. The western Barents Sea ice margin then retreated onshore, with deglaciation continuing at a reduced rate. The initiation of deglaciation coincided with rising global eustatic sea level. Acceleration of calving, due to grounding line floatation rapidly opened up a major calving bay in Bjornoyrenna, encouraging rapid loss of the marine-based ice. The retreat rate stabilised only once the ice sheet retreated onshore, and calving ceased. We note that the observed pattern of rapid retreat, with high variability in ice streaming for the marine-based Barents Sea Ice Sheet, is similar to that of the marine-based sectors of the Late Weichselian British, Laurentide and West Antarctic Ice Sheets. (C) 2009 Elsevier Ltd. All rights reserved.</t>
  </si>
  <si>
    <t>[Winsborrow, Monica C. M.; Andreassen, Karin; Corner, Geoffrey D.; Laberg, Jan Sverre] Univ Tromso, Dept Geol, N-9037 Tromso, Norway</t>
  </si>
  <si>
    <t>UiT The Arctic University of Tromso</t>
  </si>
  <si>
    <t>Winsborrow, MCM (corresponding author), Univ Tromso, Dept Geol, Dramsveien 201, N-9037 Tromso, Norway.</t>
  </si>
  <si>
    <t>monica.winsborrow@uit.no; karin.andreassen@uit.no; geoff.corner@uit.no; jan.laberg@uit.no</t>
  </si>
  <si>
    <t>Andreassen, Karin/0000-0002-9407-526X; Winsborrow, Monica/0000-0001-5950-1254</t>
  </si>
  <si>
    <t>Research Council of Norway (NFR); StatoilHydro</t>
  </si>
  <si>
    <t>Research Council of Norway (NFR)(Research Council of Norway); StatoilHydro</t>
  </si>
  <si>
    <t>We are grateful to the Norwegian Petroleum Directorate for funding the position of M. Winsborrow (project: Glaciations in the Barents Sea). We thank Clas Hattestrand for providing digital copies of the mapping he and Chris Clark carried out in Kola Peninsula. This is a contribution to the Petromax Programs: 'Ice ages: subsidence, uplift and tilting of traps - the influence on petroleum systems (GLACIPET)' and 'Depositional model of Cenozoic sandy systems (DEMOCEN)' funded by the Research Council of Norway (NFR) and StatoilHydro. Thanks also to the GLACIPET project members for extremely helpful discussions which improved the reconstruction presented here and Lilja Run Bjarnadottir for help in the field. We thank the editor Neil Glasser, and two anonymous referees for their helpful comments which improved this paper.</t>
  </si>
  <si>
    <t>10.1016/j.quascirev.2009.10.001</t>
  </si>
  <si>
    <t>WOS:000274960100005</t>
  </si>
  <si>
    <t>Rees, ABH; Cwynar, LC</t>
  </si>
  <si>
    <t>Rees, Andrew B. H.; Cwynar, Les C.</t>
  </si>
  <si>
    <t>Evidence for early postglacial warming in Mount Field National Park, Tasmania</t>
  </si>
  <si>
    <t>NEW-ZEALAND; YOUNGER DRYAS; VEGETATION HISTORY; SOUTHWEST PACIFIC; LATE PLEISTOCENE; CLIMATE-CHANGE; HOLOCENE; OCEAN; CHIRONOMIDAE; TEMPERATURE</t>
  </si>
  <si>
    <t>Situated between the Western Pacific Warm Pool to the north and Antarctica to the south, Tasmania is an ideal location to study both postglacial and Holocene paleoclimates. Few well-dated, quantitative temperature reconstructions exist for the region so that important questions about the occurrence and magnitude of events, such as the Antarctic Cold Reversal and Younger Dryas, in Tasmania remain unanswered. Here, we provide chironomid-based reconstructions of temperature of the warmest quarter (TWARM) for two small subalpine lakes, Eagle and Platypus Tarns, Mount Field National Park. Shortly after deglaciation, TWARM reached modern values by approximately 15 000 cal a BP and remained high until 13 000 cal a BP after which temperatures began to cool steadily, reaching a minimum by 11 100-10 000 cal a BP. These results are consistent with sea surface temperature (SST) reconstructions from south of Tasmania but are in stark contrast to temperature inferences drawn from vegetation reconstructions based on pollen data that indicate cool initial temperatures followed by a broad warm period between 11 600-6800 cal a BP (10 000-6000 C-14 a BP). The chironomid record broadly matches the summer insolation curve whereas the vegetation record and associated climate inferences mirror winter insolation. The Antarctic Cold Reversal and Younger Dryas cold events are not evident in the chironomid-inferred temperatures, but the Antarctic Cold Reversal is evident in the loss-on-ignition curves. (C) 2009 Elsevier Ltd. All rights reserved.</t>
  </si>
  <si>
    <t>[Rees, Andrew B. H.; Cwynar, Les C.] Univ New Brunswick, Dept Biol, Fredericton, NB E3B 5A3, Canada</t>
  </si>
  <si>
    <t>University of New Brunswick</t>
  </si>
  <si>
    <t>Rees, ABH (corresponding author), Univ New Brunswick, Dept Biol, POB 4400, Fredericton, NB E3B 5A3, Canada.</t>
  </si>
  <si>
    <t>a.rees@unb.ca; cwynar@unb.ca</t>
  </si>
  <si>
    <t>Cwynar, Les C/I-4214-2012; Rees, Andrew/Q-1417-2017</t>
  </si>
  <si>
    <t>Rees, Andrew/0000-0003-4026-7765</t>
  </si>
  <si>
    <t>Natural Sciences and Engineering Research Council of Canada (NSERC) Discovery</t>
  </si>
  <si>
    <t>Natural Sciences and Engineering Research Council of Canada (NSERC) Discovery(Natural Sciences and Engineering Research Council of Canada (NSERC))</t>
  </si>
  <si>
    <t>We would like to thank Rob Wiltshire and Marian McGowen for their incredible hospitality, along with Greg Jordan for logistical input; Eric Colhoun and G. Jordan for valuable comments on an early draft of this paper; the Department of Primary Industries, Water and Environment (DPIWE) for providing lake sampling permits; Fonya Irvine for field assistance; Joshua Kurek and Stefan Engels for statistical advice; TASMAP, (C) State of Tasmania, for providing map data; and two anonymous reviewers who provided helpful comments and insights. This project was supported by a Natural Sciences and Engineering Research Council of Canada (NSERC) Discovery Grant to L.C. Cwynar and an NSERC Postgraduate scholarship to A. Rees.</t>
  </si>
  <si>
    <t>10.1016/j.quascirev.2009.10.003</t>
  </si>
  <si>
    <t>WOS:000274960100006</t>
  </si>
  <si>
    <t>Zvyagintsev, AM; Ivanova, NS; Kruchenitskii, GM; Artamonova, AA; Romanyuk, YO</t>
  </si>
  <si>
    <t>Zvyagintsev, A. M.; Ivanova, N. S.; Kruchenitskii, G. M.; Artamonova, A. A.; Romanyuk, Ya. O.</t>
  </si>
  <si>
    <t>Ozone Content over the Russian Federation in 2009</t>
  </si>
  <si>
    <t>RUSSIAN METEOROLOGY AND HYDROLOGY</t>
  </si>
  <si>
    <t>The review is compiled based on the results of the operation of the total ozone (TO) monitoring system in the CIS and Baltic countries, functioning in the operational regime at the Central Aerological Observatory (CAO). The monitoring system uses the data from the national network of filter ozonometers, M-124 type under supervision of the Main Geophysical Observatory (MGO). The proper operation of the entire system is under an operational control from observations with the OMI satellite equipment (US NASA). Basic TO observation data for each month of the fourth quarter of 2009 and for the quarter and the year as a whole are generalized. The data on the development of the Spring Antarctic Ozone Anomaly are presented. The results of regular observations of the surface ozone in the Moscow region and in Kiev are considered.</t>
  </si>
  <si>
    <t>[Zvyagintsev, A. M.; Ivanova, N. S.; Kruchenitskii, G. M.] Cent Aerol Observ, Dolgoprudnyi 141700, Moscow Oblast, Russia; [Artamonova, A. A.] Hydrometeorol Res Ctr Russian Federat, Moscow 123242, Russia; [Romanyuk, Ya. O.] Natl Acad Sci Ukraine, Main Astron Observ, UA-03630 Kiev, Ukraine</t>
  </si>
  <si>
    <t>National Academy of Sciences Ukraine; Main Astronomical Observatory of NASU</t>
  </si>
  <si>
    <t>Zvyagintsev, AM (corresponding author), Cent Aerol Observ, Pervomaiskaya Ul 3, Dolgoprudnyi 141700, Moscow Oblast, Russia.</t>
  </si>
  <si>
    <t>Romanyuk, Yaroslav O/A-9668-2019</t>
  </si>
  <si>
    <t>Russian Foundation for Basic Research [08-05-90449, 08-05-13545-ofi_ts]</t>
  </si>
  <si>
    <t>The work was partly supported by the Russian Foundation for Basic Research (projects Nos. 08-05-90449, 08-05-13545-ofi_ts).</t>
  </si>
  <si>
    <t>1068-3739</t>
  </si>
  <si>
    <t>1934-8096</t>
  </si>
  <si>
    <t>RUSS METEOROL HYDRO+</t>
  </si>
  <si>
    <t>Russ. Meteorol. Hydrol.</t>
  </si>
  <si>
    <t>10.3103/S1068373910020111</t>
  </si>
  <si>
    <t>607BE</t>
  </si>
  <si>
    <t>WOS:000278472500011</t>
  </si>
  <si>
    <t>Turpaeva, EP</t>
  </si>
  <si>
    <t>Turpaeva, E. P.</t>
  </si>
  <si>
    <t>SEA SPIDERS (PYCNOGONIDA) OF THE FAMILIES DECOLOPODIDAE, AUSTRODECIDAE, AMMOTHEIDAE, ENDEIDAE, RHINCHOTORACIDAE AND PYCNOGONIDAE FROM NORTHERN AREAS OF THE WEDDELL SEA</t>
  </si>
  <si>
    <t>ZOOLOGICHESKY ZHURNAL</t>
  </si>
  <si>
    <t>Russian</t>
  </si>
  <si>
    <t>Eleven rare species of pycnogonids were described from the northeastern and northwestern parts of the Weddell Sea during expeditions of R/V Polarstern in 1996 and 2000. All of these species are endemic for antarctic and subantarctic areas. The majority of the species are circumpolar sublittoral forms. Seven species occur near islands of the South Atlantic and in the southern part of the Indian Ocean. Austrodecus glaciate, Austroraptus juvenilis, A. praecox and Pycnogonum gaini are redescribed.</t>
  </si>
  <si>
    <t>Russian Acad Sci, Inst Oceanol, Moscow 117997, Russia</t>
  </si>
  <si>
    <t>Russian Academy of Sciences</t>
  </si>
  <si>
    <t>Turpaeva, EP (corresponding author), Russian Acad Sci, Inst Oceanol, Moscow 117997, Russia.</t>
  </si>
  <si>
    <t>korczak@list.ru</t>
  </si>
  <si>
    <t>MEZHDUNARODNAYA KNIGA</t>
  </si>
  <si>
    <t>39 DIMITROVA UL., 113095 MOSCOW, RUSSIA</t>
  </si>
  <si>
    <t>0044-5134</t>
  </si>
  <si>
    <t>ZOOL ZH</t>
  </si>
  <si>
    <t>Zool. Zhurnal</t>
  </si>
  <si>
    <t>607PL</t>
  </si>
  <si>
    <t>WOS:000278518100002</t>
  </si>
  <si>
    <t>Simon, JI; DePaolo, DJ</t>
  </si>
  <si>
    <t>Simon, Justin I.; DePaolo, Donald J.</t>
  </si>
  <si>
    <t>Stable calcium isotopic composition of meteorites and rocky planets</t>
  </si>
  <si>
    <t>formation of rocky planets; meteorites; Ca isotopes; non-equilibrium condensation; isotope fractionation</t>
  </si>
  <si>
    <t>MURCHISON CARBONACEOUS CHONDRITE; SOLAR-SYSTEM MATERIALS; RARE-EARTH-ELEMENTS; REFRACTORY INCLUSIONS; ENSTATITE CHONDRITES; PROTOPLANETARY DISK; HIBONITE GRAINS; RICH INCLUSIONS; MC-ICPMS; FRACTIONATION</t>
  </si>
  <si>
    <t>New measurements of mass-dependent calcium isotope effects in meteorites, lunar and terrestrial samples show that Earth, Moon, Mars, and differentiated asteroids (e.g., 4-Vesta and the angrite and aubrite parent bodies) are indistinguishable from primitive ordinary chondritic meteorites at our current analytical resolution (+/-0.07 parts per thousand SD for the Ca-44/Ca-40 ratio). In contrast, enstatite chondritic meteorites are slightly enriched in heavier calcium isotopes (ca. +0.5 parts per thousand) and primitive carbonaceous chondritic meteorites are depleted in heavier calcium isotopes (ca. - 0.5 parts per thousand). The calcium isotope effects cannot be easily ascribed to evaporation or intraplanetary differentiation processes. The isotopic variations probably survive from the earliest stages of nebular condensation, and indicate that condensation occurred under non-equilibrium (undercooled nebular gas) conditions. Some of this early high-temperature calcium isotope heterogeneity is recorded by refractory inclusions (Niederer and Papanastassiou, 1984) and survived in planetesimals, but virtually none of it survived through terrestrial planet accretion. The new calcium isotope data suggest that ordinary chondrites are representative of the bulk of the refractory materials that formed the terrestrial planets; enstatite and carbonaceous chondrites are not. The enrichment of light calcium isotopes in bulk carbonaceous chondrites implies that their compositions are not fully representative of the solar nebula condensable fraction. (C) 2009 Elsevier B.V. All rights reserved.</t>
  </si>
  <si>
    <t>[Simon, Justin I.; DePaolo, Donald J.] Univ Calif Berkeley, Dept Earth &amp; Planetary Sci, Ctr Isotope Geochem, Berkeley, CA 94720 USA; [Simon, Justin I.] Berkeley Geochronol Ctr, Berkeley, CA 94709 USA; [DePaolo, Donald J.] EO Lawrence Berkeley Natl Lab, Div Earth Sci, Berkeley, CA 94720 USA</t>
  </si>
  <si>
    <t>University of California System; University of California Berkeley; Berkeley Geochronolgy Center; United States Department of Energy (DOE); Lawrence Berkeley National Laboratory</t>
  </si>
  <si>
    <t>Simon, JI (corresponding author), Univ Calif Berkeley, Dept Earth &amp; Planetary Sci, Ctr Isotope Geochem, Berkeley, CA 94720 USA.</t>
  </si>
  <si>
    <t>simon@eps.berkeley.edu</t>
  </si>
  <si>
    <t>Simon, Justin/D-7015-2011; DePaolo, Donald James/ISU-7105-2023</t>
  </si>
  <si>
    <t>NASA Astrobiology Institute [NAI02-0024-0006]; NSF [EAR0408521]</t>
  </si>
  <si>
    <t>NASA Astrobiology Institute; NSF(National Science Foundation (NSF))</t>
  </si>
  <si>
    <t>M. Rutherford and L. Borg generously provided unused, partially processed lunar materials. The Antarctic Meteorite Working Group is thanked for giving us part of the Martian meteorite ALH84001. Other meteorite samples were kindly provided by J. Wasson, L. Borg, M. Kennedy, K. Nishiizumi, and E. Young, as was a sample of Central American arc basalt, by M. Carr. We are grateful to J. Cuzzi for helpful discussions concerning dynamical disk mechanisms in the protoplanetary nebula. We thank S. Brown and T. Owens for sharing their analytical expertise and D. Ebel for providing us results from his VAPORS code. The careful and helpful comments of reviewers A. Davis, D. Papanastassiou, and T. Ireland and Editor R. Carlson are gratefully acknowledged. This research was supported by a NASA Astrobiology Institute grant (BioMARS; NAI02-0024-0006) and the Petrology and Geochemistry program of NSF (EAR0408521).</t>
  </si>
  <si>
    <t>JAN 31</t>
  </si>
  <si>
    <t>10.1016/j.epsl.2009.11.035</t>
  </si>
  <si>
    <t>553FH</t>
  </si>
  <si>
    <t>WOS:000274351000013</t>
  </si>
  <si>
    <t>Bromirski, PD; Sergienko, OV; MacAyeal, DR</t>
  </si>
  <si>
    <t>Bromirski, Peter D.; Sergienko, Olga V.; MacAyeal, Douglas R.</t>
  </si>
  <si>
    <t>Transoceanic infragravity waves impacting Antarctic ice shelves</t>
  </si>
  <si>
    <t>0.005-0.05 HZ MOTIONS; OCEAN WAVES; ICEBERGS; TSUNAMIS</t>
  </si>
  <si>
    <t>Long-period oceanic infragravity (IG) waves (ca. [250, 50] s period) are generated along continental coastlines by nonlinear wave interactions of storm-forced shoreward propagating swell. Seismic observations on the Ross Ice Shelf show that free IG waves generated along the Pacific coast of North America propagate transoceanically to Antarctica, where they induce a much higher amplitude shelf response than ocean swell (ca. [30, 12] s period). Additionally, unlike ocean swell, IG waves are not significantly damped by sea ice, and thus impact the ice shelf throughout the year. The response of the Ross Ice Shelf to IG-wave induced flexural stresses is more than 60 dB greater than concurrent ground motions measured at nearby Scott Base. This strong coupling suggests that IG-wave forcing may produce ice-shelf fractures that enable abrupt disintegration of ice shelves that are also affected by strong surface melting. Bolstering this hypothesis, each of the 2008 breakup events of the Wilkins Ice Shelf coincides with wave-model-estimated arrival of IG-wave energy from the Patagonian coast. Citation: Bromirski, P. D., O. V. Sergienko, and D. R. MacAyeal (2010), Transoceanic infragravity waves impacting Antarctic ice shelves, Geophys. Res. Lett., 37, L02502, doi:10.1029/2009GL041488.</t>
  </si>
  <si>
    <t>[Bromirski, Peter D.] Univ Calif San Diego, Scripps Inst Oceanog, La Jolla, CA 92093 USA; [MacAyeal, Douglas R.] Univ Chicago, Dept Geophys Sci, Chicago, IL 60637 USA; [Sergienko, Olga V.] Princeton Univ, AOS Program, Princeton, NJ 08540 USA</t>
  </si>
  <si>
    <t>University of California System; University of California San Diego; Scripps Institution of Oceanography; University of Chicago; Princeton University</t>
  </si>
  <si>
    <t>Bromirski, PD (corresponding author), Univ Calif San Diego, Scripps Inst Oceanog, La Jolla, CA 92093 USA.</t>
  </si>
  <si>
    <t>pbromirski@ucsd.edu</t>
  </si>
  <si>
    <t>Sergienko, Olga/HII-8500-2022</t>
  </si>
  <si>
    <t>Sergienko, Olga/0000-0002-5764-8815; MacAyeal, Douglas/0000-0003-0647-6176</t>
  </si>
  <si>
    <t>California Department of Boating and Waterways; NSF [OPP-0838811, OPP-0229546]; AOS of Princeton University</t>
  </si>
  <si>
    <t>California Department of Boating and Waterways; NSF(National Science Foundation (NSF)); AOS of Princeton University</t>
  </si>
  <si>
    <t>The California Department of Boating and Waterways provided funding support for Bromirski. Sergienko is supported by NSF grant OPP-0838811 and by a fellowship from the AOS of Princeton University. We thank Ron Flick, Myrl Hendershott, and Bob Guza for helpful IG wave discussions and Ralph Stephen and Barbara Romanowicz for seismology related comments. The RIS2 data were collected under NSF grant OPP-0229546 and were downloaded from the IRIS DMC archives. We thank the referees for their helpful comments.</t>
  </si>
  <si>
    <t>JAN 29</t>
  </si>
  <si>
    <t>L02502</t>
  </si>
  <si>
    <t>10.1029/2009GL041488</t>
  </si>
  <si>
    <t>550KI</t>
  </si>
  <si>
    <t>WOS:000274126300005</t>
  </si>
  <si>
    <t>Frank, DC; Esper, J; Raible, CC; Büntgen, U; Trouet, V; Stocker, B; Joos, F</t>
  </si>
  <si>
    <t>Frank, David C.; Esper, Jan; Raible, Christoph C.; Buentgen, Ulf; Trouet, Valerie; Stocker, Benjamin; Joos, Fortunat</t>
  </si>
  <si>
    <t>Ensemble reconstruction constraints on the global carbon cycle sensitivity to climate</t>
  </si>
  <si>
    <t>NORTHERN-HEMISPHERE TEMPERATURES; ATMOSPHERIC CO2; LAST MILLENNIUM; ANTARCTIC ICE; FEEDBACKS; COMMITMENTS; RESOLUTION; HOLOCENE; CORE</t>
  </si>
  <si>
    <t>The processes controlling the carbon flux and carbon storage of the atmosphere, ocean and terrestrial biosphere are temperature sensitive(1-4) and are likely to provide a positive feedback leading to amplified anthropogenic warming(3). Owing to this feedback, at time-scales ranging from interannual to the 20-100-kyr cycles of Earth's orbital variations(1,5-7), warming of the climate system causes a net release of CO2 into the atmosphere; this in turn amplifies warming. But the magnitude of the climate sensitivity of the global carbon cycle (termed gamma), and thus of its positive feedback strength, is under debate, giving rise to large uncertainties in global warming projections(8,9). Here we quantify the median gamma as 7.7 p. p. m. v. CO2 per degrees C warming, with a likely range of 1.7-21.4 p. p. m. v. CO2 per degrees C. Sensitivity experiments exclude significant influence of pre-industrial land-use change on these estimates. Our results, based on the coupling of a probabilistic approach with an ensemble of proxy-based temperature reconstructions and pre-industrial CO2 data from three ice cores, provide robust constraints for gamma on the policy-relevant multi-decadal to centennial timescales. By using an ensemble of &gt;200,000 members, quantification of gamma is not only improved, but also likelihoods can be assigned, thereby providing a benchmark for future model simulations. Although uncertainties do not at present allow exclusion of gamma calculated from any of ten coupled carbon-climate models, we find that gamma is about twice as likely to fall in the lowermost than in the uppermost quartile of their range. Our results are incompatibly lower (P &lt; 0.05) than recent pre-industrial empirical estimates of similar to 40 p. p. m. v. CO2 per degrees C (refs 6, 7), and correspondingly suggest similar to 80% less potential amplification of ongoing global warming.</t>
  </si>
  <si>
    <t>[Frank, David C.; Buentgen, Ulf; Trouet, Valerie] Swiss Fed Res Inst WSL, CH-8903 Birmensdorf, Switzerland; [Frank, David C.; Raible, Christoph C.; Stocker, Benjamin; Joos, Fortunat] Univ Bern, Oeschger Ctr Climate Change Res, CH-3012 Bern, Switzerland; [Esper, Jan] Johannes Gutenberg Univ Mainz, Dept Geog, D-55099 Mainz, Germany; [Raible, Christoph C.; Stocker, Benjamin; Joos, Fortunat] Univ Bern, Inst Phys, CH-3012 Bern, Switzerland</t>
  </si>
  <si>
    <t>Swiss Federal Institutes of Technology Domain; Swiss Federal Institute for Forest, Snow &amp; Landscape Research; University of Bern; Johannes Gutenberg University of Mainz; University of Bern</t>
  </si>
  <si>
    <t>Frank, DC (corresponding author), Swiss Fed Res Inst WSL, Zurcherstr 111, CH-8903 Birmensdorf, Switzerland.</t>
  </si>
  <si>
    <t>david.frank@wsl.ch</t>
  </si>
  <si>
    <t>Trouet, Valerie/AAE-4888-2021; buentgen, ulf/J-6952-2013; Joos, Fortunat/B-4118-2018; Stocker, Benjamin David/K-3194-2015; Frank, David/C-7764-2013; Raible, Christoph/M-8309-2016; Esper, Jan/O-3127-2018</t>
  </si>
  <si>
    <t>Joos, Fortunat/0000-0002-9483-6030; Stocker, Benjamin David/0000-0003-2697-9096; Frank, David/0000-0001-5463-5640; Raible, Christoph/0000-0003-0176-0602; Trouet, Valerie/0000-0002-2683-8704; Esper, Jan/0000-0003-3919-014X</t>
  </si>
  <si>
    <t>Swiss National Science Foundation (NCCR-Climate); European Union [226701, 017008]</t>
  </si>
  <si>
    <t>Swiss National Science Foundation (NCCR-Climate)(Swiss National Science Foundation (SNSF)); European Union(European Union (EU))</t>
  </si>
  <si>
    <t>We thank P. Friedlingstein, R. Knutti and T. Stocker for comments, the C4MIP consortium for use of their model output, and the Swiss National Science Foundation (NCCR-Climate) and the European Union projects Carbo-Extreme (226701) and Millennium (017008) for funding.</t>
  </si>
  <si>
    <t>1476-4687</t>
  </si>
  <si>
    <t>JAN 28</t>
  </si>
  <si>
    <t>U143</t>
  </si>
  <si>
    <t>10.1038/nature08769</t>
  </si>
  <si>
    <t>548QK</t>
  </si>
  <si>
    <t>WOS:000273981100048</t>
  </si>
  <si>
    <t>Miller, SR; Fitzgerald, PG; Baldwin, SL</t>
  </si>
  <si>
    <t>Miller, Scott R.; Fitzgerald, Paul G.; Baldwin, Suzanne L.</t>
  </si>
  <si>
    <t>Cenozoic range-front faulting and development of the Transantarctic Mountains near Cape Surprise, Antarctica: Thermochronologic and geomorphologic constraints</t>
  </si>
  <si>
    <t>TECTONICS</t>
  </si>
  <si>
    <t>NORTHERN VICTORIA-LAND; TRACK ANNEALING KINETICS; MARIE-BYRD-LAND; SHACKLETON-GLACIER AREA; SIRIUS GROUP STRATA; ROSS SEA RIFT; FISSION-TRACK; DRY VALLEYS; WEST ANTARCTICA; ICE-SHEET</t>
  </si>
  <si>
    <t>The Transantarctic Mountains (TAM) define the western flank of the West Antarctic rift system. Cape Surprise, near the Shackleton Glacier in the central TAM, is the only location along the range's &gt;3500 km length where upper Paleozoic Beacon Supergroup strata are down-faulted to near sea level. Previous studies have inferred a range front master normal fault accommodates extension and rock uplift across the TAM front in this region. The history of rock uplift is debated, suggested as early as Mesozoic, typically Cenozoic, or even Pliocene or younger. Structural observations, apatite fission track (AFT) thermochronology, and geomorphologic mapping undertaken within the TAM front east of the Shackleton Glacier indicate extension, faulting, and denudation was mostly late Eocene-late Oligocene and likely into the early Miocene. An exhumed AFT partial annealing zone is found at the coast and traced &gt;50 km inland. The base of that exhumed partial annealing zone indicates denudation accelerated at similar to 40 Ma near the coast and at 30-35 Ma on the inland side of the TAM front. Vertically offset AFT isochrones across the TAM front reveal a step-faulted architecture rather than a single master fault. The cumulative vertical offset of the 55 Ma isochrone is 2.3-2.7 km, compared to 2.4-2.6 km offset of Beacon strata, indicating that all significant normal faulting is Cenozoic, and not related to Mesozoic extension within the West Antarctic rift system. Denudation from &lt;26 Ma to similar to 14 Ma produced a locally preserved erosion surface within the TAM front. Erosion surface remnants indicate the TAM front has undergone minimal internal deformation and only 290-790 m of surface uplift along offshore faults since the middle Miocene. Citation: Miller, S. R., P. G. Fitzgerald, and S. L. Baldwin (2010), Cenozoic range-front faulting and development of the Transantarctic Mountains near Cape Surprise, Antarctica: Thermochronologic and geomorphologic constraints, Tectonics, 29, TC1003, doi:10.1029/2009TC002457.</t>
  </si>
  <si>
    <t>[Miller, Scott R.; Fitzgerald, Paul G.; Baldwin, Suzanne L.] Syracuse Univ, Dept Earth Sci, Syracuse, NY 13244 USA</t>
  </si>
  <si>
    <t>Syracuse University</t>
  </si>
  <si>
    <t>Miller, SR (corresponding author), Syracuse Univ, Dept Earth Sci, Syracuse, NY 13244 USA.</t>
  </si>
  <si>
    <t>srmill02@syr.edu</t>
  </si>
  <si>
    <t>U.S. National Science Foundation [OPP93-16720]</t>
  </si>
  <si>
    <t>We thank P. O'Sullivan for his contributions to generating AFT data while a research associate at Syracuse University, some of which are part of this paper. Graeme Dingle's assistance in the field was invaluable. We also thank Antarctic Support Associates, Helicopters New Zealand, Ken Borek Air, and U. S. Navy Squadron VXE-6 for logistical and field support. Comments from B. Wilkinson, D. Elliot, Associate Editor P. Kapp, and an anonymous reviewer improved the manuscript. This work was supported by U.S. National Science Foundation grant OPP93-16720.</t>
  </si>
  <si>
    <t>0278-7407</t>
  </si>
  <si>
    <t>1944-9194</t>
  </si>
  <si>
    <t>Tectonics</t>
  </si>
  <si>
    <t>TC1003</t>
  </si>
  <si>
    <t>10.1029/2009TC002457</t>
  </si>
  <si>
    <t>550NC</t>
  </si>
  <si>
    <t>WOS:000274133700001</t>
  </si>
  <si>
    <t>Korhonen, H; Carslaw, KS; Forster, PM; Mikkonen, S; Gordon, ND; Kokkola, H</t>
  </si>
  <si>
    <t>Korhonen, Hannele; Carslaw, Kenneth S.; Forster, Piers M.; Mikkonen, Santtu; Gordon, Neil D.; Kokkola, Harri</t>
  </si>
  <si>
    <t>Aerosol climate feedback due to decadal increases in Southern Hemisphere wind speeds</t>
  </si>
  <si>
    <t>MICROPHYSICS; MODEL</t>
  </si>
  <si>
    <t>Observations indicate that the westerly jet in the Southern Hemisphere troposphere is accelerating. Using a global aerosol model we estimate that the increase in wind speed of 0.45 + /- 0.2 m s(-1) decade(-1) at 50-65 degrees S since the early 1980s caused a higher sea spray flux, resulting in an increase of cloud condensation nucleus concentrations of more than 85% in some regions, and of 22% on average between 50 and 65 degrees S. These fractional increases are similar in magnitude to the decreases over many northern hemisphere land areas due to changes in air pollution over the same period. The change in cloud drop concentrations causes an increase in cloud reflectivity and a summertime radiative forcing between at 50 and 65 degrees S comparable in magnitude but acting against that from greenhouse gas forcing over the same time period, and thus represents a substantial negative climate feedback. However, recovery of Antarctic ozone depletion in the next two decades will likely cause a fall in wind speeds, a decrease in cloud drop concentration and a correspondingly weaker cloud feedback. Citation: Korhonen, H., K. S. Carslaw, P. M. Forster, S. Mikkonen, N. D. Gordon, and H. Kokkola (2010), Aerosol climate feedback due to decadal increases in Southern Hemisphere wind speeds, Geophys. Res. Lett., 37, L02805, doi: 10.1029/2009GL041320.</t>
  </si>
  <si>
    <t>[Korhonen, Hannele; Mikkonen, Santtu] Univ Kuopio, Dept Phys, FI-70211 Kuopio, Finland; [Carslaw, Kenneth S.; Forster, Piers M.; Gordon, Neil D.] Univ Leeds, Sch Earth &amp; Environm, Leeds LS2 9JT, W Yorkshire, England; [Kokkola, Harri] Finnish Meteorol Inst, Kuopio Unit, FI-70211 Kuopio, Finland</t>
  </si>
  <si>
    <t>University of Eastern Finland; University of Leeds; Finnish Meteorological Institute</t>
  </si>
  <si>
    <t>Korhonen, H (corresponding author), Univ Kuopio, Dept Phys, POB 1627, FI-70211 Kuopio, Finland.</t>
  </si>
  <si>
    <t>hannele.korhonen@uef.fi</t>
  </si>
  <si>
    <t>Carslaw, Ken S/C-8514-2009; Forster, Piers/F-9829-2010; Korhonen, Hannele/E-4489-2011; Gordon, Neil/G-4268-2011; Kokkola, Harri/J-5993-2014; Mikkonen, Santtu/E-8568-2011</t>
  </si>
  <si>
    <t>Carslaw, Ken S/0000-0002-6800-154X; Forster, Piers/0000-0002-6078-0171; Kokkola, Harri/0000-0002-1404-6670; Mikkonen, Santtu/0000-0003-0595-0657</t>
  </si>
  <si>
    <t>UK Natural Environment Research Council; Academy of Finland Centre of Excellence programme; ESRC [ES/G021694/1] Funding Source: UKRI; NERC [NE/C001915/1, NE/E016189/1] Funding Source: UKRI; Economic and Social Research Council [ES/G021694/1] Funding Source: researchfish; Natural Environment Research Council [NE/C001915/1, NE/E016189/1] Funding Source: researchfish</t>
  </si>
  <si>
    <t>UK Natural Environment Research Council(UK Research &amp; Innovation (UKRI)Natural Environment Research Council (NERC)); Academy of Finland Centre of Excellence programme(Research Council of Finland); ESRC(UK Research &amp; Innovation (UKRI)Economic &amp; Social Research Council (ESRC)); NERC(UK Research &amp; Innovation (UKRI)Natural Environment Research Council (NERC)); Economic and Social Research Council(UK Research &amp; Innovation (UKRI)Economic &amp; Social Research Council (ESRC)); Natural Environment Research Council(UK Research &amp; Innovation (UKRI)Natural Environment Research Council (NERC))</t>
  </si>
  <si>
    <t>This work was funded by UK Natural Environment Research Council (UK-SOLAS programme) and Academy of Finland Centre of Excellence programme. We thank Dominick Spracklen and Stephen Arnold for useful discussions.</t>
  </si>
  <si>
    <t>JAN 27</t>
  </si>
  <si>
    <t>L02805</t>
  </si>
  <si>
    <t>10.1029/2009GL041320</t>
  </si>
  <si>
    <t>550KC</t>
  </si>
  <si>
    <t>WOS:000274125700001</t>
  </si>
  <si>
    <t>Dempsey, DE; Langhorne, PJ; Robinson, NJ; Williams, MJM; Haskell, TG; Frew, RD</t>
  </si>
  <si>
    <t>Dempsey, D. E.; Langhorne, P. J.; Robinson, N. J.; Williams, M. J. M.; Haskell, T. G.; Frew, R. D.</t>
  </si>
  <si>
    <t>Observation and modeling of platelet ice fabric in McMurdo Sound, Antarctica</t>
  </si>
  <si>
    <t>1ST-YEAR SEA-ICE; MARINE ICE; FRAZIL ICE; SNOW-COVER; SHELF; CRYSTALS; BELLINGSHAUSEN; ACCRETION; AMUNDSEN; DYNAMICS</t>
  </si>
  <si>
    <t>[1] During the annual growth of landfast ice in McMurdo Sound, Antarctica, an episodic flux of platelet ice crystals from the ocean contributes to the build up of a porous subice platelet layer, which is steadily incorporated into the sea ice cover as it thickens over winter. In November 2007, we examined the spatial variability of these processes by collecting sea ice cores, with simultaneous oceanographic observations, along an east-west transect in the sound. Previously identified draped and bladed platelet ice types were observed. In addition, we identify resumed columnar growth which appears to be a result of geometric selection from the subice platelet layer after the arrival of new platelet crystals from the ocean has ceased. A numerical model of mechanical platelet ice processes is developed that predicts crystal texture and c axis distributions, producing virtual incorporated platelet ice with known growth history. This model demonstrates how a disordered subice platelet layer arises from an initially flat interface and suggests that such a layer is more likely to form later in the growth season. The model also suggests how the grain boundary density in incorporated platelet ice responds to changes in the flux of loose platelet crystals from the ocean. Application of this result to our 2007 platelet ice observations indicates that sea ice in western McMurdo Sound is subject to larger and more persistent platelet fluxes than the ice in the east. This is consistent with the pattern of in situ supercooling just beneath the ocean surface.</t>
  </si>
  <si>
    <t>[Dempsey, D. E.; Langhorne, P. J.] Univ Otago, Dept Phys, Dunedin 9054, New Zealand; [Frew, R. D.] Univ Otago, Dept Chem, Dunedin 9054, New Zealand; [Haskell, T. G.] Ind Res Ltd, Lower Hutt 5040, New Zealand; [Robinson, N. J.; Williams, M. J. M.] Natl Inst Water &amp; Atmospher Res Ltd, Wellington 6022, New Zealand; [Robinson, N. J.] Univ Otago, Dept Marine Sci, Dunedin 9054, New Zealand</t>
  </si>
  <si>
    <t>University of Otago; University of Otago; Callaghan Innovation; National Institute of Water &amp; Atmospheric Research (NIWA) - New Zealand; University of Otago</t>
  </si>
  <si>
    <t>Dempsey, DE (corresponding author), Univ Otago, Dept Phys, POB 56, Dunedin 9054, New Zealand.</t>
  </si>
  <si>
    <t>pjl@physics.otago.ac.nz</t>
  </si>
  <si>
    <t>Robinson, Natalie J/I-4460-2015; Frew, Russell/I-5591-2012; Frew, Russell/HDN-6138-2022; Williams, Michael/H-9674-2014; Langhorne, Pat/C-3539-2018; Dempsey, David/B-9115-2015</t>
  </si>
  <si>
    <t>Frew, Russell/0000-0002-6138-2116; Langhorne, Pat/0000-0003-0239-7657; Dempsey, David/0000-0003-2135-5129</t>
  </si>
  <si>
    <t>Foundation for Research, Science and Technology Adaptation to Climate Variability and Change'' programme; University of Otago Postgraduate Award; New Zealand Post Antarctic Scholarship; National Institute of Water and Atmospheric Research Ltd; Industrial Research Ltd</t>
  </si>
  <si>
    <t>We are grateful to Craig Stevens, Craig Purdie, Alex Gough, Gerrard Liddell, and Yoshiki Kawano for insightful discussions and to two anonymous reviewers for their comments on an earlier draft of this manuscript. Logistics support in Antarctica was capably provided by Antarctica New Zealand, the staff at Scott Base, and Johno Leitch. This study was funded by the Foundation for Research, Science and Technology Adaptation to Climate Variability and Change'' programme, University of Otago Postgraduate Award, the New Zealand Post Antarctic Scholarship, National Institute of Water and Atmospheric Research Ltd., and Industrial Research Ltd.</t>
  </si>
  <si>
    <t>JAN 26</t>
  </si>
  <si>
    <t>C01007</t>
  </si>
  <si>
    <t>10.1029/2008JC005264</t>
  </si>
  <si>
    <t>550KZ</t>
  </si>
  <si>
    <t>WOS:000274128000001</t>
  </si>
  <si>
    <t>Stohl, A; Sodemann, H</t>
  </si>
  <si>
    <t>Stohl, A.; Sodemann, H.</t>
  </si>
  <si>
    <t>Characteristics of atmospheric transport into the Antarctic troposphere</t>
  </si>
  <si>
    <t>PARTICLE DISPERSION MODEL; 15-YEAR CLIMATOLOGY; TRACE-ELEMENTS; POLAR-REGIONS; BLACK CARBON; ICE; AEROSOL; TRAJECTORIES; SULFUR; DUST</t>
  </si>
  <si>
    <t>We have developed a 5.5 year climatology of atmospheric transport into the Antarctic troposphere, which uses the same data set and methods as described in a recent study for the Arctic. This allows direct comparisons of transport properties for the two polar regions. The climatology is based on a simulation with the Lagrangian particle dispersion model FLEXPART, where the model atmosphere was globally filled with particles. Transport characteristics as well as emission sensitivities were derived from 6 hourly particle positions. We found that the probability for near-surface air to originate from the stratosphere on a time scale of 10 days is an order of magnitude higher near the South Pole than near the North Pole, a result of higher topography and descent that partly compensates for the flow of air down the Antarctic Plateau with the katabatic winds. The stratospheric influence is largest in fall, which is opposite to the seasonality in the Arctic. Stratospheric influence is much smaller over the shelf ice regions and in a band around Antarctica. The average time for which air near the surface has been exposed to continuous darkness in July (continuous light in January) is longest over the Ronne Ice Shelf and Ross Ice Shelf at similar to 11 days (20 days). We calculated how sensitive Antarctic air masses are to emission input up to 30 days before arriving in Antarctica if removal processes are ignored. The emission sensitivity shows strong meridional gradients and, as a result, is generally low over South America, Africa, and Australia. For a 10 day time scale, the largest emission sensitivities over these continents are 1-2 orders of magnitude smaller than over Eurasia for transport to the Arctic, showing that foreign continents have a much smaller potential to pollute the Antarctic than the Arctic troposphere. Emission sensitivities and derived black carbon (BC) source contributions over South America, Africa, and Australia are substantially (a factor 10 for Africa) larger in winter than in summer. In winter, biomass burning contributes more BC than anthropogenic sources. For typical aerosol lifetimes of 5-10 days, ship emissions south of 60 degrees S account for half of the total BC concentrations in the lowest 1000 m of the atmosphere south of 70 degrees S in December. The increasing number of tourists visiting Antarctica and fishing vessels operating close to Antarctica are, therefore, a matter of concern.</t>
  </si>
  <si>
    <t>[Stohl, A.; Sodemann, H.] Norwegian Inst Air Res, Dept Reg &amp; Global Pollut Issues, N-2027 Kjeller, Norway</t>
  </si>
  <si>
    <t>NILU</t>
  </si>
  <si>
    <t>Stohl, A (corresponding author), Norwegian Inst Air Res, Dept Reg &amp; Global Pollut Issues, Inst Tveien 18, N-2027 Kjeller, Norway.</t>
  </si>
  <si>
    <t>ast@nilu.no</t>
  </si>
  <si>
    <t>Stohl, Andreas/A-7535-2008</t>
  </si>
  <si>
    <t>Stohl, Andreas/0000-0002-2524-5755</t>
  </si>
  <si>
    <t>POLARCAT; CLIMSLIP</t>
  </si>
  <si>
    <t>We appreciate the many comments provided by three reviewers, which helped us improve this manuscript. We thank ECMWF and met. no for access to the ECMWF archives. Funding for this study was provided by the Norwegian Research Council in the framework of POLARCAT and CLIMSLIP.</t>
  </si>
  <si>
    <t>JAN 23</t>
  </si>
  <si>
    <t>D02305</t>
  </si>
  <si>
    <t>10.1029/2009JD012536</t>
  </si>
  <si>
    <t>547PA</t>
  </si>
  <si>
    <t>WOS:000273900300003</t>
  </si>
  <si>
    <t>Teitler, L; Warnke, DA; Venz, KA; Hodell, DA; Becquey, S; Gersonde, R; Teitler, W</t>
  </si>
  <si>
    <t>Teitler, Lora; Warnke, Detlef A.; Venz, Kathryn A.; Hodell, David A.; Becquey, Sabine; Gersonde, Rainer; Teitler, Winston</t>
  </si>
  <si>
    <t>Determination of Antarctic Ice Sheet stability over the last ∼500 ka through a study of iceberg-rafted debris</t>
  </si>
  <si>
    <t>SOUTH ATLANTIC; SEA; RECORD; QUATERNARY; OCEAN; SEDIMENTS; DEPOSITS; COLLAPSE; CLIMATE; BAHAMAS</t>
  </si>
  <si>
    <t>We have analyzed ice-rafted debris (IRD) from the South Atlantic Ocean (similar to 43 degrees S, 9 degrees E) in order to investigate Antarctic Ice Sheet history during the late Pleistocene; the cores examined for this study include piston core TN057-6-PC4 and Ocean Drilling Program Leg 177 drill core Site 1090 (177-1090). Over the last 500 ka at this distal location, IRD arrived during both glacials and interglacials. IRD is present even during warmer intervals, is greatest during colder intervals, and is absent only during terminations and a few other brief intervals. Four different methods are used to normalize the IRD counts, which are then compared to support our interpretation. Several other high-quality climate proxies from this location also aid our interpretations. We conclude that sea surface temperatures are the primary control on the delivery of IRD to this site. During cold times more icebergs survived to reach this distal location. During warm times only a few of the largest icebergs could travel this far. Garnets found in these sediments suggest a likely East Antarctic origin for the IRD; the presence of garnets even during warm intervals further strongly supports that the iceberg source must be the East Antarctic Ice Sheet (EAIS). Therefore, the EAIS must have continued to reach the ocean at least in some part of its margin throughout the last 500 ka. On the other hand, we cannot specifically trace any IRD to the West Antarctic Ice Sheet (WAIS), so WAIS persistence cannot be tested. A particular radiolarian, identified as Dictyocoryne profunda (Ehrenberg) ( sensu Boltovskoy ( 1998)), shows up in the examined size fraction generally only during warm phases. We suggest that D. profunda is a sensitive indicator of warm water temperatures and that it deserves further study.</t>
  </si>
  <si>
    <t>[Teitler, Lora; Warnke, Detlef A.] Calif State Univ Hayward, Dept Earth &amp; Environm Sci, Hayward, CA 94542 USA; [Becquey, Sabine] Assoc OCEAN, F-33000 Bordeaux, France; [Venz, Kathryn A.; Hodell, David A.] Univ Florida, Dept Geol Sci, Gainesville, FL 32611 USA; [Gersonde, Rainer] Alfred Wegener Inst Polar &amp; Marine Res, D-27568 Bremerhaven, Germany; [Teitler, Winston] Univ Calif Berkeley, Space Sci Lab, Berkeley, CA 94720 USA</t>
  </si>
  <si>
    <t>California State University System; California State University East Bay; State University System of Florida; University of Florida; Helmholtz Association; Alfred Wegener Institute, Helmholtz Centre for Polar &amp; Marine Research; University of California System; University of California Berkeley</t>
  </si>
  <si>
    <t>Teitler, L (corresponding author), Calif State Univ Hayward, Dept Earth &amp; Environm Sci, 25800 Carlos Bee Blvd, Hayward, CA 94542 USA.</t>
  </si>
  <si>
    <t>lora.teitler@csueastbay.edu</t>
  </si>
  <si>
    <t>Hodell, David/0000-0001-8537-1588</t>
  </si>
  <si>
    <t>This research used samples and/or data provided by the Ocean Drilling Program (ODP). ODP is sponsored by the U.S. National Science Foundation (NSF) and participating countries under management of Joint Oceanographic Institutions, Inc. Any opinions, findings, and conclusions or recommendations expressed in this material are those of the authors and do not necessarily reflect the views of the NSF. This paper is dedicated to the memory of Detlef (Dietz) A. Warnke, who died October 2008. All those who have worked with Dietz, especially his many students, will long remember his gentle kindness, patience, and love of fun, in addition to his enormous breadth and depth of knowledge in the field of Earth sciences and his inspirational teaching.</t>
  </si>
  <si>
    <t>PA1202</t>
  </si>
  <si>
    <t>10.1029/2008PA001691</t>
  </si>
  <si>
    <t>547RS</t>
  </si>
  <si>
    <t>WOS:000273907400001</t>
  </si>
  <si>
    <t>Dziak, RP; Park, M; Lee, WS; Matsumoto, H; Bohnenstiehl, DR; Haxel, JH</t>
  </si>
  <si>
    <t>Dziak, Robert P.; Park, Minkyu; Lee, Won Sang; Matsumoto, Haru; Bohnenstiehl, DelWayne R.; Haxel, Joseph H.</t>
  </si>
  <si>
    <t>Tectonomagmatic activity and ice dynamics in the Bransfield Strait back-arc basin, Antarctica</t>
  </si>
  <si>
    <t>JOURNAL OF GEOPHYSICAL RESEARCH-SOLID EARTH</t>
  </si>
  <si>
    <t>WAVE DETECTION THRESHOLDS; SEA-FLOOR EVIDENCE; CRUSTAL STRUCTURE; DECEPTION-ISLAND; P-WAVE; RIFT; PROPAGATION; EVOLUTION; INSIGHTS; PACIFIC</t>
  </si>
  <si>
    <t>An array of moored hydrophones was used to monitor the spatiotemporal distribution of small- to moderate-sized earthquakes and ice-generated sounds within the Bransfield Strait, Antarctica. During a 2 year period, a total of 3900 earthquakes, 5925 icequakes and numerous ice tremor events were located throughout the region. The seismic activity included eight space-time earthquake clusters, positioned along the central neovolcanic rift zone of the young Bransfield back-arc basin. These sequences of small magnitude earthquakes, or swarms, suggest ongoing magmatic activity that becomes localized along isolated volcanic features and fissure-like ridges in the southwest portion of the basin. A total of 122 earthquakes were located along the South Shetland trench, indicating continued deformation and possibly ongoing subduction along this margin. The large number of icequakes observed show a temporal pattern related to seasonal freeze-thaw cycles and a spatial distribution consistent with channeling of sea ice along submarine canyons from glacier fronts. Several harmonic tremor episodes were sourced from a large (similar to 30 km(2)) iceberg that entered northeast portion of the basin. The spectral character of these signals suggests they were produced by either resonance of a small chamber of fluid within the iceberg, or more likely, due to periodicity of discrete stick-slip events caused by contact of the moving iceberg with the seafloor. These pressure waves appear to have been excited by abrasion of the iceberg along the seafloor as it passed Clarence and Elephant Islands.</t>
  </si>
  <si>
    <t>[Dziak, Robert P.; Matsumoto, Haru; Haxel, Joseph H.] Oregon State Univ, Cooperat Inst Marine Resources Studies, NOAA, Newport, OR 97365 USA; [Bohnenstiehl, DelWayne R.] N Carolina State Univ, Dept Marine Earth &amp; Atmospher Sci, Raleigh, NC 27695 USA; [Park, Minkyu; Lee, Won Sang] Korea Polar Res Inst, Polar Environm Res Div, Inchon 406840, South Korea</t>
  </si>
  <si>
    <t>National Oceanic Atmospheric Admin (NOAA) - USA; Oregon State University; North Carolina State University; Korea Polar Research Institute (KOPRI); Korea Institute of Ocean Science &amp; Technology (KIOST)</t>
  </si>
  <si>
    <t>Dziak, RP (corresponding author), Oregon State Univ, Cooperat Inst Marine Resources Studies, NOAA, Newport, OR 97365 USA.</t>
  </si>
  <si>
    <t>Dziak, Robert/AAC-6107-2020; Matsumoto, Haru/J-6812-2017</t>
  </si>
  <si>
    <t>Matsumoto, Haru/0000-0002-0202-4060</t>
  </si>
  <si>
    <t>Korea Ocean and Polar Research Institute; NOAA Ocean Exploration Program; KOPRI [PP08020, PM09030]</t>
  </si>
  <si>
    <t>Korea Ocean and Polar Research Institute; NOAA Ocean Exploration Program(National Oceanic Atmospheric Admin (NOAA) - USA); KOPRI(Korea Polar Research Institute of Marine Research Placement (KOPRI))</t>
  </si>
  <si>
    <t>The authors thank the captain and crew of the R/V Yuzhmorgeologiya and the captain and personnel of King Sejong Base, King George Island, Antarctica, for their support during staging and deployment of the hydrophone arrays. The authors also wish to thank B. Hanshumaker, T.-K. Lau, K. Stafford, S. Heimlich, M. Fowler, A. Young, and S. Yun for their at sea support and laboratory assistance. The authors owe special thanks to J.-H. Lee for his hard work during the first successful deployment/recovery in Antarctic waters, without which the hydrophone experiment could not begin. Also thanks to J. Hong for providing additional ship time during the hydrophone deployments and D. Mellinger for providing the Ishmael software. This project was made possible through support of the Korea Ocean and Polar Research Institute and the NOAA Ocean Exploration Program, PMEL contribution 3265, and KOPRI projects PP08020 and PM09030.</t>
  </si>
  <si>
    <t>2169-9313</t>
  </si>
  <si>
    <t>2169-9356</t>
  </si>
  <si>
    <t>J GEOPHYS RES-SOL EA</t>
  </si>
  <si>
    <t>J. Geophys. Res.-Solid Earth</t>
  </si>
  <si>
    <t>JAN 22</t>
  </si>
  <si>
    <t>B01102</t>
  </si>
  <si>
    <t>10.1029/2009JB006295</t>
  </si>
  <si>
    <t>547QY</t>
  </si>
  <si>
    <t>WOS:000273905400002</t>
  </si>
  <si>
    <t>Kerr, RA</t>
  </si>
  <si>
    <t>Kerr, Richard A.</t>
  </si>
  <si>
    <t>Antarctic Glacier Off Its Leash</t>
  </si>
  <si>
    <t>546BS</t>
  </si>
  <si>
    <t>WOS:000273783100012</t>
  </si>
  <si>
    <t>Tomasi, C; Petkov, B; Stone, RS; Benedetti, E; Vitale, V; Lupi, A; Mazzola, M; Lanconelli, C; Herber, A; von Hoyningen-Huene, W</t>
  </si>
  <si>
    <t>Tomasi, Claudio; Petkov, Boyan; Stone, Robert S.; Benedetti, Elena; Vitale, Vito; Lupi, Angelo; Mazzola, Mauro; Lanconelli, Christian; Herber, Andreas; von Hoyningen-Huene, Wolfgang</t>
  </si>
  <si>
    <t>Characterizing polar atmospheres and their effect on Rayleigh-scattering optical depth</t>
  </si>
  <si>
    <t>WATER-VAPOR DISTRIBUTIONS; REFRACTIVE-INDEX; STRATOSPHERIC AEROSOLS; LIDAR MEASUREMENTS; SOUTH-POLE; TEMPERATURE; VALIDATION; TURBIDITY; SOLAR; AIR</t>
  </si>
  <si>
    <t>A large set of radiosoundings was analyzed to study the dependence of Rayleigh-scattering optical depth (ROD) on pressure and temperature features of the polar clear-sky atmosphere. This set consists of 1320 radiosoundings, launched throughout the year at six Arctic sites, and of 940 radiosoundings launched at five Antarctic sites. The vertical profiles of pressure, temperature, and relative humidity given by these radiosoundings were corrected for lag errors and dry biases and then completed up to 120 km altitude, using COSPAR International Reference Atmosphere (CIRA) monthly vertical profiles of pressure and temperature, water vapor mixing ratio data derived from various satellite observations, and standard CO2 vertical profile relative to 2007, when the ground-level concentration was 380 ppmv. Calculations of the volume Rayleigh-scattering coefficient were made for all the radiosoundings to study its seasonal variations with height due to pressure and temperature changes occurring in the troposphere and stratosphere. It was found that the surface-level pressure and temperature conditions can account to a large extent for these seasonal effects. Therefore, average spectral evaluations of ROD were made at 88 selected wavelengths from 0.20 to 4.0 mm for all the radiosoundings, subdivided into eight latitude/altitude site classes, representing 70 degrees N, 75 degrees N, 80 degrees N, 70 degrees S, 75 degrees S, 80 degrees S, and 90 degrees S latitudes, for which the average ground values of air pressure p(a) and air temperature T-a were defined. The dependence of ROD on the daily ground-level values of air pressure p(o) and air temperature T-o measured at each site can be accounted for by using an algorithm in which the pressure dependence is given with good approximation by ratio (p(o)/p(a)), and the temperature linear dependence is expressed by the difference (T-a - T-o) multiplied by a spectral slope coefficient k(lambda) which varies by site classification. This algorithm was estimated to provide values of ROD with accuracy within +/- 0.5% at the six sea-level Arctic sites, +/- 0.5% at the three Antarctic coastal sites, and +/- 0.7% at the two Antarctic Plateau sites (Dome C and South Pole). When used to analyze the Sun photometer measurements, the present evaluations of ROD are estimated to provide aerosol optical depth values at visible wavelengths with relative errors of 1%-2% at the Arctic sites, 1%-4% at the coastal Antarctic sites, and 3%-13% at the Antarctic Plateau sites, for background aerosol extinction conditions.</t>
  </si>
  <si>
    <t>[Tomasi, Claudio; Petkov, Boyan; Vitale, Vito; Lupi, Angelo; Mazzola, Mauro; Lanconelli, Christian] CNR, ISAC, I-40129 Bologna, Italy; [Benedetti, Elena] CNR, Inst Acoust OM Corbino, ICES Grp, I-00133 Rome, Italy; [Herber, Andreas] Alfred Wegener Inst Polar &amp; Marine Res, Climate Syst Div, D-27570 Bremerhaven, Germany; [Stone, Robert S.] Univ Colorado, Cooperat Inst Res Environm Sci, Boulder, CO 80305 USA; [von Hoyningen-Huene, Wolfgang] Univ Bremen, Inst Environm Phys, D-28359 Bremen, Germany; [Petkov, Boyan] Abdus Salaam Int Ctr Theoret Phys, Trieste, Italy; [Stone, Robert S.] NOAA, Earth Syst Res Lab, Boulder, CO USA</t>
  </si>
  <si>
    <t>Consiglio Nazionale delle Ricerche (CNR); Istituto di Scienze dell'Atmosfera e del Clima (ISAC-CNR); Consiglio Nazionale delle Ricerche (CNR); Helmholtz Association; Alfred Wegener Institute, Helmholtz Centre for Polar &amp; Marine Research; University of Colorado System; University of Colorado Boulder; University of Bremen; Abdus Salam International Centre for Theoretical Physics (ICTP); National Oceanic Atmospheric Admin (NOAA) - USA</t>
  </si>
  <si>
    <t>Tomasi, C (corresponding author), CNR, ISAC, Via Gobetti 101, I-40129 Bologna, Italy.</t>
  </si>
  <si>
    <t>c.tomasi@isac.cnr.it</t>
  </si>
  <si>
    <t>Mazzola, Mauro/K-9376-2016; vitale, vito/AAW-8441-2021; Lanconelli, Christian/Q-5848-2018</t>
  </si>
  <si>
    <t>Mazzola, Mauro/0000-0002-8394-2292; Lanconelli, Christian/0000-0002-9545-1255; vitale, vito/0000-0003-0978-8976; lupi, angelo/0000-0002-5009-9876; Petkov, Boyan/0000-0002-8328-340X</t>
  </si>
  <si>
    <t>Programma Nazionale di Ricerche in Antartide (PNRA)</t>
  </si>
  <si>
    <t>This research was supported by the Programma Nazionale di Ricerche in Antartide (PNRA) and developed as a part of subproject 2006/6.01: POLAR-AOD: A network to characterize the means, variability, and trends of the climate-forcing properties of aerosols in polar regions'' planned as an Italian contribution to the International Polar Year (IPY) activities. The authors also thank the International Center for Theoretical Physics (ICTP, Trieste, Italy) for its support of the participation of B. Petkov in the present work, within the framework of the Programme for Training and Research in Italian Laboratories.</t>
  </si>
  <si>
    <t>JAN 21</t>
  </si>
  <si>
    <t>D02205</t>
  </si>
  <si>
    <t>10.1029/2009JD012852</t>
  </si>
  <si>
    <t>547OW</t>
  </si>
  <si>
    <t>WOS:000273899900004</t>
  </si>
  <si>
    <t>Getley, IL; Bennett, LGI; Lewis, BJ; Bennett, B; Dyer, CS; Hands, ADP; Duldig, ML</t>
  </si>
  <si>
    <t>Getley, I. L.; Bennett, L. G. I.; Lewis, B. J.; Bennett, B.; Dyer, C. S.; Hands, A. D. P.; Duldig, M. L.</t>
  </si>
  <si>
    <t>Evaluation of new cosmic radiation monitors designed for aircrew exposure assessment</t>
  </si>
  <si>
    <t>SPACE WEATHER-THE INTERNATIONAL JOURNAL OF RESEARCH AND APPLICATIONS</t>
  </si>
  <si>
    <t>With the development of next generation aircraft designs capable of ultralong-range flight and extended flight endurance, new experimental dosimetry equipment has been specifically designed to enable aircrew to monitor and respond to airborne alerts of potential doses that exceed recommended limits. The new QinetiQ QDOS/Rayhound monitor and designer-specific Liulin 4SA both provide real-time monitoring and readout with both audible and visual alert functions. The potential advantage to pilots and airlines is a more rational response to an alert by minimizing the altitude descent and time at lower levels in response to a significant event. This not only protects passengers and crew from solar particle events but provides a greener'' option to fuel burn at lower altitudes when events have abated. Thus, it will allow the crew to determine safer optimum flight levels during and after the event. These monitors were flown on numerous high-and low-latitude flights in combination with a Hawk'' tissue equivalent proportional counter acting as the reference instrument as it measured the total ambient dose equivalent H*(10). An FH 41B Eberline monitor and bubble detectors were also used in the comparison.</t>
  </si>
  <si>
    <t>[Getley, I. L.] Univ New S Wales, Dept Aviat, Sydney, NSW, Australia; [Bennett, L. G. I.; Lewis, B. J.; Bennett, B.] Royal Mil Coll Canada, Dept Chem &amp; Chem Engn, Kingston, ON K7K 7B4, Canada; [Dyer, C. S.; Hands, A. D. P.] QinetiQ, Aerosp Technol &amp; Res, Farnborough GU14 0LX, Hants, England; [Duldig, M. L.] Australian Antarctic Div, Dept Environm Water Heritage &amp; Arts, Kingston, Tas 7050, Australia</t>
  </si>
  <si>
    <t>University of New South Wales Sydney; Royal Military College - Canada; Qinetiq Group Plc; Australian Antarctic Division</t>
  </si>
  <si>
    <t>Getley, IL (corresponding author), Univ New S Wales, Dept Aviat, Sydney, NSW, Australia.</t>
  </si>
  <si>
    <t>Department of Aviation, University of New South Wales</t>
  </si>
  <si>
    <t>These data were captured as part of a limited monitoring program within Qantas Airways that was supported by senior management. Jason Middleton at the Department of Aviation, University of New South Wales, is recognized for his support and encouragement of this research program.</t>
  </si>
  <si>
    <t>1542-7390</t>
  </si>
  <si>
    <t>SPACE WEATHER</t>
  </si>
  <si>
    <t>Space Weather</t>
  </si>
  <si>
    <t>S01001</t>
  </si>
  <si>
    <t>10.1029/2009SW000492</t>
  </si>
  <si>
    <t>Astronomy &amp; Astrophysics; Geochemistry &amp; Geophysics; Meteorology &amp; Atmospheric Sciences</t>
  </si>
  <si>
    <t>547SD</t>
  </si>
  <si>
    <t>WOS:000273908600001</t>
  </si>
  <si>
    <t>Dietrich, R; Ivins, ER; Casassa, G; Lange, H; Wendt, J; Fritsche, M</t>
  </si>
  <si>
    <t>Dietrich, R.; Ivins, E. R.; Casassa, G.; Lange, H.; Wendt, J.; Fritsche, M.</t>
  </si>
  <si>
    <t>Rapid crustal uplift in Patagonia due to enhanced ice loss</t>
  </si>
  <si>
    <t>glacial isostatic adjustment; crustal uplift; Southern Patagonia Icefield; climate change; Little Ice Age; GPS geodesy</t>
  </si>
  <si>
    <t>GLACIAL-ISOSTATIC-ADJUSTMENT; SOUTHERN SOUTH-AMERICA; ANTARCTIC PENINSULA; OUTLET GLACIERS; GPS; VISCOSITY; HOLOCENE; FLUCTUATIONS; ICEFIELDS; ICELAND</t>
  </si>
  <si>
    <t>A vertical crustal uplift rate of 39 mm yr(-1) is measured between 2003 and 2006 using Global Positioning System (GPS) measurements at the northeastern edge of the Southern Patagonia Icefield (SPI). This is the largest present-day glacial isostatic rate ever recorded. The combination of SPI's rapid melting and the unique regional slab-window tectonics that promotes a relatively low viscosity, is central to our interpretation of the observations. The two effects lead to a strong interaction of short relaxation times with ice loads that change on a comparable time scale. The profile of GPS observations link ice loss to the soft viscoelastic isostatic flow response over the time scale of the Little Ice Age (LIA), including ice loss in the period of observation. The agreement of the results with our model predictions strongly suggests the large crustal uplift in Patagonia is due an accelerated glacier wasting since the termination of the LIA and that the effective regional mantle viscosity is near 4.0-8.0 x 10(18) Pa s. A century-long diminution of the icefields, at rates that are about 1/4 - 1/2 the contemporary loss rates, is consistent with multidecadal-scale temperature trends estimated for the past 50-100 years and is, in fact, a key feature in any model capable of explaining the uplift data. (C) 2009 Elsevier B.V. All rights reserved.</t>
  </si>
  <si>
    <t>[Dietrich, R.; Fritsche, M.] Tech Univ Dresden, Inst Planetare Geodasie, D-01069 Dresden, Germany; [Ivins, E. R.] CALTECH, Jet Prop Lab, Pasadena, CA 91109 USA; [Casassa, G.; Wendt, J.] Ctr Estudios Cient, Valdivia, Chile; [Lange, H.] TERRASAT SA, Santiago, Chile</t>
  </si>
  <si>
    <t>Technische Universitat Dresden; National Aeronautics &amp; Space Administration (NASA); NASA Jet Propulsion Laboratory (JPL); California Institute of Technology</t>
  </si>
  <si>
    <t>Dietrich, R (corresponding author), Tech Univ Dresden, Inst Planetare Geodasie, D-01069 Dresden, Germany.</t>
  </si>
  <si>
    <t>dietrich@ipg.geo.tu-dresden.de</t>
  </si>
  <si>
    <t>Ivins, Erik R/C-2416-2011; Casassa, Gino/AAX-6142-2020</t>
  </si>
  <si>
    <t>International Bureau of the BMBF (Germany); Chilean Government; Centers of Excellence Base Financing Program of Conicyt; Antofagasta Minerals; Arauco; Empresas CMPC; Indura; Naviera Ultragas; Telefonica del Sur; NASA</t>
  </si>
  <si>
    <t>International Bureau of the BMBF (Germany)(Federal Ministry of Education &amp; Research (BMBF)); Chilean Government; Centers of Excellence Base Financing Program of Conicyt; Antofagasta Minerals; Arauco; Empresas CMPC; Indura; Naviera Ultragas; Telefonica del Sur; NASA(National Aeronautics &amp; Space Administration (NASA))</t>
  </si>
  <si>
    <t>This research was supported by the International Bureau of the BMBF (Germany). The Centro de Estudios Cientificos (CECS) is funded by the Chilean Government through the Millennium Science Initiative and the Centers of Excellence Base Financing Program of Conicyt. CECS is also supported by a group of private companies which at present includes Antofagasta Minerals, Arauco, Empresas CMPC, Indura, Naviera Ultragas and Telefonica del Sur. Part of this research was supported by NASA's Earth Surface and Interior Focus Area, and conducted at the jet Propulsion Laboratory, California institute of Technology. In the field Anja Wendt and Andres Rivera (both from CECS) provided valuable collaboration, and Hans Silva contributed with logistics. The support of the motor boat Soberania (Captain Pirincho and crew) and the ferry boat Integracion (and crew from the Ministry of Public Works) is acknowledged.</t>
  </si>
  <si>
    <t>JAN 15</t>
  </si>
  <si>
    <t>10.1016/j.epsl.2009.10.021</t>
  </si>
  <si>
    <t>551AU</t>
  </si>
  <si>
    <t>WOS:000274178000003</t>
  </si>
  <si>
    <t>Misawa, K; Kohno, M; Tomiyama, T; Noguchi, T; Nakamura, T; Nagao, K; Mikouchi, T; Nishiizumi, K</t>
  </si>
  <si>
    <t>Misawa, Keiji; Kohno, Mika; Tomiyama, Takayuki; Noguchi, Takaaki; Nakamura, Tomoki; Nagao, Keisuke; Mikouchi, Takashi; Nishiizumi, Kunihiko</t>
  </si>
  <si>
    <t>Two extraterrestrial dust horizons found in the Dome Fuji ice core, East Antarctica</t>
  </si>
  <si>
    <t>meteoroid; comet; impact; ice core; Antarctica</t>
  </si>
  <si>
    <t>STONY COSMIC SPHERULES; MAIN-BELT; CARBONACEOUS CHONDRITES; ISOTOPIC COMPOSITIONS; EARTHS ATMOSPHERE; OXYGEN; MICROMETEORITES; SPECTROSCOPY; METEORITES; MOUNTAINS</t>
  </si>
  <si>
    <t>Two silicate-rich dust layers were found in the Dome Fuji ice core in East Antarctica, at Marine Isotope Stages 12 and 13. Morphologies, textures, and chemical compositions of constituent particles reveal that they are high-temperature melting products and are of extraterrestrial origin. Because similar layers were found similar to 2000 km east of Dome Fuji, at EPICA (European Project for Ice Coring in Antarctica)-Dome C, particles must have rained down over a wide area 434 and 481 ka. The strewn fields occurred over an area of at least 3 x 10(6) km(2). Chemical compositions of constituent phases and oxygen isotopic composition of olivines suggest that the upper dust layer was produced by a high-temperature interaction between silicate-rich melt and water vapor due to an impact explosion or an aerial burst of a chondritic meteoroid on the inland East Antarctic ice sheet An estimated total mass of the impactor, on the basis of particle flux and distribution area, is at least 3 x 10(9) kg. A possible parent material of the lower dust layer is a fragment of friable primitive asteroid or comet. A hypervelocity impact of asteroidal/cometary material on the upper atmosphere and an explosion might have produced aggregates of sub-mu m to mu m-sized spherules. Total mass of the parent material of the lower layer must exceed 1 x 10(9) kg. The two extraterrestrial horizons, each a few millimeters in thickness, represent regional or global meteoritic events not identified previously in the Southern Hemisphere. (C) 2009 Elsevier B.V. All rights reserved.</t>
  </si>
  <si>
    <t>[Misawa, Keiji; Tomiyama, Takayuki] Natl Inst Polar Res, Antarctic Meteorite Res Ctr, Tokyo 1908518, Japan; [Misawa, Keiji] Grad Univ Adv Studies, Dept Polar Sci, Tokyo 1908518, Japan; [Kohno, Mika] Natl Inst Polar Res, Polar Meteorol &amp; Glaciol Grp, Tokyo 1908518, Japan; [Noguchi, Takaaki] Ibaraki Univ, Coll Sci, Mito, Ibaraki 3108512, Japan; [Nakamura, Tomoki] Kyushu Univ, Dept Earth &amp; Planetary Sci, Fukuoka 8128581, Japan; [Nagao, Keisuke] Univ Tokyo, Earthquake Chem Lab, Tokyo 1130033, Japan; [Mikouchi, Takashi] Univ Tokyo, Dept Earth &amp; Planetary Sci, Tokyo 1130033, Japan; [Nishiizumi, Kunihiko] Univ Calif Berkeley, Space Sci Lab, Berkeley, CA 94720 USA</t>
  </si>
  <si>
    <t>Research Organization of Information &amp; Systems (ROIS); National Institute of Polar Research (NIPR) - Japan; Graduate University for Advanced Studies - Japan; Research Organization of Information &amp; Systems (ROIS); National Institute of Polar Research (NIPR) - Japan; Ibaraki University; Kyushu University; University of Tokyo; University of Tokyo; University of California System; University of California Berkeley</t>
  </si>
  <si>
    <t>Misawa, K (corresponding author), Natl Inst Polar Res, Antarctic Meteorite Res Ctr, 10-3 Midoricho, Tokyo 1908518, Japan.</t>
  </si>
  <si>
    <t>misawa@nipr.ac.jp</t>
  </si>
  <si>
    <t>Noguchi, Takaaki/IWV-1123-2023; Mikouchi, Takashi/AAY-7355-2021</t>
  </si>
  <si>
    <t>Noguchi, Takaaki/0000-0001-7211-2595; Mikouchi, Takashi/0000-0002-9998-8754</t>
  </si>
  <si>
    <t>NIPR</t>
  </si>
  <si>
    <t>NIPR(National Institute of Polar Research (NIPR) - Japan)</t>
  </si>
  <si>
    <t>Dome Fuji ice core samples were supplied through the Dome Fuji Ice Core Consortium. We thank Ryu Uemura and Takeshi Saito for their continuous support of laboratory work. Fusion crust samples of chondritic meteorites were supplied by Mike Zolensky. Insightful discussions with Takahiro Hiroi, Seiji Sugita, Masayuki Uesugi, Kenji Kawamura, and Hideaki Motoyama are acknowledged. Constructive comments by Luigi Folco on an earlier version of the manuscript are appreciated. We thank Todd Hinkley for correcting and refining the English usage. Substantive reviews by Frank Kyte and an anonymous reviewer improved and clarified the paper. The authors acknowledge financial support from the NIPR.</t>
  </si>
  <si>
    <t>10.1016/j.epsl.2009.11.016</t>
  </si>
  <si>
    <t>WOS:000274178000027</t>
  </si>
  <si>
    <t>Day, KA; Mitchell, NJ</t>
  </si>
  <si>
    <t>Day, K. A.; Mitchell, N. J.</t>
  </si>
  <si>
    <t>The 5-day wave in the Arctic and Antarctic mesosphere and lower thermosphere</t>
  </si>
  <si>
    <t>PLANETARY-WAVES; GRAVITY-WAVES; MIDDLE ATMOSPHERE; 6.5-DAY WAVE; RADAR; STRATOSPHERE; OSCILLATIONS; SATELLITE; DYNAMICS; NORTHERN</t>
  </si>
  <si>
    <t>The 5-day planetary wave in the polar mesosphere and lower thermosphere has been investigated using meteor radars at Esrange (68 degrees N, 21 degrees E) in the Arctic and Rothera (68 degrees S, 68 degrees W) in the Antarctic. The measurements span the 9-year interval from October 1999 to December 2008 and the 4-year interval from February 2005 to December 2008, respectively. The height range covered is approximately 80-100 km. Horizontal wind variance within a wave period range of 4-7 days is used as a proxy for the activity of the 5-day wave. Strong wave activity is seen in winter and late summer. However, there is a high degree of interannual variability, and in some individual years wave activity is almost absent. The data are used to construct a representative climatology for the Arctic and Antarctic. The seasonal cycle of the 5-day wave is found to be very similar in both polar regions. Wave activity in winter is present across the entire height range observed. Wintertime wave variance can reach about 65 m(2)/s(2). The wave is largely absent around the equinoxes. Wave activity is also very strong in late summer, reaching about 75 m(2)/s(2), but occurs only for 1-2 months and is confined to heights above about 90 km and excluded from the stronger westward winds at lower heights. Summertime wave activity peaks at a height of about 95 km and decays rapidly above and below that height. During this summer maximum, the wave cannot have ascended to the mesosphere and lower thermosphere from below and so must have been generated in situ and/or ducted across the equator from the winter hemisphere. The seasonal cycle of the 5-day wave is remarkably similar to that observed for the 2-day wave at these latitudes.</t>
  </si>
  <si>
    <t>[Day, K. A.; Mitchell, N. J.] Univ Bath, Dept Elect &amp; Elect Engn, Ctr Space Atmospher &amp; Ocean Sci, Bath BA2 7AY, Avon, England</t>
  </si>
  <si>
    <t>University of Bath</t>
  </si>
  <si>
    <t>Day, KA (corresponding author), Univ Bath, Dept Elect &amp; Elect Engn, Ctr Space Atmospher &amp; Ocean Sci, Bath BA2 7AY, Avon, England.</t>
  </si>
  <si>
    <t>k.a.day@bath.ac.uk</t>
  </si>
  <si>
    <t>Natural Environment Research Council [NE/E007384/1, NER/G/S/2003/00014] Funding Source: researchfish; Science and Technology Facilities Council [PP/E002218/1] Funding Source: researchfish; NERC [NE/E007384/1] Funding Source: UKRI; STFC [PP/E002218/1]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</si>
  <si>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</si>
  <si>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D01109</t>
  </si>
  <si>
    <t>10.1029/2009JD012545</t>
  </si>
  <si>
    <t>545JX</t>
  </si>
  <si>
    <t>WOS:000273729400004</t>
  </si>
  <si>
    <t>Boutonnet, E; Arnaud, N; Guivel, C; Lagabrielle, Y; Scalabrino, B; Espinoza, F</t>
  </si>
  <si>
    <t>Boutonnet, E.; Arnaud, N.; Guivel, C.; Lagabrielle, Y.; Scalabrino, B.; Espinoza, F.</t>
  </si>
  <si>
    <t>Subduction of the South Chile active spreading ridge: A 17 Ma to 3 Ma magmatic record in central Patagonia (western edge of Meseta del Lago Buenos Aires, Argentina)</t>
  </si>
  <si>
    <t>subduction; spreading ridge; bimodal back-arc magmatism; Patagonia</t>
  </si>
  <si>
    <t>TRENCH COLLISION; VOLCANIC-ROCKS; PLATEAU LAVAS; TECTONIC EVOLUTION; TRIPLE JUNCTION; SLAB; BASALTS; PLIOCENE; MIOCENE; NEOGENE</t>
  </si>
  <si>
    <t>The Chile Triple junction is a natural laboratory to study the interactions between magmatism and tectonics during the subduction of an active spreading ridge beneath a continent. The MLBA plateau (Meseta del Lago Buenos Aires) is one of the Neogene alkali basaltic plateaus located in the back-arc region of the Andean Cordillera at the latitude of the current Chile Triple junction. The genesis of MLBA can be related with successive opening of slabs windows beneath Patagonia: within the subducting Nazca Plate itself and between the Nazca and Antarctic plates. Detailed 40Ar/39Ar dating and geochemical analysis of bimodal magmatism from the western flank of the MLBA show major changes in the back-arc magmatism. which occurred between 14.5 Ma and 12.5 Ma with the transition from calc-alkaline lavas (Cerro Plomo) to alkaline lavas (MLBA) in relation with slab window opening. In a second step, at 4-3 Ma, alkaline felsic intrusions were emplaced in the western flank of the MLBA coevally with the MLBA basalts with which they are genetically related. These late OIB-like alkaline to transitional basalts were generated by partial melting of the subslab asthenosphere of the subducting Nazca plate during the opening of the South Chile spreading ridge-related slab window. These basalts differentiated with small amounts of assimilation in shallow magma chambers emplaced along transtensional to extensional zones. The close association of bimodal magmatism with extensional tectonic features in the western MLBA is a strong support to the model of Patagonian collapse event proposed to have taken place between 5 and 3 Ma as a consequence of the presence of the asthenospheric window (SCR-1 segment of South Chile Ridge) below the MLBA area. (C) 2009 Elsevier B.V. All rights reserved.</t>
  </si>
  <si>
    <t>[Boutonnet, E.] Univ Lyon 1, ENS UCBL Lyon, Lab Sci Terre, CNRS MR 5570, F-69622 Villeurbanne, France; [Boutonnet, E.; Arnaud, N.; Lagabrielle, Y.; Scalabrino, B.] Univ Montpellier 2, CNRS UMR Geosci Montpellier 5243, F-34095 Montpellier 5, France; [Guivel, C.] Univ Nantes, UMR Planetol &amp; Geodynam 6112, Nantes, France; [Espinoza, F.] Univ Chile, Dept Geol, Santiago, Chile</t>
  </si>
  <si>
    <t>Universite Claude Bernard Lyon 1; Universite de Montpellier; Nantes Universite; Universidad de Chile</t>
  </si>
  <si>
    <t>Boutonnet, E (corresponding author), Univ Lyon 1, ENS UCBL Lyon, Lab Sci Terre, CNRS MR 5570, 2 Rue Raphael Dubois, F-69622 Villeurbanne, France.</t>
  </si>
  <si>
    <t>emmanuelle.boutonnet@ens-lyon.fr</t>
  </si>
  <si>
    <t>ECOS-Sud program; Relief program (INSU-CNRS, France)</t>
  </si>
  <si>
    <t>Thanks are due to M.L. Gorring, M. D'Orazio, V.A. Ramos and associate editor of journal of Volcanology and Geothermal Research, M.J. Rutherford, for careful and constructive reviews, which helped improving the manuscript. The authors would like to thank Celine Liorzou and Claire Bassoulet for the ICP-AES and ICP-MS analyses (UMR 6538, Brest, France). This work was made possible through grants from the ECOS-Sud program and from the Relief program (INSU-CNRS, France).</t>
  </si>
  <si>
    <t>10.1016/j.jvolgeores.2009.11.022</t>
  </si>
  <si>
    <t>561ON</t>
  </si>
  <si>
    <t>WOS:000274987500008</t>
  </si>
  <si>
    <t>Pandey, A; Parson, L; Milton, A</t>
  </si>
  <si>
    <t>Pandey, Anju; Parson, Lindsay; Milton, Andy</t>
  </si>
  <si>
    <t>Geochemistry of the Davis and Aurora Banks: Possible implications on evolution of the North Scotia Ridge</t>
  </si>
  <si>
    <t>geochemistry; Davis Bank; Aurora Bank; North Scotia Ridge</t>
  </si>
  <si>
    <t>VOLCANIC-ROCKS; DRAKE PASSAGE; CRUST; ZONE; SEA</t>
  </si>
  <si>
    <t>Geochemistry of volcanic rocks of the Davis and Aurora Banks, North Scotia Ridge, is presented with the aim to infer their petrogenesis and implications in regional tectonics. The analyses show consistent major and trace element patterns which are conformable with calc-alkaline series volcanics with typical signatures of subduction zone magma. The source melt of the studied volcanics is deciphered to be subduction zone mantle wedge metasomatised by sediments. Geochemical analyses of the volcanics from the Davis and Aurora Banks are compared with geochemical data of volcanics of the South Sandwich island arc and Jurassic, Cretaceous and Paleogene arc volcanics of Patagonia, South America. This comparative study shows that the Davis and Aurora Banks' volcanics are akin to Cretaceous arc volcanics of the Hardy Formation, South America. Rocks of Hardy Formation are also reported from South Georgia. Further, based on established trace element ratio diagrams, it is deciphered that source magma characteristics of arc volcanics from South Georgia, Hardy Formation and Davis and Aurora Banks are the same. Integration of our findings with previous studies, we propose a geodynamic model for the Davis and Aurora Banks in conformity with accepted model for the evolution of the West Scotia Sea. (C) 2009 Elsevier B.V. All rights reserved.</t>
  </si>
  <si>
    <t>[Pandey, Anju; Parson, Lindsay; Milton, Andy] Natl Oceanog Ctr, Southampton SO14 3ZH, Hants, England</t>
  </si>
  <si>
    <t>NERC National Oceanography Centre</t>
  </si>
  <si>
    <t>Pandey, A (corresponding author), Natl Oceanog Ctr, European Way, Southampton SO14 3ZH, Hants, England.</t>
  </si>
  <si>
    <t>anju.pandey@noc.soton.ac.uk</t>
  </si>
  <si>
    <t>Pandey, Anju/0009-0004-7299-3512; Milton, James/0000-0003-4245-5532</t>
  </si>
  <si>
    <t>NERC; NERC [noc010011, noc010004] Funding Source: UKRI; Natural Environment Research Council [noc010004, noc010011]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</si>
  <si>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</si>
  <si>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Authors gratefully acknowledge British Antarctic Survey for providing the dredge hauls of Davis and Aurora Banks collected during JR 48 cruise. AP thanks NERC for the post-doctoral fellowship at NOC, Southampton. Constructive and very useful reviews by Graeme Eagles and an anonymous reviewer are much appreciated. We are particularly thankful to David J.W. Piper for editorial comments and suggestions which resulted in thorough revision of the manuscript.</t>
  </si>
  <si>
    <t>10.1016/j.margeo.2009.10.025</t>
  </si>
  <si>
    <t>556RX</t>
  </si>
  <si>
    <t>WOS:000274610100009</t>
  </si>
  <si>
    <t>De Deckker, P; Norman, M; Goodwin, ID; Wain, A; Gingele, FX</t>
  </si>
  <si>
    <t>De Deckker, Patrick; Norman, Marc; Goodwin, Ian D.; Wain, Alan; Gingele, Franz X.</t>
  </si>
  <si>
    <t>Lead isotopic evidence for an Australian source of aeolian dust to Antarctica at times over the last 170,000 years</t>
  </si>
  <si>
    <t>Pb; Sr; Nd isotopes; Murray Darling Basin; Airborne dust; EPICA; Vostok; Antarctic ice cores; Patagonia; Argentina</t>
  </si>
  <si>
    <t>SEA-LEVEL PRESSURE; SOUTHERN-HEMISPHERE; EAST ANTARCTICA; CLIMATE-CHANGE; ICE-CORE; HOLOCENE CLIMATE; GLACIAL MAXIMUM; OCTOBER 2002; PB ISOTOPES; DOME C</t>
  </si>
  <si>
    <t>Systematic analysis of Pb, Sr and Nd isotopes of 32 fluvial clay samples (&lt;2 mu m fraction) from many of the major tributaries of the Vast (1.10(6) km(2)) Murray Darling Basin (MDB), located in semiarid southeastern Australia, displays similar isotopic values between some MOB clays and dust from several ice core samples from the EPICA Dome C in Antarctica. Close scrutiny of several ratios of the four Pb isotopes, and in particular Pb-208/Pb-207 versus Pb-206/Pb-207, shows that several samples from the Darling-sub-basin of the MOB display similar values for the same isotopes for Dome C samples from different ages, and more particularly during wet phases in Australia [Marine Isotopic Stages 5e, 3 and I]. The combination of Nd and Sr isotopic ratios from the same MOB fluvial clays clearly eliminates the Murray sub-basin, and supports the Darling sub-basin as a potential source of aeolian material to Antarctica. Overall, the Australian dust supply to Antarctica predominantly occurred during interglacial periods. The work presented here shows that aerosols generated in southeastern Australia can travel to parts of West Antarctica and this is supported by atmospheric observations and models. In addition, evidence of Australian dust in Antarctic ice cores further implies dust deposition in the Southern Ocean would have occurred in the past. Current meteorological observations also imply that the western Pacific and Indian Ocean sector of the Southern Ocean would frequently receive aeolian dust components originating from southeastern Australia. (C) 2009 Elsevier B.V. All rights reserved.</t>
  </si>
  <si>
    <t>[De Deckker, Patrick; Norman, Marc] Australian Natl Univ, Res Sch Earth Sci, Canberra, ACT 0200, Australia; [Goodwin, Ian D.] Macquarie Univ, Dept Geog &amp; Environm, Climate Risk CoRE, N Ryde, NSW 2109, Australia; [Wain, Alan] Bur Meteorol, High Impact Weather Team, CAWCR, Melbourne, Vic 3001, Australia; [Gingele, Franz X.] Australian Natl Univ, Dept Earth &amp; Marine Sci, Canberra, ACT 0200, Australia</t>
  </si>
  <si>
    <t>Australian National University; Macquarie University; Bureau of Meteorology - Australia; Australian National University</t>
  </si>
  <si>
    <t>De Deckker, P (corresponding author), Australian Natl Univ, Res Sch Earth Sci, Canberra, ACT 0200, Australia.</t>
  </si>
  <si>
    <t>patrick.dedeckker@anu.edu.au</t>
  </si>
  <si>
    <t>Norman, Marc D/A-2244-2008</t>
  </si>
  <si>
    <t>Goodwin, Ian/0000-0001-8682-6409; Norman, Marc/0000-0002-1357-5415</t>
  </si>
  <si>
    <t>Murray Darling Basin Commission; ARC Discovery [0772180]; Australian Antarctic Science (AAS)</t>
  </si>
  <si>
    <t>Murray Darling Basin Commission; ARC Discovery(Australian Research Council); Australian Antarctic Science (AAS)</t>
  </si>
  <si>
    <t>Funding for the Pb isotopes was provided to PDD by a grant from the Murray Darling Basin Commission. Some aspects of the research were also supported by ARC Discovery grant 0772180 awarded to PDD and colleagues. PDD is also grateful to Dr B. Delmonte who provided unpublished data and for numerous discussions at an early stage of the manuscript preparation. Mrs J. Shelley also provided much help with referencing and also commenting on the manuscripts during its many stages. Goodwin's work on Antarctic ice cores is collaborative with Drs T. Van Ornmen and M. Curran at the Australian Antarctic Division, and is partly supported by an Australian Antarctic Science (AAS) grant. Goodwin is grateful to Dr M. Curran for personal communication of preliminary sea-salt sodium concentrations from the Law Dome ice core during late Stage 3 and Stage 2 layers.</t>
  </si>
  <si>
    <t>10.1016/j.palaeo.2009.11.013</t>
  </si>
  <si>
    <t>548AC</t>
  </si>
  <si>
    <t>WOS:000273930200006</t>
  </si>
  <si>
    <t>Galster, F; Guex, J; Hammer, O</t>
  </si>
  <si>
    <t>Galster, Federico; Guex, Jean; Hammer, Oyvind</t>
  </si>
  <si>
    <t>Neogene biochronology of Antarctic diatoms: A comparison between two quantitative approaches, CONOP and UAgraph</t>
  </si>
  <si>
    <t>Quantitative stratigraphy; Biochronological correlations; Diatoms; CONOP; Unitary Associations</t>
  </si>
  <si>
    <t>RANKING</t>
  </si>
  <si>
    <t>A quantitative biochronological study by Cody et al. (2008) integrates comprehensive diatom biostratigraphy, magnetostratigraphy, and tephrostratigraphy from 32 Neogene sections around the Southern Ocean and Antarctic continental margin. A recent method, known as Constrained Optimization (CONOP), which can be viewed as a multidimensional version of graphic correlation, is applied to that very interesting database. The goal of the present paper is to discuss some theoretical aspects of quantitative biochronology and to compare the constrained optimization with the deterministic method called Unitary Associations (UAM), a graph theoretical model. We illustrate the fact that the UAM is an extremely powerful and unique theory allowing an in-depth analysis of the internal conflicting inter-taxon stratigraphic relationships, inherent to any complex biostratigraphical database. (C) 2009 Elsevier B.V. All rights reserved.</t>
  </si>
  <si>
    <t>[Galster, Federico; Guex, Jean] Univ Lausanne, Dept Geol &amp; Palaeontol, CH-1015 Lausanne, Switzerland; [Hammer, Oyvind] Univ Oslo, Nat Hist Museum, N-0316 Oslo, Norway</t>
  </si>
  <si>
    <t>University of Lausanne; University of Oslo</t>
  </si>
  <si>
    <t>Guex, J (corresponding author), Univ Lausanne, Dept Geol &amp; Palaeontol, CH-1015 Lausanne, Switzerland.</t>
  </si>
  <si>
    <t>Jean.Guex@unil.ch</t>
  </si>
  <si>
    <t>Hammer, Øyvind/A-6319-2017; Galster, Federico/G-4963-2011</t>
  </si>
  <si>
    <t>Galster, Federico/0000-0003-4215-2072</t>
  </si>
  <si>
    <t>NSF [2000211-124375-1]</t>
  </si>
  <si>
    <t>We thank Beth Carter, Spela Gorican, Luis O'Dogherty, Peter Sadler and Hugo Bucher for useful comments. Work published in the frame of Swiss NSF project 2000211-124375-1.</t>
  </si>
  <si>
    <t>10.1016/j.palaeo.2009.11.015</t>
  </si>
  <si>
    <t>WOS:000273930200008</t>
  </si>
  <si>
    <t>Grotti, M; Soggia, F; Goessler, W; Findenig, S; Francesconi, KA</t>
  </si>
  <si>
    <t>Grotti, Marco; Soggia, Francesco; Goessler, Walter; Findenig, Silvia; Francesconi, Kevin A.</t>
  </si>
  <si>
    <t>Arsenic species in certified reference material MURST-ISS-A2 (Antarctic krill)</t>
  </si>
  <si>
    <t>TALANTA</t>
  </si>
  <si>
    <t>Arsenic; Speciation; Reference materials; Inductively coupled plasma mass spectrometry; Antarctica</t>
  </si>
  <si>
    <t>PLASMA-MASS SPECTROMETRY; MARINE ORGANISMS; TRACE-ELEMENTS; ICP-MS; SPECIATION; VARIABILITY; SAMPLES</t>
  </si>
  <si>
    <t>Arsenic compounds were quantified in the certified reference material MURST-ISS-A2 (Antarctic krill) using HPLC/ICPMS. The data should prove useful for assessing the accuracy of arsenic speciation procedures. (C) 2009 Elsevier B.V. All rights reserved.</t>
  </si>
  <si>
    <t>[Grotti, Marco; Soggia, Francesco] Univ Genoa, Dept Chem &amp; Ind Chem, I-16146 Genoa, Italy; [Goessler, Walter; Findenig, Silvia; Francesconi, Kevin A.] Karl Franzens Univ Graz, Inst Chem Analyt Chem, A-8010 Graz, Austria</t>
  </si>
  <si>
    <t>University of Genoa; University of Graz</t>
  </si>
  <si>
    <t>Grotti, M (corresponding author), Univ Genoa, Dept Chem &amp; Ind Chem, Via Dodecaneso 31, I-16146 Genoa, Italy.</t>
  </si>
  <si>
    <t>grotti@chimica.unige.it</t>
  </si>
  <si>
    <t>Grotti, Marco/HGU-3949-2022; Goessler, Walter/A-1084-2016</t>
  </si>
  <si>
    <t>Grotti, Marco/0000-0001-6956-5761; Goessler, Walter/0000-0002-0142-9373</t>
  </si>
  <si>
    <t>0039-9140</t>
  </si>
  <si>
    <t>Talanta</t>
  </si>
  <si>
    <t>10.1016/j.talanta.2009.09.050</t>
  </si>
  <si>
    <t>547ZZ</t>
  </si>
  <si>
    <t>WOS:000273929900060</t>
  </si>
  <si>
    <t>Kos, G; Ariya, PA</t>
  </si>
  <si>
    <t>Kos, G.; Ariya, P. A.</t>
  </si>
  <si>
    <t>Volatile organic compounds in snow in the Quebec-Windsor Corridor</t>
  </si>
  <si>
    <t>SOLID-PHASE MICROEXTRACTION; PURGE-AND-TRAP; BOUNDARY-LAYER; ATMOSPHERIC CHEMISTRY; DICARBOXYLIC-ACIDS; ANTARCTIC SNOW; RATE CONSTANTS; SUMMIT; AIR; HYDROCARBONS</t>
  </si>
  <si>
    <t>Volatile organic compounds (VOC) were determined in snow to investigate the role of the snowpack as an exchange medium for atmospherically active compounds of anthropogenic and biogenic origin. The major question was which VOC species occur in snow and how the species identity and selected concentrations are related to the sampling area and environmental conditions. Samples were collected using a standardized sampling protocol in two distinct areas in six locations ( near Mont-Saint-Hilaire, 45 degrees 33'06 '' N, 73 degrees 3'03 '' W (semirural) and Mont Tremblant, 46 degrees 2'011 '' N, 74 degrees 3'036 '' W ( rural) in the heavily populated Quebec-Windsor Corridor, Canada, with different characteristics regarding location and proximity to urban centers. A solid-phase microextraction ( SPME) procedure was employed for analysis, and VOC were identified using a gas chromatography method with mass spectrometric detection (GC/MS). Results revealed a broad spectrum of VOC in snow samples, including ethers, aldehydes, and aromatic and halogenated compounds, all of them active precursors for atmospheric reactions. Quantification was carried out for 11 aromatic and/or oxygenated compounds. Concentrations were found to be between 1.0 +/- 0.2 ng/L ( ethylbenzene) and 2.67 +/- 0.06 mg/L ( acetophenone), and limits of detection varied between 0.30 ng/L ( benzene) and 78.2 ng/L ( benzaldehyde). Principal component analysis was carried out to assess similarities between the sampling locations based on the types of species identified and concentration profiles. We discuss the implication of our results for atmosphere-snowpack interactions of VOC including back trajectory calculations for the sampling dates.</t>
  </si>
  <si>
    <t>[Kos, G.; Ariya, P. A.] McGill Univ, Dept Atmospher &amp; Ocean Sci, Montreal, PQ H3A 2K6, Canada; [Ariya, P. A.] McGill Univ, Dept Chem, Montreal, PQ H3A 2K6, Canada</t>
  </si>
  <si>
    <t>McGill University; McGill University</t>
  </si>
  <si>
    <t>Kos, G (corresponding author), McGill Univ, Dept Atmospher &amp; Ocean Sci, 805 Sherbrooke St W, Montreal, PQ H3A 2K6, Canada.</t>
  </si>
  <si>
    <t>gregor.kos@mcgill.ca; parisa.ariya@mcgill.ca</t>
  </si>
  <si>
    <t>Kos, Gregor/T-8887-2019; Ariya, Parisa A/G-2810-2015</t>
  </si>
  <si>
    <t>Kos, Gregor/0000-0001-8223-7308; Kos, Gregor/0000-0001-7076-3802</t>
  </si>
  <si>
    <t>Natural Science and Engineering Council of Canada (NSERC); Canadian Space Agency (CSA)</t>
  </si>
  <si>
    <t>Natural Science and Engineering Council of Canada (NSERC)(Natural Sciences and Engineering Research Council of Canada (NSERC)); Canadian Space Agency (CSA)(Canadian Space Agency)</t>
  </si>
  <si>
    <t>The authors are grateful for funding from the Natural Science and Engineering Council of Canada (NSERC) and the Canadian Space Agency (CSA). The authors gratefully acknowledge the NOAA Air Resources Laboratory (ARL) for the provision of the HYSPLIT transport and dispersion model and READY Web site (http://www.arl.noaa.gov/ready.html) used in this publication.</t>
  </si>
  <si>
    <t>JAN 14</t>
  </si>
  <si>
    <t>D01302</t>
  </si>
  <si>
    <t>10.1029/2009JD012391</t>
  </si>
  <si>
    <t>545JV</t>
  </si>
  <si>
    <t>WOS:000273729200001</t>
  </si>
  <si>
    <t>Zidikheri, MJ; Frederiksen, JS</t>
  </si>
  <si>
    <t>Zidikheri, Meelis J.; Frederiksen, Jorgen S.</t>
  </si>
  <si>
    <t>Stochastic subgrid-scale modelling for non-equilibrium geophysical flows</t>
  </si>
  <si>
    <t>PHILOSOPHICAL TRANSACTIONS OF THE ROYAL SOCIETY A-MATHEMATICAL PHYSICAL AND ENGINEERING SCIENCES</t>
  </si>
  <si>
    <t>stochastic; subgrid; parametrizations; ocean; mesoscale; eddies</t>
  </si>
  <si>
    <t>ATMOSPHERIC CIRCULATION MODELS; QUASI-GEOSTROPHIC TURBULENCE; EDDY VISCOSITY; 2-DIMENSIONAL TURBULENCE; ISOTROPIC TURBULENCE; BACKSCATTER; PARAMETERIZATIONS; PREDICTION; PREDICTABILITY</t>
  </si>
  <si>
    <t>Methods motivated by non-equilibrium statistical mechanics of turbulence are applied to solve an important practical problem in geophysical fluid dynamics, namely the parametrization of subgrid-scale eddies needed in large-eddy simulations (LESs). A direct stochastic modelling scheme that is closely related to techniques based on statistical closure theories, but which is more generally applicable to complex models, is employed. Here, we parametrize the effects of baroclinically unstable subgrid-scale eddies in idealized flows with broad similarities to the Antarctic Circumpolar Current of the Southern Ocean. The subgrid model represents the effects of the unresolved eddies through a generalized Langevin equation. The subgrid dissipation and stochastic forcing covariance matrices as well as the mean subgrid forcing required by the LES model are obtained from the statistics of a high resolution direct numerical simulation (DNS). We show that employing these parametrizations leads to LES in close agreement with DNS.</t>
  </si>
  <si>
    <t>[Zidikheri, Meelis J.] Bur Meteorol, Ctr Australian Weather &amp; Climate Res, Melbourne, Vic, Australia; [Frederiksen, Jorgen S.] CSIRO Marine &amp; Atmospher Res, Aspendale, Vic, Australia</t>
  </si>
  <si>
    <t>Commonwealth Scientific &amp; Industrial Research Organisation (CSIRO); Bureau of Meteorology - Australia; Commonwealth Scientific &amp; Industrial Research Organisation (CSIRO)</t>
  </si>
  <si>
    <t>Zidikheri, MJ (corresponding author), Bur Meteorol, Ctr Australian Weather &amp; Climate Res, Melbourne, Vic, Australia.</t>
  </si>
  <si>
    <t>m.zidikheri@bom.gov.au</t>
  </si>
  <si>
    <t>Frederiksen, Jorgen/0000-0001-9449-0968</t>
  </si>
  <si>
    <t>CSIRO Complex Systems Science; Australian Research Council; Discovery Projects [DP0343765]; Australian Research Council [DP0343765] Funding Source: Australian Research Council</t>
  </si>
  <si>
    <t>CSIRO Complex Systems Science; Australian Research Council(Australian Research Council); Discovery Projects(Australian Research Council); Australian Research Council(Australian Research Council)</t>
  </si>
  <si>
    <t>This work was partially supported by CSIRO Complex Systems Science and contributes to the Wealth from Oceans Flagship and to the ACCESS/Climate and Atmosphere Program. A major part of this work is based on a thesis submitted in 2008 by M. J. Z. to the Australian National University for the degree of doctor of philosophy (Zidikheri 2008). M. J. Z. wishes to acknowledge invaluable support and encouragement from Rowena Ball and Bob Dewar of the Australian National University as well as material support from the Australian Research Council, through the Discovery Projects funding scheme (project no. DP0343765). Some of the figures in this article were produced with the assistance of Stacey Osbrough of CSIRO Marine and Atmospheric Research.</t>
  </si>
  <si>
    <t>1364-503X</t>
  </si>
  <si>
    <t>1471-2962</t>
  </si>
  <si>
    <t>PHILOS T R SOC A</t>
  </si>
  <si>
    <t>Philos. Trans. R. Soc. A-Math. Phys. Eng. Sci.</t>
  </si>
  <si>
    <t>JAN 13</t>
  </si>
  <si>
    <t>10.1098/rsta.2009.0192</t>
  </si>
  <si>
    <t>525CL</t>
  </si>
  <si>
    <t>WOS:000272190600008</t>
  </si>
  <si>
    <t>Wilson, AM; Latimer, AM; Silander, JA; Gelfand, AE; de Klerk, H</t>
  </si>
  <si>
    <t>Wilson, Adam M.; Latimer, Andrew M.; Silander, John A., Jr.; Gelfand, Alan E.; de Klerk, Helen</t>
  </si>
  <si>
    <t>A Hierarchical Bayesian model of wildfire in a Mediterranean biodiversity hotspot: Implications of weather variability and global circulation</t>
  </si>
  <si>
    <t>ECOLOGICAL MODELLING</t>
  </si>
  <si>
    <t>Fire regime; Cape Floristic Region; Mediterranean; Fynbos; Climate change; Hierarchical Bayesian</t>
  </si>
  <si>
    <t>CLIMATE-CHANGE; RAINFALL VARIABILITY; PLANT DIVERSITY; SOUTH-AFRICA; FIRE; CAPE; PRECIPITATION; HISTORY; REGION; RISK</t>
  </si>
  <si>
    <t>In this study we combined an extensive database of observed wildfires with high-resolution meteorological data to build a novel spatially and temporally varying survival model to analyze fire regimes in the Mediterranean ecosystem in the Cape Floristic Region (CFR) of South Africa during the period 1980-2000. The model revealed an important influence of seasonally anomalous weather on fire probability, with increased probability of fire in seasons that are warmer and drier than average. In addition to these local-scale influences, the Antarctic Ocean Oscillation (AAO) was identified as an important large-scale influence or teleconnection to global circulation patterns. Fire probability increased in seasons during positive AAO phases, when the subtropical jet moves northward and low level moisture transport decreases. These results confirm that fire occurrence in the CFR is strongly affected by climatic variability at both local and global scales, and thus likely to respond sensitively to future climate change. Comparison of the modelled fire probability between two periods (1951-1975 and 1976-2000) revealed a 4-year decrease in an average fire return time. If, as currently forecasted, climate change in the region continues to produce higher temperatures, more frequent heat waves, and/or lower rainfall, our model thus indicates that fire frequency is likely to increase substantially. The regional implications of shorter fire return times include shifting community structure and composition, favoring species that tolerate more frequent fires. (C) 2009 Elsevier B.V. All rights reserved.</t>
  </si>
  <si>
    <t>[Latimer, Andrew M.] Univ Calif Davis, Dept Plant Sci, Davis, CA 95616 USA; [Wilson, Adam M.; Silander, John A., Jr.] Univ Connecticut, Dept Ecol &amp; Evolutionary Biol, Unit 3043, Storrs, CT 06269 USA; [Gelfand, Alan E.] Duke Univ, Inst Stat &amp; Decis Sci, Durham, NC 27708 USA; [de Klerk, Helen] Western Cape Nat Conservat Board, Sci Serv, ZA-7599 Stellenbosch, South Africa</t>
  </si>
  <si>
    <t>University of California System; University of California Davis; University of Connecticut; Duke University</t>
  </si>
  <si>
    <t>Latimer, AM (corresponding author), Univ Calif Davis, Dept Plant Sci, 1 Shields Ave,Mail Stop 1, Davis, CA 95616 USA.</t>
  </si>
  <si>
    <t>amlatimer@ucdavis.edu</t>
  </si>
  <si>
    <t>de Klerk, Helen/KBA-9895-2024; Wilson, Adam/C-6731-2009</t>
  </si>
  <si>
    <t>Wilson, Adam/0000-0003-3362-7806; de Klerk, Helen Margaret/0000-0003-1628-352X; Latimer, Andrew/0000-0001-8098-0448</t>
  </si>
  <si>
    <t>NSF [DEB 0516320]; University of Connecticut Department of Ecology and Evolutionary Biology; South African National Biodiversity Institute</t>
  </si>
  <si>
    <t>NSF(National Science Foundation (NSF)); University of Connecticut Department of Ecology and Evolutionary Biology; South African National Biodiversity Institute</t>
  </si>
  <si>
    <t>The Climate Systems Analysis Group in Cape Town provided the meteorological data. This research was supported by NSF Grant DEB 0516320 to JAS, the University of Connecticut Department of Ecology and Evolutionary Biology, and South African National Biodiversity Institute. Special thanks to Huiyan Sang at Texas A&amp;M University for useful discussions. Suggestions by anonymous reviewers and the editor improved the manuscript.</t>
  </si>
  <si>
    <t>0304-3800</t>
  </si>
  <si>
    <t>1872-7026</t>
  </si>
  <si>
    <t>ECOL MODEL</t>
  </si>
  <si>
    <t>Ecol. Model.</t>
  </si>
  <si>
    <t>JAN 10</t>
  </si>
  <si>
    <t>10.1016/j.ecolmodel.2009.09.016</t>
  </si>
  <si>
    <t>534WV</t>
  </si>
  <si>
    <t>WOS:000272929100014</t>
  </si>
  <si>
    <t>Pontier, D; Fouchet, D; Bried, J</t>
  </si>
  <si>
    <t>Pontier, Dominique; Fouchet, David; Bried, Joel</t>
  </si>
  <si>
    <t>Can cat predation help competitors coexist in seabird communities?</t>
  </si>
  <si>
    <t>JOURNAL OF THEORETICAL BIOLOGY</t>
  </si>
  <si>
    <t>Oceanic islands; Seabirds; Feral cats; Nest site availability; Date of arrival; Community structure; Predator-prey relationships; Model</t>
  </si>
  <si>
    <t>RABBITS KILLING BIRDS; ARRIVAL DATE; QUALITY; TIME; AVAILABILITY; CONSEQUENCES; VARIABILITY; PHENOLOGY; ISLANDS; SITES</t>
  </si>
  <si>
    <t>On oceanic islands. nest site availability can be an important factor regulating seabird population dynamics. The potential for birds to secure a nest to reproduce can be an important component of their life histories. The dates at which different seabird species arrive at colonies to breed will have important consequences for their relative chances of success. Early arrival on the island allows birds to obtain nests more easily and have higher reproductive success. However, the presence of an introduced predator may reverse this situation. For instance, in the sub-Antarctic Kerguelen archipelago, early arriving birds suffer heavy predation from introduced cats. Cats progressively switch from seabirds to rabbits, since the local rabbit population starts to peak after early arriving seabird species have already returned to the colony. When late-arriving birds arrive, cat predation pressure on seabirds is thus weaker. In this paper, we investigate the assumption that the advantage of early nest mnopolization conferred to early arriving birds may be counterbalanced by the cost resulting from predation. We develop a mathematical model representing a simplified situation in which two insular seabird species differ only in their arrival date at the colony site and compete for nesting sites. We conclude that predation may ensure the coexistence of the two bird species or favor the late-arriving species, but only when seasonal variations in predation pressure are large. Interestingly, we conclude that arriving early is only favorable until a given level where high reproductive success no longer compensates for the long exposure to strong predation pressure. Our work suggests that predation can help to maintain the balance between species of different phenologies. (C) 2009 Published by Elsevier Ltd.</t>
  </si>
  <si>
    <t>[Pontier, Dominique; Fouchet, David] Univ Lyon 1, CNRS, UMR5558, Lab Biometrie &amp; Biol Evolut, F-69622 Villeurbanne, France; [Pontier, Dominique; Fouchet, David] Univ Lyon, F-69000 Lyon, France; [Bried, Joel] Univ Acores, Ctr IMAR, Dept Oceanog &amp; Pescas, P-9901862 Horta, Acores, Portugal</t>
  </si>
  <si>
    <t>VetAgro Sup; Universite Claude Bernard Lyon 1; Centre National de la Recherche Scientifique (CNRS); CNRS - Institute of Ecology &amp; Environment (INEE); Universidade dos Acores</t>
  </si>
  <si>
    <t>Pontier, D (corresponding author), Univ Lyon, F-69000 Lyon, France.</t>
  </si>
  <si>
    <t>dpontier@biomserv.univ-lyon1.fr; fouchet@biomserv.univ-lyon1.fr; joelbried@yahoo.com</t>
  </si>
  <si>
    <t>Pontier, Dominique/0000-0003-4700-3543</t>
  </si>
  <si>
    <t>IPEV; 'Environment and Sustainability' Department of CNRS; Instituto do Mar [SFRH/BPD/20291/2004, SFRH/BPD/3642512007]</t>
  </si>
  <si>
    <t>IPEV; 'Environment and Sustainability' Department of CNRS; Instituto do Mar</t>
  </si>
  <si>
    <t>This work was supported by IPEV ('Popchat' no. 279) and the 'Environment and Sustainability' Department of CNRS ('Zone Atelier de Recherche Sur l'Environnement Antarctique et Subantarctique'). This work was also part of JB's postdoctoral contract at the Instituto do Mar (FCT Grants SFRH/BPD/20291/2004 and SFRH/BPD/3642512007). We thank Sebastien Devillard, Micheline Guiserix, Frank Sauvage and two anonymous referees for helpful comments on an earlier version of the manuscript.</t>
  </si>
  <si>
    <t>0022-5193</t>
  </si>
  <si>
    <t>1095-8541</t>
  </si>
  <si>
    <t>J THEOR BIOL</t>
  </si>
  <si>
    <t>J. Theor. Biol.</t>
  </si>
  <si>
    <t>JAN 7</t>
  </si>
  <si>
    <t>10.1016/j.jtbi.2009.09.006</t>
  </si>
  <si>
    <t>557CR</t>
  </si>
  <si>
    <t>Green Accepted, Green Submitted</t>
  </si>
  <si>
    <t>WOS:000274646600009</t>
  </si>
  <si>
    <t>Ito, T; Woloszyn, M; Mazloff, M</t>
  </si>
  <si>
    <t>Ito, T.; Woloszyn, M.; Mazloff, M.</t>
  </si>
  <si>
    <t>Anthropogenic carbon dioxide transport in the Southern Ocean driven by Ekman flow</t>
  </si>
  <si>
    <t>RECENT CLIMATE-CHANGE; CO2; CIRCULATION; MODEL; SINK</t>
  </si>
  <si>
    <t>The Southern Ocean, with its large surface area and vigorous overturning circulation, is potentially a substantial sink of anthropogenic CO(2) (refs 1-4). Despite its importance, the mechanism and pathways of anthropogenic CO(2) uptake and transport are poorly understood. Regulation of the Southern Ocean carbon sink by the wind-driven Ekman flow, mesoscale eddies and their interaction is under debate(5-8). Here we use a high-resolution ocean circulation and carbon cycle model to address the mechanisms controlling the Southern Ocean sink of anthropogenic CO(2). The focus of our study is on the intra-annual variability in anthropogenic CO(2) over a two-year time period. We show that the pattern of carbon uptake is correlated with the oceanic vertical exchange. Zonally integrated carbon uptake peaks at the Antarctic polar front. The carbon is then advected away from the uptake regions by the circulation of the Southern Ocean, which is controlled by the interplay among Ekman flow, ocean eddies and subduction of water masses. Although lateral carbon fluxes are locally dominated by the imprint of mesoscale eddies, the Ekman transport is the primary mechanism for the zonally integrated, cross-frontal transport of anthropogenic CO(2). Intra-annual variability of the cross-frontal transport is dominated by the Ekman flow with little compensation from eddies. A budget analysis in the density coordinate highlights the importance of wind-driven transport across the polar front and subduction at the subtropical front. Our results suggest intimate connections between oceanic carbon uptake and climate variability through the temporal variability of Ekman transport.</t>
  </si>
  <si>
    <t>[Ito, T.; Woloszyn, M.] Colorado State Univ, Dept Atmospher Sci, Ft Collins, CO 80523 USA; [Mazloff, M.] Univ Calif San Diego, Scripps Inst Oceanog, La Jolla, CA 92093 USA</t>
  </si>
  <si>
    <t>Colorado State University; University of California System; University of California San Diego; Scripps Institution of Oceanography</t>
  </si>
  <si>
    <t>Ito, T (corresponding author), Colorado State Univ, Dept Atmospher Sci, 1371 Campus Delivery, Ft Collins, CO 80523 USA.</t>
  </si>
  <si>
    <t>ito@atmos.colostate.edu</t>
  </si>
  <si>
    <t>Woloszyn, Mary/T-2186-2019; Mazloff, Matthew/AAG-6463-2019; Ito, Takamitsu/F-3856-2010</t>
  </si>
  <si>
    <t>Mazloff, Matthew/0000-0002-1650-5850; Woloszyn, Molly/0000-0001-7080-757X; Ito, Takamitsu/0000-0001-9873-099X</t>
  </si>
  <si>
    <t>US National Aeronautics and Space Administration (NASA) [NNX08AL72G]; US National Oceanic and Atmospheric Administration [NA08OAR4320893]</t>
  </si>
  <si>
    <t>US National Aeronautics and Space Administration (NASA)(National Aeronautics &amp; Space Administration (NASA)); US National Oceanic and Atmospheric Administration(National Oceanic Atmospheric Admin (NOAA) - USA)</t>
  </si>
  <si>
    <t>T. I. and M. W. are supported by the US National Aeronautics and Space Administration (NASA) grant NNX08AL72G and the US National Oceanic and Atmospheric Administration grant NA08OAR4320893. The Southern Ocean State Estimate is supported by NASA and US National Oceanographic Partnership Program contracts to the Massachusetts Institute of Technology. The NASA Advanced Supercomputing division and the San Diego Supercomputer Center provided computing and data storage resources. J. L. Sarmiento and N. Lovenduski provided comments that improved the manuscript.</t>
  </si>
  <si>
    <t>U85</t>
  </si>
  <si>
    <t>10.1038/nature08687</t>
  </si>
  <si>
    <t>540OV</t>
  </si>
  <si>
    <t>WOS:000273344900034</t>
  </si>
  <si>
    <t>Albertson, RC; Yan, YL; Titus, TA; Pisano, E; Vacchi, M; Yelick, PC; Detrich, HW; Postlethwait, JH</t>
  </si>
  <si>
    <t>Albertson, R. Craig; Yan, Yi-Lin; Titus, Tom A.; Pisano, Eva; Vacchi, Marino; Yelick, Pamela C.; Detrich, H. William, III; Postlethwait, John H.</t>
  </si>
  <si>
    <t>Molecular pedomorphism underlies craniofacial skeletal evolution in Antarctic notothenioid fishes</t>
  </si>
  <si>
    <t>BMC EVOLUTIONARY BIOLOGY</t>
  </si>
  <si>
    <t>ICEFISHES CHANNICHTHYIDAE; UNIQUE FAMILY; NEURAL CREST; EXPRESSION; SOX9; HINDBRAIN; GENE; DIVERGENCE; HETEROCHRONY; CHONDROCYTES</t>
  </si>
  <si>
    <t>Background: Pedomorphism is the retention of ancestrally juvenile traits by adults in a descendant taxon. Despite its importance for evolutionary change, there are few examples of a molecular basis for this phenomenon. Notothenioids represent one of the best described species flocks among marine fishes, but their diversity is currently threatened by the rapidly changing Antarctic climate. Notothenioid evolutionary history is characterized by parallel radiations from a benthic ancestor to pelagic predators, which was accompanied by the appearance of several pedomorphic traits, including the reduction of skeletal mineralization that resulted in increased buoyancy. Results: We compared craniofacial skeletal development in two pelagic notothenioids, Chaenocephalus aceratus and Pleuragramma antarcticum, to that in a benthic species, Notothenia coriiceps, and two outgroups, the threespine stickleback and the zebrafish. Relative to these other species, pelagic notothenioids exhibited a delay in pharyngeal bone development, which was associated with discrete heterochronic shifts in skeletal gene expression that were consistent with persistence of the chondrogenic program and a delay in the osteogenic program during larval development. Morphological analysis also revealed a bias toward the development of anterior and ventral elements of the notothenioid pharyngeal skeleton relative to dorsal and posterior elements. Conclusions: Our data support the hypothesis that early shifts in the relative timing of craniofacial skeletal gene expression may have had a significant impact on the adaptive radiation of Antarctic notothenioids into pelagic habitats.</t>
  </si>
  <si>
    <t>[Albertson, R. Craig] Syracuse Univ, Dept Biol, Syracuse, NY 13244 USA; [Yan, Yi-Lin; Titus, Tom A.; Postlethwait, John H.] 1254 Univ Oregon, Inst Neurosci, Eugene, OR 97403 USA; [Pisano, Eva] Univ Genoa, Dipartimento Biol, I-16132 Genoa, Italy; [Vacchi, Marino] Univ Genoa, MNA, ICRAM, I-16132 Genoa, Italy; [Yelick, Pamela C.] Tufts Univ, Dept Oral &amp; Maxillofacial Pathol, Boston, MA 02111 USA; [Detrich, H. William, III] Northeastern Univ, Dept Biol, Boston, MA 02115 USA</t>
  </si>
  <si>
    <t>Syracuse University; University of Oregon; University of Genoa; University of Genoa; Tufts University; Northeastern University</t>
  </si>
  <si>
    <t>Albertson, RC (corresponding author), Syracuse Univ, Dept Biol, 130 Coll Pl, Syracuse, NY 13244 USA.</t>
  </si>
  <si>
    <t>rcalbert@syr.edu</t>
  </si>
  <si>
    <t>Yan, Yi/GSO-3046-2022; Yelick, Pamela/AAP-5826-2020</t>
  </si>
  <si>
    <t>Yan, Yi/0000-0001-6641-0983;</t>
  </si>
  <si>
    <t>National Institute on Aging [R01AG031922]; NSF [OPP-0336932, ANT-0635470]; PNRA; Division Of Environmental Biology; Direct For Biological Sciences [0919452] Funding Source: National Science Foundation</t>
  </si>
  <si>
    <t>National Institute on Aging(United States Department of Health &amp; Human ServicesNational Institutes of Health (NIH) - USANIH National Institute on Aging (NIA)); NSF(National Science Foundation (NSF)); PNRA; Division Of Environmental Biology; Direct For Biological Sciences(National Science Foundation (NSF)NSF - Directorate for Biological Sciences (BIO))</t>
  </si>
  <si>
    <t>We thank the NSF Office of Polar Programs the support staff at Palmer Station, Antarctica, and the captains and crews of the ARSV Laurence M. Gould for the logistic support provided to this project. We also thank RB Miller and XJ He for expert histological assistance and JT Streelman and WJ Cooper for their insightful comments on earlier drafts of this manuscript. This manuscript was much improved by to the detailed comments of two anonymous reviewers. Special thanks also to CB Kimmel for advice on fish osteology and anatomical nomenclature. This work was supported by NIH grant R01AG031922 from the National Institute on Aging (J.H.P., H. W. D., R. C. A., and P.C.Y.), by NSF grants OPP-0336932 and ANT-0635470 (H. W. D.), and by PNRA (E. P., and M. V.).</t>
  </si>
  <si>
    <t>BMC</t>
  </si>
  <si>
    <t>CAMPUS, 4 CRINAN ST, LONDON N1 9XW, ENGLAND</t>
  </si>
  <si>
    <t>1471-2148</t>
  </si>
  <si>
    <t>BMC EVOL BIOL</t>
  </si>
  <si>
    <t>BMC Evol. Biol.</t>
  </si>
  <si>
    <t>JAN 6</t>
  </si>
  <si>
    <t>10.1186/1471-2148-10-4</t>
  </si>
  <si>
    <t>Evolutionary Biology; Genetics &amp; Heredity</t>
  </si>
  <si>
    <t>564WU</t>
  </si>
  <si>
    <t>WOS:000275249900001</t>
  </si>
  <si>
    <t>Sattler, B; Storrie-Lombardi, MC; Foreman, CM; Tilg, M; Psenner, R</t>
  </si>
  <si>
    <t>Sattler, Birgit; Storrie-Lombardi, Michael C.; Foreman, Christine M.; Tilg, Markus; Psenner, Roland</t>
  </si>
  <si>
    <t>Laser-induced fluorescence emission (LIFE) from Lake Fryxell (Antarctica) cryoconites</t>
  </si>
  <si>
    <t>ANNALS OF GLACIOLOGY</t>
  </si>
  <si>
    <t>MICROBIAL COMMUNITIES; SNOWBALL EARTH; ICE; GLACIER; CYANOBACTERIA; HOLES; WORLD; WATER; DUST; MARS</t>
  </si>
  <si>
    <t>Laser-induced fluorescence emission (LIFE) images were obtained in situ from a 27 cm long ice core at Lake Fryxell, Antarctica. The excitation was accomplished with a simple 532 nm green laser pen light, and the fluorescence images were captured with a small compact digital camera. The targets for the experiment were mm-scale cryoconite assemblages found in the ice covers of this perennially frozen Antarctic lake. The fluorescence response originates from photo-pigments in cyanobacteria-dominated cryoconite assemblages with phycoerythrin (PE) exhibiting the optimal target cross section. This inexpensive, low-mass, low-energy method avoids manipulation of the in situ habitat and individual target organisms and does not disturb the microbial community or the surrounding ice matrix. We establish the correlation between fluorescence intensity and PE concentration. We show that cryoconite fluorescence response does not appear to decrease with depth in the ice cover, in agreement with similar findings at Lake Untersee, a perennially ice-covered lake in Dronning Maud Land, Antarctica. Optical reflection and refraction events at the air/ice interface can complicate quantitative estimates of total pigment concentrations. Laser targeting of a single mm-scale cryoconite can result in multiple neighboring excitation events secondary to reflection and refraction phenomena in the multiple air/ice interface of the bubbles surrounding the primary target.</t>
  </si>
  <si>
    <t>[Sattler, Birgit; Tilg, Markus; Psenner, Roland] Univ Innsbruck, Inst Ecol, A-6020 Innsbruck, Austria; [Storrie-Lombardi, Michael C.] Kinohi Inst, Pasadena, CA 91104 USA; [Foreman, Christine M.] Montana State Univ, Ctr Biofilm Engn, Bozeman, MT 59717 USA; [Foreman, Christine M.] Montana State Univ, Dept Land Resources &amp; Environm Sci, Bozeman, MT 59717 USA</t>
  </si>
  <si>
    <t>University of Innsbruck; Montana State University System; Montana State University Bozeman; Montana State University System; Montana State University Bozeman</t>
  </si>
  <si>
    <t>Sattler, B (corresponding author), Univ Innsbruck, Inst Ecol, Tech Str 25, A-6020 Innsbruck, Austria.</t>
  </si>
  <si>
    <t>birgit.sattler@uibk.ac.at</t>
  </si>
  <si>
    <t>Sattler, Birgit/C-4070-2018</t>
  </si>
  <si>
    <t>Foreman, Christine/0000-0003-0230-4692</t>
  </si>
  <si>
    <t>Alpine Research Station Obergurgl (AFO); Austrian Ministry for Science and Research; Kinohi Institute; TAWANI Foundation; US National Science Foundation [NSF OPP 0838970]</t>
  </si>
  <si>
    <t>Alpine Research Station Obergurgl (AFO); Austrian Ministry for Science and Research; Kinohi Institute; TAWANI Foundation; US National Science Foundation(National Science Foundation (NSF))</t>
  </si>
  <si>
    <t>We thank the Alpine Research Station Obergurgl (AFO) and the Austrian Ministry for Science and Research (bm.wf, Sparkling Science), Kinohi Institute and TAWANI Foundation for financial and logistical support required for this study. B.S. and C.F. were supported by a grant from the US National Science Foundation (NSF OPP 0838970) to C.F.</t>
  </si>
  <si>
    <t>EDINBURGH BLDG, SHAFTESBURY RD, CB2 8RU CAMBRIDGE, ENGLAND</t>
  </si>
  <si>
    <t>0260-3055</t>
  </si>
  <si>
    <t>1727-5644</t>
  </si>
  <si>
    <t>ANN GLACIOL</t>
  </si>
  <si>
    <t>Ann. Glaciol.</t>
  </si>
  <si>
    <t>10.3189/172756411795931994</t>
  </si>
  <si>
    <t>759ZO</t>
  </si>
  <si>
    <t>WOS:000290290600018</t>
  </si>
  <si>
    <t>C</t>
  </si>
  <si>
    <t>Corney, S; Katzfey, J; McGregor, J; Grose, M; Holz, G; White, C; Bennett, J; Gaynor, S; Bindoff, N</t>
  </si>
  <si>
    <t>IOP</t>
  </si>
  <si>
    <t>Corney, Stuart; Katzfey, Jack; McGregor, John; Grose, Michael; Holz, Greg; White, Chris; Bennett, James; Gaynor, Suzie; Bindoff, Nathan</t>
  </si>
  <si>
    <t>Improved regional climate modelling through dynamical downscaling</t>
  </si>
  <si>
    <t>17TH NATIONAL CONFERENCE OF THE AUSTRALIAN METEOROLOGICAL AND OCEANOGRAPHIC SOCIETY</t>
  </si>
  <si>
    <t>IOP Conference Series-Earth and Environmental Science</t>
  </si>
  <si>
    <t>Proceedings Paper</t>
  </si>
  <si>
    <t>17th National Conference of the Australian-Meteorological-and-Oceanographic-Society</t>
  </si>
  <si>
    <t>JAN 27-29, 2010</t>
  </si>
  <si>
    <t>Australian Natl Univ (ANU), Canberra, AUSTRALIA</t>
  </si>
  <si>
    <t>Australian Natl Univ (ANU)</t>
  </si>
  <si>
    <t>Coupled Ocean-Atmosphere General Circulation Models (GCMs) provide the best estimates for assessing potential changes to our climate on a global scale out to the end of this century. Because coupled GCMs have a fairly coarse resolution they do not provide a detailed picture of climate (and climate change) at the local scale. Tasmania, due to its diverse geography and range of climate over a small area is a particularly difficult region for drawing conclusions regarding climate change when relying solely on GCMs. The foundation of the Climate Futures for Tasmania project is to take the output produced by multiple GCMs, using multiple climate change scenarios, and use this output as input into the Conformal Cubic Atmospheric Model (CCAM) to downscale the GCM output. CCAM is a full atmospheric global general circulation model, formulated using a conformal-cubic grid that covers the globe but can be stretched to provide higher resolution in the area of interest (Tasmania). By modelling the atmosphere at a much finer scale than is possible using a coupled GCM we can more accurately capture the processes that drive Tasmania's weather/climate, and thus can more clearly answer the question of how Tasmania's climate will change in the future. We present results that show the improvements in capturing the local-scale climate and climate drivers that can be achieved through downscaling, when compared to a gridded observational data set. The underlying assumption of this work is that a better simulated current climatology will also produce a more credible climate change signal.</t>
  </si>
  <si>
    <t>[Corney, Stuart; Grose, Michael; Holz, Greg; White, Chris; Bennett, James; Gaynor, Suzie; Bindoff, Nathan] Univ Tasmania, Antarctic Climate &amp; Ecosyst CRC, Hobart, Tas 7001, Australia</t>
  </si>
  <si>
    <t>Corney, S (corresponding author), Univ Tasmania, Antarctic Climate &amp; Ecosyst CRC, Private Bag 80, Hobart, Tas 7001, Australia.</t>
  </si>
  <si>
    <t>Stuart.Corney@acecrc.org.au</t>
  </si>
  <si>
    <t>Bindoff, Nathaniel Lee/IVV-0333-2023; Katzfey, Jack J/K-1231-2012; Bindoff, Nathaniel Lee/C-8050-2011; Katzfey, Jack/AAQ-9845-2020; Grose, Michael/AAV-1119-2021; Bennett, James/C-8456-2013</t>
  </si>
  <si>
    <t>Bindoff, Nathaniel Lee/0000-0001-5662-9519; Katzfey, Jack J/0000-0002-0604-8860; Bindoff, Nathaniel Lee/0000-0001-5662-9519; Bennett, James/0000-0002-4930-2638</t>
  </si>
  <si>
    <t>DIRAC HOUSE, TEMPLE BACK, BRISTOL BS1 6BE, ENGLAND</t>
  </si>
  <si>
    <t>1755-1307</t>
  </si>
  <si>
    <t>IOP C SER EARTH ENV</t>
  </si>
  <si>
    <t>IOP Conf. Ser. Earth Envir. Sci.</t>
  </si>
  <si>
    <t>10.1088/1755-1315/11/1/012026</t>
  </si>
  <si>
    <t>Environmental Sciences; Environmental Studies; Geology; Meteorology &amp; Atmospheric Sciences; Oceanography</t>
  </si>
  <si>
    <t>Conference Proceedings Citation Index - Science (CPCI-S)</t>
  </si>
  <si>
    <t>Environmental Sciences &amp; Ecology; Geology; Meteorology &amp; Atmospheric Sciences; Oceanography</t>
  </si>
  <si>
    <t>BGW91</t>
  </si>
  <si>
    <t>WOS:000324467700026</t>
  </si>
  <si>
    <t>Grose, MR; Corney, S; Bennett, J; White, CJ; Holz, GK; Bindoff, NL</t>
  </si>
  <si>
    <t>Grose, M. R.; Corney, S.; Bennett, J.; White, C. J.; Holz, G. K.; Bindoff, N. L.</t>
  </si>
  <si>
    <t>Assessing rainfall trends and remote drivers in regional climate change projections: the demanding test case of Tasmania</t>
  </si>
  <si>
    <t>Understanding and modelling Tasmanian rainfall variability and making future projections of Tasmanian rainfall are challenging tasks. Tasmania has spatially and temporally complex rainfall patterns. Rainfall variability is influenced by a complex suite of remote drivers and these influences vary by season. The Climate Futures for Tasmania high-resolution model simulations project small changes to annual rainfall averaged over Tasmania, but larger changes to the spatial patterns and seasonality of rainfall. A case study of changes to summer rainfall under a high greenhouse gas emission scenario is shown here. The projected summer decrease in rainfall in the western rainfall region is consistent with the southerly movement and intensification of the subtropical ridge as well as an enhancement of the high phase of the Southern Annular Mode. The increase along the east coastal strip is consistent with an increase in blocking in the Tasman Sea as well as an increase in sea surface temperature, relative humidity and convective rainfall. We propose that projections of rainfall for places like Tasmania are strengthened through dynamical downscaling and also the analysis of the rainfall mechanisms within the model at all length scales.</t>
  </si>
  <si>
    <t>[Grose, M. R.; Corney, S.; White, C. J.; Holz, G. K.; Bindoff, N. L.] Univ Tasmania, Antarctic Climate &amp; Ecosyst Cooperat Res Ctr, Hobart, Tas 7001, Australia</t>
  </si>
  <si>
    <t>Antarctic Climate &amp; Ecosystems Cooperative Research Centre (ACE CRC); University of Tasmania</t>
  </si>
  <si>
    <t>Grose, MR (corresponding author), Univ Tasmania, Antarctic Climate &amp; Ecosyst Cooperat Res Ctr, Private Bag 80, Hobart, Tas 7001, Australia.</t>
  </si>
  <si>
    <t>Michael.Grose@acecrc.org.au</t>
  </si>
  <si>
    <t>Bennett, James/C-8456-2013; Bindoff, Nathaniel Lee/IVV-0333-2023; Bindoff, Nathaniel Lee/C-8050-2011; Grose, Michael/AAV-1119-2021</t>
  </si>
  <si>
    <t>Bennett, James/0000-0002-4930-2638; Bindoff, Nathaniel Lee/0000-0001-5662-9519; Bindoff, Nathaniel Lee/0000-0001-5662-9519;</t>
  </si>
  <si>
    <t>10.1088/1755-1315/11/1/012038</t>
  </si>
  <si>
    <t>WOS:000324467700038</t>
  </si>
  <si>
    <t>Gulati, S; Richmond, K; Flesher, C; Hogan, BP; Murarka, A; Kuhlmann, G; Sridharan, M; Stone, WC; Doran, PT</t>
  </si>
  <si>
    <t>IEEE</t>
  </si>
  <si>
    <t>Gulati, Shilpa; Richmond, Kristof; Flesher, Christopher; Hogan, Bartholomew P.; Murarka, Aniket; Kuhlmann, Gregory; Sridharan, Mohan; Stone, William C.; Doran, Peter T.</t>
  </si>
  <si>
    <t>Toward Autonomous Scientific Exploration of Ice-covered Lakes-Field Experiments with the ENDURANCE AUV in an Antarctic Dry Valley</t>
  </si>
  <si>
    <t>2010 IEEE INTERNATIONAL CONFERENCE ON ROBOTICS AND AUTOMATION (ICRA)</t>
  </si>
  <si>
    <t>IEEE International Conference on Robotics and Automation ICRA</t>
  </si>
  <si>
    <t>IEEE International Conference on Robotics and Automation (ICRA)</t>
  </si>
  <si>
    <t>MAY 03-08, 2010</t>
  </si>
  <si>
    <t>Anchorage, AK</t>
  </si>
  <si>
    <t>Chemical properties of lake water can provide valuable insight into its ecology. Lakes that are permanently frozen over with ice are generally inaccessible to comprehensive exploration by humans. This paper describes the integration of several novel and existing technologies into an autonomous underwater robot, ENDURANCE, that was successfully used for gathering scientific data in West Lake Bonney in Taylor Valley, Antarctica, in December 2008. This paper focuses on three novel technological and algorithmic solutions. First, a robust position estimation system that uses an acoustic beacon to complement traditional dead-reckoning is described. Second, a novel vision-based docking algorithm for locating and ascending a vertical shaft by tracking a blinking light source is presented. Third, a novel profiling system for measuring water properties while causing minimal water disturbance is described. Finally, experimental results from the scientific missions in 2008 in West Lake Bonney are presented.</t>
  </si>
  <si>
    <t>[Gulati, Shilpa; Richmond, Kristof; Flesher, Christopher; Hogan, Bartholomew P.; Stone, William C.] Stone Aerosp, Del Valle, TX USA; [Gulati, Shilpa; Murarka, Aniket; Kuhlmann, Gregory] Univ Texas Austin, Austin, TX 78712 USA; [Sridharan, Mohan] Texas Tech Univ, Lubbock, TX 79409 USA; [Doran, Peter T.] Univ Illinois, Chicago, IL 60680 USA</t>
  </si>
  <si>
    <t>University of Texas System; University of Texas Austin; Texas Tech University System; Texas Tech University; University of Illinois System; University of Illinois Chicago; University of Illinois Chicago Hospital</t>
  </si>
  <si>
    <t>Gulati, S (corresponding author), Stone Aerosp, Del Valle, TX USA.</t>
  </si>
  <si>
    <t>gulati@mail.utexas.edu</t>
  </si>
  <si>
    <t>Sridharan, Mohan/AAY-7586-2021</t>
  </si>
  <si>
    <t>NASA [NNX07 AM88G]; ASTEP program office</t>
  </si>
  <si>
    <t>NASA(National Aeronautics &amp; Space Administration (NASA)); ASTEP program office</t>
  </si>
  <si>
    <t>ENDURANCE was a NASA sponsored research activity, funded through the ASTEP program office, NASA Science Directorate under grant NNX07 AM88G. Peter Doran at the University of Illinois at Chicago is the principal investigator. The authors would like to thank John Priscu at Montana State University; Andrew Johnson, Maciej Obryk, Shriram Iyer, and Alessandro Febretti at the University of Illinois at Chicago.; Logistical support in Antarctica was provided by the National Science Foundation through the U.S. Antarctic Program. The authors would also like to thank the Center for Limnology at the University of Wisconsin at Madison, the Hyde Park Baptist Church at The Quarries in Austin, Texas, and the Sonny Carter Training Facility Neutral Buoyancy Lab at NASA Johnson Space Center, for their enthusiastic support of the ENDURANCE test program.</t>
  </si>
  <si>
    <t>345 E 47TH ST, NEW YORK, NY 10017 USA</t>
  </si>
  <si>
    <t>1050-4729</t>
  </si>
  <si>
    <t>2577-087X</t>
  </si>
  <si>
    <t>978-1-4244-5040-4</t>
  </si>
  <si>
    <t>IEEE INT CONF ROBOT</t>
  </si>
  <si>
    <t>10.1109/ROBOT.2010.5509224</t>
  </si>
  <si>
    <t>Automation &amp; Control Systems; Engineering, Electrical &amp; Electronic; Robotics</t>
  </si>
  <si>
    <t>Automation &amp; Control Systems; Engineering; Robotics</t>
  </si>
  <si>
    <t>BSD39</t>
  </si>
  <si>
    <t>WOS:000284150000100</t>
  </si>
  <si>
    <t>Studinger, M; Koenig, L; Martin, S; Sonntag, J</t>
  </si>
  <si>
    <t>Studinger, Michael; Koenig, Lora; Martin, Seelye; Sonntag, John</t>
  </si>
  <si>
    <t>OPERATION ICEBRIDGE: USING INSTRUMENTED AIRCRAFT TO BRIDGE THE OBSERVATIONAL GAP BETWEEN ICESAT AND ICESAT-2</t>
  </si>
  <si>
    <t>2010 IEEE INTERNATIONAL GEOSCIENCE AND REMOTE SENSING SYMPOSIUM</t>
  </si>
  <si>
    <t>IEEE International Symposium on Geoscience and Remote Sensing IGARSS</t>
  </si>
  <si>
    <t>30th IEEE International Geoscience and Remote Sensing Symposium (IGARSS) on Remote Sensing - Global Vision for Local Action</t>
  </si>
  <si>
    <t>JUN 25-30, 2010</t>
  </si>
  <si>
    <t>Honolulu, HI</t>
  </si>
  <si>
    <t>Aircraft instrumentation; Arctic regions; Remote sensing; Laser; Radar</t>
  </si>
  <si>
    <t>Operation IceBridge, a six-year NASA mission, is the largest airborne survey of Earth's polar ice ever flown. Data collected during IceBridge will help scientists bridge the gap in polar observations between NASA's Ice, Cloud and Land Elevation Satellite (ICESat), in orbit from 2003 to 2009, and ICESat-2, planned for launch in late 2015, making IceBridge critical for ensuring a continuous series of observations. Operation IceBridge is using airborne instruments to map Arctic and Antarctic areas once a year, building on two decades of repeat airborne measurements of rapidly changing areas in the Arctic. Operation IceBridge is also producing critical data that cannot be measured from space such as ice thickness measurements. The first Operation IceBridge flights were conducted in boreal spring 2009 over Greenland and the boreal fall 2009 over Antarctica. Other smaller airborne surveys around the world are also part of NASA's Operation IceBridge campaign.</t>
  </si>
  <si>
    <t>[Studinger, Michael] UMBC, Goddard Earth Sci &amp; Technol Ctr, Greenbelt, MD 20771 USA; [Koenig, Lora] NASA, Goddard Space Flight Ctr, Cryospher Sci Branch, Greenbelt, MD USA; [Martin, Seelye] Univ Washington, Sch Oceanog, Seattle, WA 98195 USA; [Sonntag, John] NASA, Wallops Flight Facil, Wallops Isl, VA USA</t>
  </si>
  <si>
    <t>National Aeronautics &amp; Space Administration (NASA); NASA Goddard Space Flight Center; University System of Maryland; University of Maryland Baltimore County; National Aeronautics &amp; Space Administration (NASA); NASA Goddard Space Flight Center; University of Washington; University of Washington Seattle; National Aeronautics &amp; Space Administration (NASA); NASA Goddard Space Flight Center; Wallops Flight Facility</t>
  </si>
  <si>
    <t>Studinger, M (corresponding author), UMBC, Goddard Earth Sci &amp; Technol Ctr, Greenbelt, MD 20771 USA.</t>
  </si>
  <si>
    <t>Studinger, Michael/0000-0003-1265-4741</t>
  </si>
  <si>
    <t>2153-6996</t>
  </si>
  <si>
    <t>978-1-4244-9566-5</t>
  </si>
  <si>
    <t>INT GEOSCI REMOTE SE</t>
  </si>
  <si>
    <t>10.1109/IGARSS.2010.5650555</t>
  </si>
  <si>
    <t>Geosciences, Multidisciplinary; Remote Sensing</t>
  </si>
  <si>
    <t>Geology; Remote Sensing</t>
  </si>
  <si>
    <t>BTS07</t>
  </si>
  <si>
    <t>WOS:000287933802016</t>
  </si>
  <si>
    <t>Stuart, KM; Long, DG</t>
  </si>
  <si>
    <t>Stuart, Keith M.; Long, David G.</t>
  </si>
  <si>
    <t>ICEBERG SIZE AND ORIENTATION ESTIMATION USING SEAWINDS</t>
  </si>
  <si>
    <t>IEEE International Geoscience and Remote Sensing Symposium</t>
  </si>
  <si>
    <t>Ice; radar scattering; estimation</t>
  </si>
  <si>
    <t>From 1999 to 2009, the SeaWinds scatterometer has been used to detect and track large Antarctic icebergs on a daily basis. Here, we develop an automated estimation algorithm to supplement iceberg position reports with estimates of the iceberg's major axis length, minor axis length, and angle of orientation. A maximum-likelihood objective function that relates measured backscatter to model-based simulated backscatter is developed. The utility of the estimation approach is analyzed in simulation and via a case study of iceberg A22a. Subsequent results agree with and supplement reports compiled by the United States National Ice Center.</t>
  </si>
  <si>
    <t>[Stuart, Keith M.; Long, David G.] Brigham Young Univ, MERS Lab, Provo, UT 84602 USA</t>
  </si>
  <si>
    <t>Brigham Young University</t>
  </si>
  <si>
    <t>Stuart, KM (corresponding author), Brigham Young Univ, MERS Lab, 459 CB, Provo, UT 84602 USA.</t>
  </si>
  <si>
    <t>Long, David G./K-4908-2015</t>
  </si>
  <si>
    <t>Long, David G./0000-0002-1852-3972</t>
  </si>
  <si>
    <t>10.1109/IGARSS.2010.5652882</t>
  </si>
  <si>
    <t>WOS:000287933802138</t>
  </si>
  <si>
    <t>Floricioiu, D; Jezek, K; Eineder, M; Farness, K; Jaber, WA; Yague-Martinez, N</t>
  </si>
  <si>
    <t>Floricioiu, Dana; Jezek, Kenneth; Eineder, Michael; Farness, Katy; Jaber, Wael Abdel; Yague-Martinez, Nestor</t>
  </si>
  <si>
    <t>TERRASAR-X OBSERVATIONS OVER THE ANTARCTIC ICE SHEET</t>
  </si>
  <si>
    <t>TerraSAR-X; glacier velocity; Transantarctic Mountains; speckle tracking</t>
  </si>
  <si>
    <t>An incoherent correlation approach is used to derive ice motion fields for outlet glaciers through the Transantarctic Mountains, Antarctica. High-resolution repeat-pass, left-looking-mode TerraSAR-X data from 2009 were analyzed. Detailed ice velocity patterns on the Nimrod glacier basin and Starshot glacier are presented.</t>
  </si>
  <si>
    <t>[Floricioiu, Dana; Eineder, Michael; Jaber, Wael Abdel; Yague-Martinez, Nestor] German Aerosp Ctr, DLR, Remote Sensing Technol Inst, Oberpfaffenhofen, Germany; [Jezek, Kenneth; Farness, Katy] Ohio State Univ, Byrd Polar Res Ctr, Columbus, OH USA</t>
  </si>
  <si>
    <t>Helmholtz Association; German Aerospace Centre (DLR); University System of Ohio; Ohio State University</t>
  </si>
  <si>
    <t>Floricioiu, D (corresponding author), German Aerosp Ctr, DLR, Remote Sensing Technol Inst, Oberpfaffenhofen, Germany.</t>
  </si>
  <si>
    <t>dana.floricioiu@dlr.de</t>
  </si>
  <si>
    <t>Jaber, Wael/Y-4713-2019</t>
  </si>
  <si>
    <t>10.1109/IGARSS.2010.5648995</t>
  </si>
  <si>
    <t>WOS:000287933802195</t>
  </si>
  <si>
    <t>Börner, T; De Zan, F; López-Dekker, P; Krieger, G; Hajnsek, I; Papathanassiou, K; Villano, M; Younis, M; Danklmayer, A; Dierking, W; Nagler, T; Rott, H; Lehner, S; Fügen, T; Moreira, A</t>
  </si>
  <si>
    <t>Boerner, Thomas; De Zan, Francesco; Lopez-Dekker, Paco; Krieger, Gerhard; Hajnsek, Irena; Papathanassiou, Kostas; Villano, Michelangelo; Younis, Marwan; Danklmayer, Andreas; Dierking, Wolfgang; Nagler, Thomas; Rott, Helmut; Lehner, Susanne; Fuegen, Thomas; Moreira, Alberto</t>
  </si>
  <si>
    <t>SIGNAL: SAR FOR ICE, GLACIER AND GLOBAL DYNAMICS</t>
  </si>
  <si>
    <t>SAR; Mission; Ice; Glacier; Ka-band</t>
  </si>
  <si>
    <t>SIGNAL is an innovative earth exploration mission proposal with the main objective to estimate accurately and repeatedly topography and topographic changes associated with mass change or other dynamic effects on glaciers, ice caps and polar ice sheets. Elevation measurements are complemented with glacier velocity measurements, providing valuable additional information for a better understanding of the hydrology of glacierized basins and of the Arctic and Antarctic water cycle. SIGNAL is capable of monitoring all critical regions with a high spatial resolution and an adequate revisit time. This paper gives an overview about the actual mission design status and provides a brief description of the topography (DEM - digital elevation map) self-calibration strategy and the estimated global interferometric performance.</t>
  </si>
  <si>
    <t>[Boerner, Thomas; De Zan, Francesco; Lopez-Dekker, Paco; Krieger, Gerhard; Hajnsek, Irena; Papathanassiou, Kostas; Villano, Michelangelo; Younis, Marwan; Danklmayer, Andreas; Moreira, Alberto] German Aerosp Ctr DLR, Microwaves &amp; Radar Inst, Gottingen, Germany; [Dierking, Wolfgang] Alfred Wegener Inst, Bremerhaven, Germany; [Nagler, Thomas; Rott, Helmut] Univ Innsbruck, Inst Meteorol &amp; Geophys, A-6020 Innsbruck, Austria; [Lehner, Susanne] German Aerosp Ctr DLR, Remote Sens Technol Inst, Kolin, Germany</t>
  </si>
  <si>
    <t>Helmholtz Association; German Aerospace Centre (DLR); Helmholtz Association; Alfred Wegener Institute, Helmholtz Centre for Polar &amp; Marine Research; University of Innsbruck; Helmholtz Association; German Aerospace Centre (DLR)</t>
  </si>
  <si>
    <t>Börner, T (corresponding author), German Aerosp Ctr DLR, Microwaves &amp; Radar Inst, Gottingen, Germany.</t>
  </si>
  <si>
    <t>De Zan, Francesco/AAT-1240-2020; Younis, Marwan/IZE-4080-2023; Hajnsek, Irena/AAH-1504-2021; Lopez-Dekker, Paco/D-4862-2012; Younis, Marwan/AAD-9345-2021; Younis, Marwan/AAA-6816-2020; Dekker, Paco Lopez/AAB-4995-2021; Moreira, Alberto/C-1147-2013; Krieger, Gerhard/D-5164-2012</t>
  </si>
  <si>
    <t>De Zan, Francesco/0000-0002-1643-2559; Villano, Michelangelo/0000-0002-1769-6927; Lopez Dekker, Paco/0000-0002-0221-4403; Moreira, Alberto/0000-0002-3436-9653; Krieger, Gerhard/0000-0002-4548-0285</t>
  </si>
  <si>
    <t>German Space Agency of the German Aerospace Center (DLR); Federal Ministry of Economics and Technology (BMWi) [50 EE 0931]</t>
  </si>
  <si>
    <t>German Space Agency of the German Aerospace Center (DLR); Federal Ministry of Economics and Technology (BMWi)(Federal Ministry for Economic Affairs and Energy (BMWi))</t>
  </si>
  <si>
    <t>The SIGNAL project is supported by the German Space Agency of the German Aerospace Center (DLR) with funds of the Federal Ministry of Economics and Technology (BMWi) under support code 50 EE 0931.</t>
  </si>
  <si>
    <t>10.1109/IGARSS.2010.5653162</t>
  </si>
  <si>
    <t>WOS:000287933803008</t>
  </si>
  <si>
    <t>Panzer, B; Leuschen, C; Patel, A; Markus, T; Gogineni, S</t>
  </si>
  <si>
    <t>Panzer, Ben; Leuschen, Carl; Patel, Aqsa; Markus, Thorsten; Gogineni, Sivaprasad</t>
  </si>
  <si>
    <t>ULTRA-WIDEBAND RADAR MEASUREMENTS OF SNOW THICKNESS OVER SEA ICE</t>
  </si>
  <si>
    <t>sea ice; snow thickness; ultra-wideband radar; airborne measurements</t>
  </si>
  <si>
    <t>An ultra-wideband, frequency modulated, continuous wave radar working from 2.0 to 6.5 GHz was designed, built and tested at the Center for Remote Sensing of Ice Sheets (CReSIS) at the University of Kansas to measure snow thickness over sea ice. Improvements and modifications to the existing radar, compared to previous versions, allow for snow thickness measurements over sea ice in the Arctic and Antarctic oceans as part of NASA's Operation Ice Bridge.</t>
  </si>
  <si>
    <t>[Panzer, Ben; Leuschen, Carl; Patel, Aqsa; Gogineni, Sivaprasad] Univ Kansas, Ctr Remote Sensing Ice Sheets, Lawrence, KS 66045 USA; [Markus, Thorsten] NASA, Goddard Space Flight Ctr, Lab Hydrospher Proc, Greenbelt, MD USA</t>
  </si>
  <si>
    <t>University of Kansas; National Aeronautics &amp; Space Administration (NASA); NASA Goddard Space Flight Center</t>
  </si>
  <si>
    <t>Panzer, B (corresponding author), Univ Kansas, Ctr Remote Sensing Ice Sheets, Lawrence, KS 66045 USA.</t>
  </si>
  <si>
    <t>Markus, Thorsten/D-5365-2012</t>
  </si>
  <si>
    <t>National Aeronautics and Space Administration NASA [NAG5-11788]</t>
  </si>
  <si>
    <t>National Aeronautics and Space Administration NASA(National Aeronautics &amp; Space Administration (NASA))</t>
  </si>
  <si>
    <t>This work was supported by the National Aeronautics and Space Administration (NASA) under Grant NAG5-11788</t>
  </si>
  <si>
    <t>10.1109/IGARSS.2010.5654342</t>
  </si>
  <si>
    <t>WOS:000287933803070</t>
  </si>
  <si>
    <t>Powell, J; Hayden, L</t>
  </si>
  <si>
    <t>Powell, Je'aime; Hayden, Linda</t>
  </si>
  <si>
    <t>MULTI-CHANNEL RADAR DEPTH SOUNDER (MCRDS) SIGNAL PROCESSING: A DISTRIBUTED COMPUTING APPROACH</t>
  </si>
  <si>
    <t>CReSIS; CSARP; Distributed; Computing; MATLAB</t>
  </si>
  <si>
    <t>In response to problems surrounding measuring ice sheet thickness in high attenuation areas of Greenland and the Antarctic, the Center for the Remote Sensing of Ice Sheets (CReSIS) created a Multi-Channel RADAR Depth Sounder (MCRDS). The MCRDS system was used to measure ice thicknesses of up to five kilometers in depth. This system produced large datasets, which required greater processing capabilities in the field. The purpose of this project was to test processing performance on a 32-core cluster through distributed computing resources. Testing involved a six-node cluster with an attached storage array and use of the CReSIS Synthetic Aperture RADAR Processor (CSARP) through the MATLAB Distributed Server Job Manager. Performance testing was derived from average run times collected once CSARP jobs completed. The run times were then compared using an ANOVA test with a five percent significance level.</t>
  </si>
  <si>
    <t>[Powell, Je'aime; Hayden, Linda] Elizabeth City State Univ, Elizabeth City, NC USA</t>
  </si>
  <si>
    <t>University of North Carolina; Elizabeth City State University</t>
  </si>
  <si>
    <t>Powell, J (corresponding author), Elizabeth City State Univ, Elizabeth City, NC USA.</t>
  </si>
  <si>
    <t>10.1109/IGARSS.2010.5651272</t>
  </si>
  <si>
    <t>WOS:000287933803128</t>
  </si>
  <si>
    <t>Haug, T; Debella-Gilo, M; Karstensen, J; Kääb, A</t>
  </si>
  <si>
    <t>Haug, Torborg; Debella-Gilo, Misganu; Karstensen, Jonas; Kaab, Andreas</t>
  </si>
  <si>
    <t>PERFORMANCE AND APPLICATION OF DIFFERENT IMAGE MATCHING ALGORITHMS FOR INVESTIGATING GLACIER AND ICE-SHELF FLOW, PERMAFROST CREEP AND LANDSLIDES</t>
  </si>
  <si>
    <t>Image matching; displacement measurements; glacier and ice shelf; rockglacier; landslide</t>
  </si>
  <si>
    <t>ANTARCTIC PENINSULA; DYNAMICS</t>
  </si>
  <si>
    <t>This study focuses on evaluating image correlation methods for deriving surface velocity fields of glaciers, ice shelves, rockglaciers and landslides from both repeat optical and synthetic aperture radar (SAR) images. Firstly we show that low resolution MODIS images (250m spatial resolution) can in fact be used for determining displacements on Antarctic ice shelves. In this particular case, orientation correlation operated in the frequency domain and using only the phase part of the signal performs better than normalized cross-correlation operated in the spatial domain. Secondly we demonstrate that for determining subpixel displacement when using normalized cross-correlation, image intensity interpolation before the matching process outperforms interpolation of the correlation peak after the matching. We also study methods for adaptively varying the matching template size in order to create the most reliable and accurate matches. The last part of the work shows some application studies of glacier flow from optical and SAR images, rockglacier creep and land sliding.</t>
  </si>
  <si>
    <t>[Haug, Torborg; Debella-Gilo, Misganu; Karstensen, Jonas; Kaab, Andreas] Univ Oslo, Dept Geosci, N-0316 Oslo, Norway</t>
  </si>
  <si>
    <t>University of Oslo</t>
  </si>
  <si>
    <t>Haug, T (corresponding author), Univ Oslo, Dept Geosci, POB 1047, N-0316 Oslo, Norway.</t>
  </si>
  <si>
    <t>Debella-Gilo, Misganu/HKV-8782-2023; Kääb, Andreas/AAG-8769-2020; Kääb, Andreas/A-3607-2012</t>
  </si>
  <si>
    <t>Debella-Gilo, Misganu/0000-0003-1452-1395; Kääb, Andreas/0000-0002-6017-6564;</t>
  </si>
  <si>
    <t>10.1109/IGARSS.2010.5649989</t>
  </si>
  <si>
    <t>WOS:000287933803198</t>
  </si>
  <si>
    <t>Smith, L; Paden, J; Leuschen, C; Gogineni, S</t>
  </si>
  <si>
    <t>Smith, L.; Paden, J.; Leuschen, C.; Gogineni, S.</t>
  </si>
  <si>
    <t>BEAMWIDTH ANALYSIS FOR SAR PROCESSING OF AIRBORNE DEPTH-SOUNDER DATA OVER ICE SHEETS</t>
  </si>
  <si>
    <t>Synthetic Aperture Radar; Beamwidth; Ice Sheets; Depth Sounding</t>
  </si>
  <si>
    <t>Information on the bedrock topography below the Greenland and Antarctic ice sheets is vital to developing models of future sea-level rise. To measure the topography, advanced data acquisition and processing techniques, including Synthetic Aperture Radar (SAR), are required. This work investigates the optimal beamwidth that would enable SAR processing to maximize the signal to noise ratio of the target. Platform height above the ice surface and bedrock roughness determine the optimal beamwidth. We found that for data collected at a typical altitude of 867 m, the optimal beamwidth is about 8 degrees. In the high-altitude case, we found that beamwidth did not have a significant effect on the signal-to-noise ratio. This is probably related to scattering from the ice surface.</t>
  </si>
  <si>
    <t>[Smith, L.; Paden, J.; Leuschen, C.; Gogineni, S.] Univ Kansas, Ctr Remote Sensing Ice Sheets CReSIS, Lawrence, KS 66045 USA</t>
  </si>
  <si>
    <t>University of Kansas</t>
  </si>
  <si>
    <t>Smith, L (corresponding author), Univ Kansas, Ctr Remote Sensing Ice Sheets CReSIS, Lawrence, KS 66045 USA.</t>
  </si>
  <si>
    <t>10.1109/IGARSS.2010.5653854</t>
  </si>
  <si>
    <t>WOS:000287933804193</t>
  </si>
  <si>
    <t>Freeman, MP; Watkins, NW; Yoneki, E; Crowcroft, J</t>
  </si>
  <si>
    <t>Memon, N; Alhajj, R</t>
  </si>
  <si>
    <t>Freeman, Mervyn P.; Watkins, Nicholas W.; Yoneki, Eiko; Crowcroft, Jon</t>
  </si>
  <si>
    <t>Rhythm and Randomness in Human Contact</t>
  </si>
  <si>
    <t>2010 INTERNATIONAL CONFERENCE ON ADVANCES IN SOCIAL NETWORKS ANALYSIS AND MINING (ASONAM 2010)</t>
  </si>
  <si>
    <t>International Conference on Advances in Social Network Analysis and Mining (ASONAM)</t>
  </si>
  <si>
    <t>AUG 09-11, 2010</t>
  </si>
  <si>
    <t>Odense, DENMARK</t>
  </si>
  <si>
    <t>There is substantial interest in the effect of human mobility patterns on opportunistic communications. Inspired by recent work revisiting some of the early evidence for a Levy flight foraging strategy in animals, we analyse datasets on human contact from real world traces. By analysing the distribution of inter-contact times on different time scales and using different graphical forms, we find not only the highly skewed distributions of waiting times highlighted in previous studies but also clear circadian rhythm. The relative visibility of these two components depends strongly on which graphical form is adopted and the range of time scales. We use a simple model to reconstruct the observed behaviour and discuss the implications of this for forwarding efficiency.</t>
  </si>
  <si>
    <t>[Freeman, Mervyn P.; Watkins, Nicholas W.] British Antarctic Survey, Cambridge, England; [Yoneki, Eiko; Crowcroft, Jon] Univ Cambridge, Cambridge, England</t>
  </si>
  <si>
    <t>UK Research &amp; Innovation (UKRI); Natural Environment Research Council (NERC); NERC British Antarctic Survey; University of Cambridge</t>
  </si>
  <si>
    <t>Freeman, MP (corresponding author), British Antarctic Survey, Cambridge, England.</t>
  </si>
  <si>
    <t>mpf@bas.ac.uk; nww@bas.ac.uk; eiko.yoneki@cl.cam.ac.uk; jon.crowcroft@cl.cam.ac.uk</t>
  </si>
  <si>
    <t>Watkins, Nicholas Wynn/C-5140-2008; Watkins, Nick/GPX-7439-2022; Freeman, Mervyn/E-5687-2019</t>
  </si>
  <si>
    <t>Watkins, Nicholas Wynn/0000-0003-4484-6588; Watkins, Nick/0000-0003-4484-6588; Freeman, Mervyn/0000-0002-8653-8279; Crowcroft, Jon/0000-0002-7013-0121</t>
  </si>
  <si>
    <t>EU grants for the Haggle project [IST-4-027918]; SOCIALNETS project [217141]; EPSRC DDEPI Project [EP/H003959]; Natural Environment Research Council; Natural Environment Research Council [bas010021] Funding Source: researchfish</t>
  </si>
  <si>
    <t>EU grants for the Haggle project; SOCIALNETS project; EPSRC DDEPI Project(UK Research &amp; Innovation (UKRI)Engineering &amp; Physical Sciences Research Council (EPSRC)); Natural Environment Research Council(UK Research &amp; Innovation (UKRI)Natural Environment Research Council (NERC)); Natural Environment Research Council(UK Research &amp; Innovation (UKRI)Natural Environment Research Council (NERC))</t>
  </si>
  <si>
    <t>The research is part funded by the EU grants for the Haggle project, IST-4-027918, the SOCIALNETS project, 217141, and the EPSRC DDEPI Project, EP/H003959. MPF and NWW are supported by the Natural Environment Research Council.</t>
  </si>
  <si>
    <t>IEEE COMPUTER SOC</t>
  </si>
  <si>
    <t>LOS ALAMITOS</t>
  </si>
  <si>
    <t>10662 LOS VAQUEROS CIRCLE, PO BOX 3014, LOS ALAMITOS, CA 90720-1264 USA</t>
  </si>
  <si>
    <t>978-0-7695-4138-9</t>
  </si>
  <si>
    <t>10.1109/ASONAM.2010.57</t>
  </si>
  <si>
    <t>Computer Science, Artificial Intelligence; Computer Science, Information Systems</t>
  </si>
  <si>
    <t>Computer Science</t>
  </si>
  <si>
    <t>BG9JC</t>
  </si>
  <si>
    <t>WOS:000393301300024</t>
  </si>
  <si>
    <t>Qi, W; Wang, W; Chen, NC</t>
  </si>
  <si>
    <t>Zhang, Y; Tan, H</t>
  </si>
  <si>
    <t>Qi, Wei; Wang, Wei; Chen, Nengcheng</t>
  </si>
  <si>
    <t>Eco-environment Vulnerabiltiy Assessment Based on SOM-Ward ANN Clustering Methods</t>
  </si>
  <si>
    <t>2010 THE 3RD INTERNATIONAL CONFERENCE ON COMPUTATIONAL INTELLIGENCE AND INDUSTRIAL APPLICATION (PACIIA2010), VOL IX</t>
  </si>
  <si>
    <t>Chinese</t>
  </si>
  <si>
    <t>3rd International Conference on Computational Intelligence and Industrial Application (PACIIA2010)</t>
  </si>
  <si>
    <t>DEC 04-05, 2010</t>
  </si>
  <si>
    <t>Wuhan, PEOPLES R CHINA</t>
  </si>
  <si>
    <t>eco-environment; vulnerabiltiy assessment; unsupervised artificial neural network; Self-organizaing map (SOM); Ward's clustering</t>
  </si>
  <si>
    <t>This paper proposed a new unsupervised artificial neural network i.e. the SOM-Ward clustering method for conducting eco-environment vulnerabiltiy assessment. Through the clustering results on Fildes Peninsula we summarize the characteristics of the eco-environment vulnerability of the Antarctic ice-free areas and verify the practicability and reliability of the SOM-Ward model.</t>
  </si>
  <si>
    <t>[Qi, Wei; Wang, Wei; Chen, Nengcheng] Wuhan Univ, State Key Lab Informat Engn Surveying Mapping &amp; R, Wuhan, Peoples R China</t>
  </si>
  <si>
    <t>Wuhan University</t>
  </si>
  <si>
    <t>Qi, W (corresponding author), Wuhan Univ, State Key Lab Informat Engn Surveying Mapping &amp; R, Wuhan, Peoples R China.</t>
  </si>
  <si>
    <t>qiwei01@21cn.com</t>
  </si>
  <si>
    <t>978-1-4244-9945-8</t>
  </si>
  <si>
    <t>Computer Science, Artificial Intelligence; Engineering, Electrical &amp; Electronic</t>
  </si>
  <si>
    <t>Computer Science; Engineering</t>
  </si>
  <si>
    <t>BH1PZ</t>
  </si>
  <si>
    <t>WOS:000398420000016</t>
  </si>
  <si>
    <t>Finley, C</t>
  </si>
  <si>
    <t>SISSA</t>
  </si>
  <si>
    <t>Finley, Chad</t>
  </si>
  <si>
    <t>IceCube Collaboration</t>
  </si>
  <si>
    <t>Recent Results from the IceCube Neutrino Observatory</t>
  </si>
  <si>
    <t>35TH INTERNATIONAL CONFERENCE OF HIGH ENERGY PHYSICS (ICHEP 2010)</t>
  </si>
  <si>
    <t>35th International Conference of High Energy Physics (ICHEP)</t>
  </si>
  <si>
    <t>JUL 22-28, 2010</t>
  </si>
  <si>
    <t>Paris, FRANCE</t>
  </si>
  <si>
    <t>Observations spanning TeV gamma rays to EeV cosmic rays suggest that a correlated flux of neutrinos within this energy range should also exist. Hadronic acceleration should lead to pion production via p-p and p-gamma interactions, and the subsequent decay of charged pions leads to neutrinos. The principal mission of the IceCube Neutrino Observatory is to detect these high energy neutrinos and identify their sources. Leading source candidates are objects long suspected of accelerating cosmic rays, such as supernova remnants, microquasars, active galactic nuclei, and gamma ray bursts. In addition to the expected conventional astrophysical sources, a wide range of dark matter models predict that neutrinos in the GeV to TeV range may be detected from the Sun due to the annihilation of dark matter particles, which would accumulate in its center. Located at the geographic South Pole, IceCube has been under construction since 2005 and is scheduled to be completed in 2011. IceCube is instrumenting one cubic kilometer of the clear Antarctic ice sheet with an array of over 5000 modules to detect the Cherenkov light from relativistic particles traversing the ice. High energy neutrinos which interact within or near the detector lead to daughter particles such as muons whose km-long tracks can be reconstructed and used to infer the incoming neutrino direction with as little as 0.5 degrees uncertainty for high energy events. While IceCube cannot claim detection of extraterrestrial neutrinos yet, tens of thousands of high energy neutrinos from cosmic ray air showers have already been observed. During the same time, billions of cosmic ray showers have been observed in the form of muons passing downward through the in-ice detector. This high statistics sample has revealed the existence in the southern sky of a large scale anisotropy of cosmic rays above TeV energies, similar to the anisotropy observed in the northern sky. Results of recent searches for neutrino point sources, indirect dark matter detection, and cosmic ray anisotropies will be presented.</t>
  </si>
  <si>
    <t>[Finley, Chad; IceCube Collaboration] Univ Stockholm, Stockholm, Sweden</t>
  </si>
  <si>
    <t>Stockholm University</t>
  </si>
  <si>
    <t>Finley, C (corresponding author), Univ Stockholm, Stockholm, Sweden.</t>
  </si>
  <si>
    <t>cfinley@fysik.su.se</t>
  </si>
  <si>
    <t>Sánchez, Juan Antonio Aguilar/H-4467-2015</t>
  </si>
  <si>
    <t>Swedish Research Council (VR) through the Oskar Klein Centre</t>
  </si>
  <si>
    <t>Swedish Research Council (VR) through the Oskar Klein Centre(Swedish Research Council)</t>
  </si>
  <si>
    <t>I am grateful for financial support from the Swedish Research Council (VR) through the Oskar Klein Centre.</t>
  </si>
  <si>
    <t>SCUOLA INT SUPERIORE STUDI AVANZATI-SISSA</t>
  </si>
  <si>
    <t>TRIESTE</t>
  </si>
  <si>
    <t>VIA BONOMEA, 265, TRIESTE, 34136, ITALY</t>
  </si>
  <si>
    <t>Physics, Particles &amp; Fields</t>
  </si>
  <si>
    <t>BG7ZH</t>
  </si>
  <si>
    <t>WOS:000392111500360</t>
  </si>
  <si>
    <t>Spurio, M</t>
  </si>
  <si>
    <t>Spurio, M.</t>
  </si>
  <si>
    <t>The ANTARES neutrino telescope</t>
  </si>
  <si>
    <t>ATMOSPHERIC MUONS</t>
  </si>
  <si>
    <t>The ANTARES collaboration has completed since May 2008 the construction of the largest neutrino telescope in the Northern hemisphere. Thanks to its modular geometry ANTARES took data also before completion, since the deployment of its first line. It is installed about 40 km off the coast of Toulon, France, at a maximum depth of 2475 m in the Mediterranean Sea(42 degrees 48'N,6 degrees 10'E). The detector is a 3-dimensional array of photomultiplier tubes (PMTs) distributed along twelve lines. The lines are anchored at the seabed at distances of similar to 70 m from each other and tensioned by buoys at the top. Each line has 25 storeys placed every 14.5 m, each of them containing three optical modules (OMs) and a local control module for the corresponding electronics. The 885 OMs containing the PMTs point at 45 degrees below the horizontal. The total instrumented volume is about 10(7) m(3). Neutrino telescopes, unlike usual optical telescopes, are looking downward. The challenge of measuring muon neutrinos via v(mu) + N -&gt; mu + X consists in reconstructing the muon trajectory using the arrival times and the amplitudes of the Cherenkov light detected by the OMs, and of estimating the muon energy. Up-going muons can only be produced by interactions of up-going neutrinos. Only atmospheric neutrinos that have traversed the Earth represent the irreducible background for the study of cosmic neutrinos. The main goal of the experiment is the detection of high-energy neutrinos from astrophysical sources; other topics include the indirect detection of v's from dark matter annihilation coming from the Sun direction; the study of the penetrating radiation in the Cosmic Rays. A neutrino telescope in the Northern hemisphere can look at the centre of our Galaxy, and it is complementary to the AMANDA/ICECUBE Antarctic telescope. In parallel, research in several fields of marine sciences will be carried out. The first results from the ANTARES detector concerning the measurement of the atmospheric muon flux, the searches for point-like neutrino sources and the limits for a diffuse flux of cosmic v(mu) are presented.</t>
  </si>
  <si>
    <t>[Spurio, M.] Univ Bologna, Dipartimento Fis, I-40126 Bologna, Italy; [Spurio, M.] INFN Sez Bologna, Bologna, Italy</t>
  </si>
  <si>
    <t>University of Bologna; Istituto Nazionale di Fisica Nucleare (INFN)</t>
  </si>
  <si>
    <t>Spurio, M (corresponding author), Univ Bologna, Dipartimento Fis, I-40126 Bologna, Italy.</t>
  </si>
  <si>
    <t>maurizio.spurio@unibo.it</t>
  </si>
  <si>
    <t>Spurio, Maurizio/AAM-2262-2020</t>
  </si>
  <si>
    <t>Spurio, Maurizio/0000-0002-8698-3655</t>
  </si>
  <si>
    <t>WOS:000392111500376</t>
  </si>
  <si>
    <t>Zhou, W; Wang, H</t>
  </si>
  <si>
    <t>Jiang, W; Cho, MK; Wu, F</t>
  </si>
  <si>
    <t>Zhou, Wen; Wang, Hai</t>
  </si>
  <si>
    <t>The Simulation of the Antarctic Robotic Telescope Model based on VC</t>
  </si>
  <si>
    <t>5TH INTERNATIONAL SYMPOSIUM ON ADVANCED OPTICAL MANUFACTURING AND TESTING TECHNOLOGIES: LARGE MIRRORS AND TELESCOPES</t>
  </si>
  <si>
    <t>Proceedings of SPIE-The International Society for Optical Engineering</t>
  </si>
  <si>
    <t>5th International Symposium on Advanced Optical Manufacturing and Testing Technologies - Large Mirrors and Telescopes</t>
  </si>
  <si>
    <t>APR 26-29, 2010</t>
  </si>
  <si>
    <t>Dalian, PEOPLES R CHINA</t>
  </si>
  <si>
    <t>Robotic telescope; Simulation; MFC</t>
  </si>
  <si>
    <t>Thanks to the dry climate condition and high atmospheric transmittance, the Antarctic area becomes the ideal location for astronomy observatories. But the construction and operation of the astronomy telescopes in the Antarctic encounter many challenges due to the extremely cold weather. One of the most important themes of the astronomy arena is to research and develop the Robotic Telescope (RT) under extremely adverse environmental condition in the Antarctic area. This paper provides the basic concepts and components of the RT, indicating that the RT is an intelligence integrated control system consisting of telescope control system (TCS), environment control system (ECS), temperature control system (PCS) and building control system (BCS) and so on. The paper also presents a simulation model for the minim system of the RT, the TCS simulation model, on the basis of which the authors explore the feasibility of the RT in the Antarctic. The operations of the TCS are divided into several steps. This simulation model, encoded by MFC under Visual C++ 6.0, is developed to simulate the operation procedures of the TCS, including the initialization, self-check, calibration, open, focusing, observation, data-recording, data-preprocessing, closing, standby and other procedures. In the view of the features of no-man-on-duty, this paper particularly proposes the process of error-locating, error-correcting, error-recording under fault conditions. And the authors implement the watchdog to carry out this process automatically by the computer in case of failure. Through the simulation, the feasibility and security of the RT is proved effectively, thus providing important basis and reference for the smooth operation of the RT under extreme environment.</t>
  </si>
  <si>
    <t>[Zhou, Wen; Wang, Hai] Chinese Acad Sci, Nanjing Inst Astron Opt &amp; Technol, Natl Astron Observ, Nanjing 210042, Peoples R China</t>
  </si>
  <si>
    <t>Chinese Academy of Sciences; National Astronomical Observatory, CAS; Nanjing Institute of Astronomical Optics &amp; Technology, NAOC, CAS</t>
  </si>
  <si>
    <t>Zhou, W (corresponding author), Chinese Acad Sci, Nanjing Inst Astron Opt &amp; Technol, Natl Astron Observ, Nanjing 210042, Peoples R China.</t>
  </si>
  <si>
    <t>zhouwen069@163.com</t>
  </si>
  <si>
    <t>wang, xiao/HZI-9156-2023</t>
  </si>
  <si>
    <t>SPIE-INT SOC OPTICAL ENGINEERING</t>
  </si>
  <si>
    <t>BELLINGHAM</t>
  </si>
  <si>
    <t>1000 20TH ST, PO BOX 10, BELLINGHAM, WA 98227-0010 USA</t>
  </si>
  <si>
    <t>0277-786X</t>
  </si>
  <si>
    <t>978-0-8194-8084-2</t>
  </si>
  <si>
    <t>P SOC PHOTO-OPT INS</t>
  </si>
  <si>
    <t>76540L</t>
  </si>
  <si>
    <t>10.1117/12.866970</t>
  </si>
  <si>
    <t>Engineering, Manufacturing; Instruments &amp; Instrumentation; Optics</t>
  </si>
  <si>
    <t>Engineering; Instruments &amp; Instrumentation; Optics</t>
  </si>
  <si>
    <t>BTQ41</t>
  </si>
  <si>
    <t>WOS:000287765500021</t>
  </si>
  <si>
    <t>Zhao, JL; Wang, DX; Yuan, XY; Wang, JF</t>
  </si>
  <si>
    <t>Jiang, Y; Kippelen, B; Yu, J</t>
  </si>
  <si>
    <t>Zhao, Jianlin; Wang, Daxing; Yuan, Xiangyan; Wang, Jinfeng</t>
  </si>
  <si>
    <t>The design of mirror's temperature control system of three Antarctic Schmidt Telescopes</t>
  </si>
  <si>
    <t>5TH INTERNATIONAL SYMPOSIUM ON ADVANCED OPTICAL MANUFACTURING AND TESTING TECHNOLOGIES: OPTOELECTRONIC MATERIALS AND DEVICES FOR DETECTOR, IMAGER, DISPLAY, AND ENERGY CONVERSION TECHNOLOGY</t>
  </si>
  <si>
    <t>5th International Symposium on Advanced Optical Manufacturing and Testing Technologies - Optoelectronic Materials and Devices for Detector, Imager, Display, and Energy Conversion Technology</t>
  </si>
  <si>
    <t>AST3; ITO; Temperature control system; closed-loop control</t>
  </si>
  <si>
    <t>Preliminary site testing shows that Antarctic inland Dome A is likely to be the best astronomical observatory site on the ground, Chinese first Antarctic astronomical equipment CSTAR has been successfully run Dome A. Three Antarctic Schmidt Telescopes (AST3) is the next important Antarctic astronomical equipment, one of which will be mounted Dome A. In the year of 2010, and the three will be installed Dome A finally. Because of the very low temperature and saturation vapor pressure, and the temperature gradient changes fast near the ground layer at Dome A, the mirror is easy to be frosted, which is one of difficulties to AST3. Indium Tin Oxide (ITO) is an N-type semiconductor material, because it has few resistors, good light transmission, good weather resistance, small environmental impact, low cost, and it is easy for large area coating, so it is widely used in many fields. The mirror is heated by ITO that is coated on the surface of the mirror, the voltage on the ITO will be tuned by changing the output pulse width, and then the system achieves a closed-loop control. The difference between the mirror temperature and ambient temperature will be maintained in an ideal range, and this will not only ensure that the mirror surface will not get frosting, but to minimize the impact of mirror seeing to guarantee the image quality of the telescope. The experimental results show that the temperature control system can control the different temperature between the mirror surface and the ambient less than 2 degree in real time, which can improve the mirror's working environment, and the overall effectiveness of the telescope's observations.</t>
  </si>
  <si>
    <t>[Zhao, Jianlin; Wang, Daxing; Yuan, Xiangyan; Wang, Jinfeng] Chinese Acad Sci, Nanjing Inst Astron Opt &amp; Technol, Natl Astron Observ, Nanjing 210042, Peoples R China</t>
  </si>
  <si>
    <t>Zhao, JL (corresponding author), Chinese Acad Sci, Nanjing Inst Astron Opt &amp; Technol, Natl Astron Observ, Nanjing 210042, Peoples R China.</t>
  </si>
  <si>
    <t>jlzhao@niaot.ac.cn</t>
  </si>
  <si>
    <t>Wang, Jinfeng/HCI-1208-2022</t>
  </si>
  <si>
    <t>978-0-8194-8088-0</t>
  </si>
  <si>
    <t>10.1117/12.864095</t>
  </si>
  <si>
    <t>Engineering, Manufacturing; Instruments &amp; Instrumentation; Materials Science, Multidisciplinary; Optics; Physics, Applied</t>
  </si>
  <si>
    <t>Engineering; Instruments &amp; Instrumentation; Materials Science; Optics; Physics</t>
  </si>
  <si>
    <t>BTQ78</t>
  </si>
  <si>
    <t>WOS:000287802500041</t>
  </si>
  <si>
    <t>B</t>
  </si>
  <si>
    <t>Morozov, EG; Demidov, AN; Tarakanov, RY; Zenk, W</t>
  </si>
  <si>
    <t>Morozov, Eugene G.; Demidov, Alexander N.; Tarakanov, Roman Y.; Zenk, Walter</t>
  </si>
  <si>
    <t>Abyssal Channels in the Atlantic Ocean: Water Structure and Flows</t>
  </si>
  <si>
    <t>ABYSSAL CHANNELS IN THE ATLANTIC OCEAN: WATER STRUCTURE AND FLOWS</t>
  </si>
  <si>
    <t>Article; Book</t>
  </si>
  <si>
    <t>ANTARCTIC BOTTOM WATER; WESTERN-BOUNDARY CURRENT; ROMANCHE FRACTURE-ZONE; DENMARK STRAIT OVERFLOW; WEDDELL SEA DEEP; NORTH-ATLANTIC; SOUTH-ATLANTIC; SCOTIA SEA; CHARLIE-GIBBS; EQUATORIAL ATLANTIC</t>
  </si>
  <si>
    <t>[Morozov, Eugene G.; Tarakanov, Roman Y.] PP Shirshov Oceanol Inst, Dept Phys, Moscow 117997, Russia; [Demidov, Alexander N.] Moscow MV Lomonosov State Univ, Fac Geog, Moscow 119899, Russia; [Zenk, Walter] Univ Kiel, Leibniz Inst Marine Sci, IFM GEOMAR, D-24105 Kiel, Germany</t>
  </si>
  <si>
    <t>Russian Academy of Sciences; Shirshov Institute of Oceanology; Lomonosov Moscow State University; Helmholtz Association; GEOMAR Helmholtz Center for Ocean Research Kiel; University of Kiel</t>
  </si>
  <si>
    <t>Morozov, EG (corresponding author), PP Shirshov Oceanol Inst, Dept Phys, Nakhimovsky 36, Moscow 117997, Russia.</t>
  </si>
  <si>
    <t>egmorozov@gmail.com; tuda@mail.ru; rtarakanov@gmail.com; wzenk@ifm-geomar.de</t>
  </si>
  <si>
    <t>Tarakanov, Roman/R-3325-2016; Morozov, Eugene G/L-3023-2018</t>
  </si>
  <si>
    <t>Tarakanov, Roman/0000-0002-8711-1859; Morozov, Eugene/0000-0002-0251-3454</t>
  </si>
  <si>
    <t>233 SPRING STREET, NEW YORK, NY 10013, UNITED STATES</t>
  </si>
  <si>
    <t>978-90-481-9357-8</t>
  </si>
  <si>
    <t>10.1007/978-90-481-9358-5</t>
  </si>
  <si>
    <t>Book Citation Index – Science (BKCI-S)</t>
  </si>
  <si>
    <t>BRG06</t>
  </si>
  <si>
    <t>WOS:000282655100001</t>
  </si>
  <si>
    <t>Chen, XH; Jiang, RB; Wan, JL; Xu, G; Jiang, M; Chen, DH</t>
  </si>
  <si>
    <t>Chen Xuanhua; Jiang Rongbao; Wan Jinglin; Xu Gang; Jiang Mei; Chen Danhong</t>
  </si>
  <si>
    <t>Cenozoic Exhumation of Larsemann Hills, East Antarctica: Evidence from Apatite Fission-track Thermochronology</t>
  </si>
  <si>
    <t>ACTA GEOLOGICA SINICA-ENGLISH EDITION</t>
  </si>
  <si>
    <t>apatite fission-track thermochronology; exhumation; normal faulting; Cenozoic; Larsemann hills; East Antarctica</t>
  </si>
  <si>
    <t>NORTHERN VICTORIA-LAND; LOW-TEMPERATURE THERMOCHRONOMETRY; PRYDZ-BAY; PAN-AFRICAN; TRANSANTARCTIC MOUNTAINS; GROVE MOUNTAINS; LAMBERT GRABEN; ROSS SEA; BREAK-UP; EVOLUTION</t>
  </si>
  <si>
    <t>Does Cenozoic exhumation occur in the Larsemann Hills, East Antarctica? In the present paper, we conducted an apatite fission-track thermochronologic study across the Larsemann Hills of East Antarctica. Our work reveals a Cenozoic exhumation event at 49.8 +/- 12 Ma, which we interpret to be a result of exhumation caused by crustal extension. Within the uncertainty of our age determination, the timing of extension in East Antarctica determined by our study is coeval with the onset time of rifting in West Antarctica at c.55 Ma. The apatite fission-track cooling ages vary systematically in space, indicating a coherent block rotation of the Larsemann Hills region from c.50 Ma to c.10 Ma. This pattern of block tilting was locally disrupted by normal faulting along the Larsemann Hills detachment fault at c.5.4 Ma. The regional extension in the Larsemann Hills, East Antarctica was the result of tectonic evolution in this area, and may be related to the global extension. Through the discussion of Pan-Gondwanaland movement, and Mesozoic and Cenozoic extensions in West and East Antarctica and adjacent areas, we suggest that the protracted Cenozoic cooling over the Larsemann Hills area was caused by extensional tectonics related to separation and formation of the India Ocean at the time of Gondwanaland breakup.</t>
  </si>
  <si>
    <t>[Chen Xuanhua; Xu Gang] Minist Land &amp; Resources, Key Lab Neotecton Movement &amp; Geohazard, Beijing 100081, Peoples R China; [Chen Xuanhua; Jiang Rongbao; Xu Gang] Chinese Acad Geol Sci, Inst Geomech, Beijing 100081, Peoples R China; [Wan Jinglin] China Earthquake Adm, Inst Geol, Beijing 100029, Peoples R China; [Jiang Mei; Chen Danhong] Chinese Arctic &amp; Antarctic Adm, Beijing 100860, Peoples R China</t>
  </si>
  <si>
    <t>Ministry of Natural Resources of the People's Republic of China; China Geological Survey; Institute of Geomechanics, Chinese Academy of Geological Sciences; Chinese Academy of Geological Sciences; China Earthquake Administration</t>
  </si>
  <si>
    <t>Chen, XH (corresponding author), Minist Land &amp; Resources, Key Lab Neotecton Movement &amp; Geohazard, Beijing 100081, Peoples R China.</t>
  </si>
  <si>
    <t>xhchen@cags.ac.cn</t>
  </si>
  <si>
    <t>National Tenth Five-Year Project for Antarctic Sciences [2001DIA50040]; Basic Research Foundation of the Institute of Geomechanics, CAGS [DZIXJK200703]</t>
  </si>
  <si>
    <t>National Tenth Five-Year Project for Antarctic Sciences; Basic Research Foundation of the Institute of Geomechanics, CAGS</t>
  </si>
  <si>
    <t>We would like to thank the officers and expenditioners of CNARE (Chinese National Antarctic Research Expedition) for their assistance during the 2002/2003 field season. Logistical support by the Arctic and Antarctic Administration of China and financial supports by the National Tenth Five-Year Project for Antarctic Sciences (No. 2001DIA50040) and the Basic Research Foundation of the Institute of Geomechanics, CAGS (DZIXJK200703) are gratefully acknowledged. We are very grateful to An Yin from University of California, Los Angeles for discussion. We thank the two anonymous reviewers for their criticism, which has greatly benefitted the manuscript.</t>
  </si>
  <si>
    <t>1000-9515</t>
  </si>
  <si>
    <t>1755-6724</t>
  </si>
  <si>
    <t>ACTA GEOL SIN-ENGL</t>
  </si>
  <si>
    <t>Acta Geol. Sin.-Engl. Ed.</t>
  </si>
  <si>
    <t>10.1111/j.1755-6724.2010.00142.x</t>
  </si>
  <si>
    <t>572XW</t>
  </si>
  <si>
    <t>WOS:000275871500007</t>
  </si>
  <si>
    <t>Wang, LY; Hsu, WB; Ma, CQ</t>
  </si>
  <si>
    <t>Wang Linyan; Hsu Weibiao; Ma Changqian</t>
  </si>
  <si>
    <t>Petrology, Mineralogy and Geochemisty of Antarctic Mesosiderite GRV 020175: Implications for Its Complex Formation History</t>
  </si>
  <si>
    <t>mesosiderite; metal-silicate mixing; thermal metamorphism; formation history; Antarctica</t>
  </si>
  <si>
    <t>PARENT BODY; METAMORPHIC HISTORY; EUCRITE; PETROGENESIS; CHEMISTRY; ORIGIN; HOWARDITES; PYROXENES; TEXTURES; CLASTS</t>
  </si>
  <si>
    <t>GRV 020175 is an Antarctic mesosiderite, containing about 43 vol% silicates and 57 vol% metal. Metal occurs in a variety of textures from irregular large masses, to veins penetrating silicates, and to matrix fine grains. The metallic portion contains kamacite, troilite and minor taenite. Terrestrial weathering is evident as partial replacement of the metal and troilite veins by Fe oxides. Silicate phases exhibit a porphyritic texture with pyroxene, plagioclase, minor silica and rare olivine phenocrysts embedded in a fine-grained groundmass. The matrix is ophitic and consists mainly of pyroxene and plagioclase grains. Some orthopyroxene phenocrysts occur as euhedral crystals with chemical zoning from a magnesian core to a ferroan overgrowth; others are characterized by many fine inclusions of plagioclase composition. Pigeonite has almost inverted to its orthopyroxene host with augite lamellae, enclosed by more magnesian rims. Olivine occurs as subhedral crystals, surrounded by a necklace of tiny chromite grains (about 2-3 mu m). Plagioclase has a heterogeneous composition without zoning. Pyroxene geothermometry of GRV 020175 gives a peak metamorphic temperature (similar to 1000 degrees C) and a closure temperature (similar to 875 degrees C). Molar Fe/Mn ratios (19-32) of pyroxenes are consistent with mesosiderite pyroxenes (16-35) and most plagioclase compositions (An(87.5-96.6)) are within the range of mesosiderite plagioclase grains (An(88-95)). Olivine composition (Fo(53.8)) is only slightly lower than the range of olivine compositions in mesosiderites (Fo(55-90)). All petrographic characteristics and chemical compositions of GRV 020175 are consistent with those of mesosiderite and based on its matrix texture and relatively abundant plagioclase, it can be further classified as a type 3A mesosiderite. Mineralogical, petrological, and geochemical studies of GRV 020175 imply a complex formation history starting as rapid crystallization from a magma in a lava flow on the surface or as a shallow intrusion. Following primary igneous crystallization, the silicate underwent varying degrees of reheating. It was reheated to 1000 degrees C, followed by rapid cooling to 875 degrees C. Subsequently, metal mixed with silicate, during or after which, reduction of silicates occurred; the reducing agent is likely to have been sulfur. After redox reaction, the sample underwent thermal metamorphism, which produced the corona on the olivine, rims on the inverted pigeonite phenocrysts and overgrowths on the orthopyroxene phenocrysts, and homogenized matrix pyroxenes. Nevertheless, metamorphism was not extensive enough to completely reequilibrate the GRV 020175 materials.</t>
  </si>
  <si>
    <t>[Wang Linyan; Hsu Weibiao; Ma Changqian] China Univ Geosci, Fac Earth Sci, Wuhan 430074, Peoples R China; [Hsu Weibiao] Purple Mt Observ, Nanjing 210008, Peoples R China</t>
  </si>
  <si>
    <t>China University of Geosciences; Purple Mountain Observatory, CAS; Chinese Academy of Sciences; Nanjing Institute of Astronomical Optics &amp; Technology, NAOC, CAS</t>
  </si>
  <si>
    <t>Hsu, WB (corresponding author), China Univ Geosci, Fac Earth Sci, Wuhan 430074, Peoples R China.</t>
  </si>
  <si>
    <t>wbxu@pmo.ac.cn</t>
  </si>
  <si>
    <t>China Ministry of Science and Technology [2005DKA21406]; National Natural Science Foundation of China [10621303, 40773046]; Minor Planet Foundation of China</t>
  </si>
  <si>
    <t>China Ministry of Science and Technology(Ministry of Science and Technology, China); National Natural Science Foundation of China(National Natural Science Foundation of China (NSFC)); Minor Planet Foundation of China</t>
  </si>
  <si>
    <t>The sample of GRV 020175 was provided by the Polar Research Institute of China. The authors would like to thank Tan Jianyun for section preparation, Dr. Zhang Aicheng for helpful discussion, and Ming Houli for experimentation. This work was supported by China Ministry of Science and Technology (Grant No. 2005DKA21406), the National Natural Science Foundation of China (Grant Nos. 10621303 and 40773046), and the Minor Planet Foundation of China.</t>
  </si>
  <si>
    <t>10.1111/j.1755-6724.2010.00270.x</t>
  </si>
  <si>
    <t>607OY</t>
  </si>
  <si>
    <t>WOS:000278516400008</t>
  </si>
  <si>
    <t>Huang, FX; Li, GW; Liu, XH; Kong, P; Ju, YT; Fink, D; Fang, AM; Yu, LJ</t>
  </si>
  <si>
    <t>Huang Feixin; Li Guangwei; Liu Xiaohan; Kong Ping; Ju Yitai; Fink, David; Fang Aimin; Yu Liangjun</t>
  </si>
  <si>
    <t>Minimum Bedrock Exposure Ages and Their Implications: Larsemann Hills and Neighboring Bolingen Islands, East Antarctica</t>
  </si>
  <si>
    <t>east Antarctica; Larsemann Hills; Bolingen Islands; 10Be exposure age; erosion rate</t>
  </si>
  <si>
    <t>LAST GLACIAL MAXIMUM; ICE-SHEET; PRYDZ BAY; COSMOGENIC NUCLIDES; SIRIUS GROUP; DRY-VALLEYS; BE-10; AL-26; HISTORY; EROSION</t>
  </si>
  <si>
    <t>Considerable controversy exists over whether or not extensive glaciation occurred during the global Last Glacial Maximum (LGM) in the Larsemann Hills. In this study we use the in situ produced cosmogenic nuclide 10Be (half life 1.51 Ma) to provide minimum exposure ages for six bedrock samples and one erratic boulder in order to determine the last period of deglaciation in the Larsemann Hills and on the neighboring Bolingen Islands. Three bedrock samples taken from Friendship Mountain (the highest peak on the Mirror Peninsula, Larsemann Hills; similar to 2 km from the ice sheet) have minimum exposure ages ranging from 40.0 to 44.7 ka. The erratic boulder from Peak 106 (just at the edge of the ice sheet) has a younger minimum exposure age of only 8.8 ka. The minimum exposure ages for two bedrock samples from Blundell Peak (the highest peak on Stornes Peninsula, Larsemann Hills; similar to 2 km from the ice sheet) are about 17 and 18 ka. On the Bolingen Islands (southwest to the Larsemann Hills; similar to 10 km from the ice sheet), the minimum exposure age for one bedrock sample is similar to that at Friendship Mountain (i.e., 44 ka). Our results indicate that the bedrock exposure in the Larsemann Hills and on the neighboring Bolingen Islands commenced obviously before the global LGM (i.e., 20-22 ka), and the bedrock erosion rates at the Antarctic coast areas may be obviously higher than in the interior land.</t>
  </si>
  <si>
    <t>[Huang Feixin; Ju Yitai] China Met Geol Bur, Inst Mineral Resources Res, Beijing 100025, Peoples R China; [Huang Feixin; Li Guangwei; Liu Xiaohan] Chinese Acad Sci, Inst Tibetan Plateau Res, Beijing 100085, Peoples R China; [Kong Ping; Fang Aimin; Yu Liangjun] Chinese Acad Sci, Inst Geol &amp; Geophys, Beijing 100029, Peoples R China; [Fink, David] Australian Nucl Sci &amp; Technol Org, Menai, NSW 2234, Australia; [Li Guangwei] Chinese Acad Sci, Grad Univ, Beijing 100049, Peoples R China</t>
  </si>
  <si>
    <t>Chinese Academy of Sciences; Institute of Tibetan Plateau Research, CAS; Chinese Academy of Sciences; Institute of Geology &amp; Geophysics, CAS; Australian Nuclear Science &amp; Technology Organisation; Chinese Academy of Sciences; University of Chinese Academy of Sciences, CAS</t>
  </si>
  <si>
    <t>Huang, FX (corresponding author), China Met Geol Bur, Inst Mineral Resources Res, Beijing 100025, Peoples R China.</t>
  </si>
  <si>
    <t>huangfeixin@cmgb.cn</t>
  </si>
  <si>
    <t>fink, David/A-9518-2012</t>
  </si>
  <si>
    <t>fink, David/0000-0001-7156-4602</t>
  </si>
  <si>
    <t>National Science Fund of China [40506003, 40631004]; Chinese Polar Science Strategy Research Fund [20070219]</t>
  </si>
  <si>
    <t>National Science Fund of China(National Natural Science Foundation of China (NSFC)); Chinese Polar Science Strategy Research Fund</t>
  </si>
  <si>
    <t>We thank the Chinese Polar Research Administration for field logistic supports during the 18th and 22nd Chinese Antarctic Research Expedition (CHINARE). Bill Isherwood reviewed the manuscript and made useful and constructive suggestions. This work was supported by the National Science Fund of China (No. 40506003 and 40631004) and the Chinese Polar Science Strategy Research Fund (No. 20070219).</t>
  </si>
  <si>
    <t>10.1111/j.1755-6724.2010.00271.x</t>
  </si>
  <si>
    <t>WOS:000278516400009</t>
  </si>
  <si>
    <t>Li, LQ; Huang, J; Song, WB; Shin, MK; Al-Rasheid, KAS; Berger, H</t>
  </si>
  <si>
    <t>Li, Liqiong; Huang, Jie; Song, Weibo; Shin, Mann Kyoon; Al-Rasheid, Khaled A. S.; Berger, Helmut</t>
  </si>
  <si>
    <t>Apogastrostyla rigescens (Kahl, 1932) gen. nov., comb. nov. (Ciliophora, Hypotricha): Morphology, Notes on Cell Division, SSU rRNA Gene Sequence Data, and Neotypification</t>
  </si>
  <si>
    <t>ACTA PROTOZOOLOGICA</t>
  </si>
  <si>
    <t>China; ecology; Hemigastrostyla; infraciliature; ontogenesis; Spirotricha; Stichotrichia; Yellow Sea</t>
  </si>
  <si>
    <t>TRACHELOSTYLA-PEDICULIFORMIS COHN; MARINE CILIATE; AMPHISIELLA-ANNULATA; 1866 BORROR; MORPHOGENESIS; PROTOZOA; SPIROTRICHEA; CHINA; PSEUDOAMPHISIELLA; STICHOTRICHIA</t>
  </si>
  <si>
    <t>The morphology, the infraciliature, some stages of cell division and physiological reorganization, and the SSU rRNA gene sequence of the little-known marine 18-cirri hypotrich Tachysoma rigescens (Kahl, 1932) Borror, 1972 [basionym Oxytricha (Tachysoma) rigescens], isolated from mariculture waters near Qingdao, China, were investigated. This rare species is characterized, inter alia, by narrowly spaced, small, colourless cortical granules and several conspicuous ring-shaped structures in the cytoplasm. The caudal cirri and the simple dorsal kinety pattern (three bipolar kineties) are probably plesiomorphic traits within the Hypotricha, the composition of the adoral zone of the proter from new and parental membranelles, as well as the presence of two 'extra' cirri behind the right marginal row strongly suggest a misclassification in Tachysoma. The SSU rRNA gene sequence data indicate that T. rigescens branches off rather basally in the Hypotricha tree, which supports the hypothesis that the 18-cirri pattern occurred very early, probably already in the last common ancestor of the Hypotricha. A detailed survey of the early branching 18-cirri hypotrichs and similar taxa (e. g. Trachelostyla pediculiformis, Hemigastrostyla enigmatica, Protogastrostyla pulchra) reveals that for T. rigescens a new genus (Apogastrostyla gen. nov.) has to be established, because there are important differences, inter alia, in the dorsal infraciliature. Besides the type species, A. rigescens comb. nov., which seems to be confined to the northern hemisphere according to the sparse faunistic data, a second marine species, A. szaboi comb. nov. (basionym Hemigastrostyla szaboi), so far only twice recorded from the Antarctic region, can be included. The Chinese population is fixed as neotype to define the species objectively, because no type material of A. rigescens is present and the original type locality is not known. The species name Tachysoma multinucleate is emended: Tachysoma multinucleatum nom. corr.</t>
  </si>
  <si>
    <t>[Berger, Helmut] Consulting Engn Off Ecol, A-5020 Salzburg, Austria; [Li, Liqiong; Huang, Jie; Song, Weibo] Ocean Univ China, Inst Evolut &amp; Marine Biodivers, Lab Protozool, Qingdao, Peoples R China; [Shin, Mann Kyoon] Univ Ulsan, Dept Biol, Ulsan 680749, South Korea; [Al-Rasheid, Khaled A. S.] King Saud Univ, Coll Sci, Dept Zool, Riyadh 11451, Saudi Arabia</t>
  </si>
  <si>
    <t>Ocean University of China; University of Ulsan; King Saud University</t>
  </si>
  <si>
    <t>Berger, H (corresponding author), Consulting Engn Off Ecol, Radetzkystr 10, A-5020 Salzburg, Austria.</t>
  </si>
  <si>
    <t>berger.helmut@protozoology.com</t>
  </si>
  <si>
    <t>Huang, Jie/GLS-4316-2022; AL-Rasheid, Khaled/C-2486-2008; Shin, Mann Kyoon/M-7043-2013</t>
  </si>
  <si>
    <t>Huang, Jie/0000-0003-1739-1856; AL-Rasheid, Khaled/0000-0002-3404-3397; Shin, Mann Kyoon/0000-0001-6592-1204</t>
  </si>
  <si>
    <t>Natural Science Foundation of China [30870264, 40906065]; Center of Excellence in Biodiversity, King Saud University, Saudi Arabia [B08049]; Austrian Science Fund (FWF) [P20569-B17]; Austrian Science Fund (FWF) [P20569] Funding Source: Austrian Science Fund (FWF)</t>
  </si>
  <si>
    <t>Natural Science Foundation of China(National Natural Science Foundation of China (NSFC)); Center of Excellence in Biodiversity, King Saud University, Saudi Arabia(King Saud University); Austrian Science Fund (FWF)(Austrian Science Fund (FWF)); Austrian Science Fund (FWF)(Austrian Science Fund (FWF))</t>
  </si>
  <si>
    <t>We thank Z. Yi and C. Shao (OUC) for reading the very first version of the manuscript, Q. Zhang and J. Jiang (OUC) for sampling and providing technical support, and Ma. Antonieta Aladro Lubel (Mexico) for information about the Mexican population of Tachysoma rigescens. This research was funded by the Natural Science Foundation of China (project numbers: 30870264, 40906065); the Center of Excellence in Biodiversity, King Saud University, Saudi Arabia (111 Project No. B08049); and the Austrian Science Fund (FWF; Project P20569-B17; H. Berger).</t>
  </si>
  <si>
    <t>JAGIELLONIAN UNIV, INST ENVIRONMENTAL SCIENCES</t>
  </si>
  <si>
    <t>KRAKOW</t>
  </si>
  <si>
    <t>GRONOSTAJOWA 7, KRAKOW, 30-387, POLAND</t>
  </si>
  <si>
    <t>0065-1583</t>
  </si>
  <si>
    <t>1689-0027</t>
  </si>
  <si>
    <t>ACTA PROTOZOOL</t>
  </si>
  <si>
    <t>Acta Protozool.</t>
  </si>
  <si>
    <t>650YE</t>
  </si>
  <si>
    <t>WOS:000281889600003</t>
  </si>
  <si>
    <t>Agatha, S</t>
  </si>
  <si>
    <t>Agatha, Sabine</t>
  </si>
  <si>
    <t>Redescription of Tintinnopsis parvula Jorgensen, 1912 (Ciliophora: Spirotrichea: Tintinnina), Including a Novel Lorica Matrix</t>
  </si>
  <si>
    <t>Biogeography; ciliary pattern; ciliate; lorica ultrastructure; morphology; neotypification; taxonomy; tintinnid</t>
  </si>
  <si>
    <t>FRESH-WATER TINTINNINA; BAHIA BLANCA ESTUARY; VERTICAL-DISTRIBUTION; ANTARCTIC TINTINNIDS; FAVELLA-EHRENBERGII; COASTAL WATERS; NORTH-SEA; MORPHOLOGY; ULTRASTRUCTURE; PROTOZOA</t>
  </si>
  <si>
    <t>Tintinnopsis parvula Jorgensen, 1912 has apparently a cosmopolitan distribution in the pelagial of marine and brackish coastal waters. The species is redescribed based on material from the Irish Sea off the Isle of Man, using live observation, protargol impregnation, and scanning electron microscopy. The agglomerated and stiff lorica measures 38-60 x 24-31 mu m and is composed of a usually broadly obovate bowl and a slightly narrowed cylindroidal collar with an inner diameter of similar to 20 mu m. The somatic ciliary pattern is of the most complex type, viz., it comprises a ventral, dorsal, and posterior kinety as well as a right, left, and lateral ciliary field. The left ciliary field comprises four kineties, the lateral field about ten kineties, and the right field five kineties. The oral primordium develops apparently apokinetally posterior to the lateral ciliary field and generates similar to 15 collar membranelles and one buccal membranelle. Two further populations were studied: one from the North Sea off the Island of Sylt, the other from brackish polder basins at the German North Sea coast; they match the Irish Sea specimens in all main features. The loricae formed in almost particle-free cultures have a thin wall composed of an irregular network of fibres and very few attached or interwoven particles. This matrix type differs from the other three types found in congeners. Hence, the matrix ultrastructure might represent a promising feature for a reliable subdivision of the species-rich genus Tintinnopsis Stein, 1867 in the future.</t>
  </si>
  <si>
    <t>Salzburg Univ, Dept Organism Biol, A-5020 Salzburg, Austria</t>
  </si>
  <si>
    <t>Salzburg University</t>
  </si>
  <si>
    <t>Agatha, S (corresponding author), Salzburg Univ, Dept Organism Biol, Hellbrunnerstr 34, A-5020 Salzburg, Austria.</t>
  </si>
  <si>
    <t>sabine.agatha@sbg.ac.at</t>
  </si>
  <si>
    <t>Agatha, Sabine/0000-0003-3083-9782</t>
  </si>
  <si>
    <t>Austrian Science Foundation [P17752-B06 and P20461-B17]; Biologische Anstalt Helgoland (Germany); Federal Environmental Agency; Environmental Research Plan of the Minister for the Environment, Nature, Conservation and Nuclear Safety of the Federal Republic of Germany [108 02 085/01]</t>
  </si>
  <si>
    <t>Austrian Science Foundation(Austrian Science Fund (FWF)); Biologische Anstalt Helgoland (Germany); Federal Environmental Agency; Environmental Research Plan of the Minister for the Environment, Nature, Conservation and Nuclear Safety of the Federal Republic of Germany</t>
  </si>
  <si>
    <t>This study was supported by projects of the Austrian Science Foundation (FWF projects P17752-B06 and P20461-B17) and a grant of the Biologische Anstalt Helgoland (Germany) dedicated to S. Agatha as well as by a grant of the Federal Environmental Agency, Environmental Research Plan of the Minister for the Environment, Nature, Conservation and Nuclear Safety of the Federal Republic of Germany dedicated to J. C. Riedel-Lorje (Grant 108 02 085/01). Thanks go to Malte Elbrachter (Alfred-Wegener-Institut fur Polar- und Meeresforschung, Island of Sylt, Germany) and David Montagnes (School of Biological Sciences, University of Liverpool, UK) for placing their laboratories at my disposal. Special thanks go to Wayne Coats (Smithsonian Environmental Research Center, Edgewater, Maryland, USA) for providing transmission electron micrographs of Eutintinnus loricae and Jeannette Cornelie Riedel-Lorj (Institut fur Frischwasser- und Abwasserbiologie, Hamburg, Germany) for providing data on the abundances of T. parvula in the polder basins.</t>
  </si>
  <si>
    <t>WOS:000281889600004</t>
  </si>
  <si>
    <t>Di Rico, G; Ragni, M; Dolci, M; Straniero, O; Valentini, A; Valentini, G; Di Cianno, A; Giuliani, C; Magrin, D; Bonoli, C; Bortoletto, F; D'Alessandro, M; Corcione, L; Riva, A</t>
  </si>
  <si>
    <t>Di Rico, Gianluca; Ragni, Maurizio; Dolci, Mauro; Straniero, Oscar; Valentini, Angelo; Valentini, Gaetano; Di Cianno, Amico; Giuliani, Croce; Magrin, Demetrio; Bonoli, Carlotta; Bortoletto, Favio; D'Alessandro, Maurizio; Corcione, Leonardo; Riva, Alberto</t>
  </si>
  <si>
    <t>Autonomous Observations in Antarctica with AMICA</t>
  </si>
  <si>
    <t>ADVANCES IN ASTRONOMY</t>
  </si>
  <si>
    <t>DOME-C</t>
  </si>
  <si>
    <t>The Antarctic Multiband Infrared Camera (AMICA) is a double channel camera operating in the 2-28 mu m infrared domain (KLMNQ bands) that will allow to characterize and exploit the exceptional advantages for Astronomy, expected from Dome C in Antarctica. The development of the camera control system is at its final stage. After the investigation of appropriate solutions against the critical environment, a reliable instrumentation has been developed. It is currently being integrated and tested to ensure the correct execution of automatic operations. Once it will be mounted on the International Robotic Antarctic Infrared Telescope (IRAIT), AMICA and its equipment will contribute to the accomplishment of a fully autonomous observatory.</t>
  </si>
  <si>
    <t>[Di Rico, Gianluca; Ragni, Maurizio; Dolci, Mauro; Straniero, Oscar; Valentini, Angelo; Valentini, Gaetano; Di Cianno, Amico; Giuliani, Croce] INAF Osservatorio Astron Teramo, I-64100 Teramo, Italy; [Magrin, Demetrio; Bonoli, Carlotta; Bortoletto, Favio; D'Alessandro, Maurizio] INAF Osservatorio Astron Padova, I-35122 Padua, Italy; [Corcione, Leonardo; Riva, Alberto] INAF Osservatorio Astron Torino, I-10025 Pino Torinese, TO, Italy</t>
  </si>
  <si>
    <t>Istituto Nazionale Astrofisica (INAF); Istituto Nazionale Astrofisica (INAF); Istituto Nazionale Astrofisica (INAF)</t>
  </si>
  <si>
    <t>Di Rico, G (corresponding author), INAF Osservatorio Astron Teramo, I-64100 Teramo, Italy.</t>
  </si>
  <si>
    <t>dirico@oa-teramo.inaf.it</t>
  </si>
  <si>
    <t>Riva, Alberto/0000-0002-6928-8589; Dolci, Mauro/0000-0001-8000-5642; corcione, leonardo/0000-0002-6497-5881; Magrin, Demetrio/0000-0003-0312-313X; Di Rico, Gianluca/0000-0002-5213-8269; Straniero, Oscar/0000-0002-5514-6125; d'alessandro, maurizio/0000-0002-8318-0988</t>
  </si>
  <si>
    <t>HINDAWI LTD</t>
  </si>
  <si>
    <t>ADAM HOUSE, 3RD FLR, 1 FITZROY SQ, LONDON, W1T 5HF, ENGLAND</t>
  </si>
  <si>
    <t>1687-7969</t>
  </si>
  <si>
    <t>1687-7977</t>
  </si>
  <si>
    <t>ADV ASTRON</t>
  </si>
  <si>
    <t>Adv. Astron.</t>
  </si>
  <si>
    <t>10.1155/2010/728470</t>
  </si>
  <si>
    <t>V43PB</t>
  </si>
  <si>
    <t>Green Submitted, gold</t>
  </si>
  <si>
    <t>WOS:000209692200058</t>
  </si>
  <si>
    <t>S</t>
  </si>
  <si>
    <t>Tarling, GA; Ensor, NS; Fregin, T; Goodall-Copestake, WP; Fretwell, P</t>
  </si>
  <si>
    <t>Tarling, GA</t>
  </si>
  <si>
    <t>Tarling, Geraint A.; Ensor, Natalie S.; Fregin, Torsten; Goodall-Copestake, William P.; Fretwell, Peter</t>
  </si>
  <si>
    <t>AN INTRODUCTION TO THE BIOLOGY OF NORTHERN KRILL (MEGANYCTIPHANES NORVEGICA SARS)</t>
  </si>
  <si>
    <t>ADVANCES IN MARINE BIOLOGY, VOL 57</t>
  </si>
  <si>
    <t>Advances in Marine Biology</t>
  </si>
  <si>
    <t>Editorial Material; Book Chapter</t>
  </si>
  <si>
    <t>DIEL VERTICAL MIGRATION; IN-SITU OBSERVATIONS; ANTARCTIC KRILL; EUPHAUSIA-SUPERBA; LIGURIAN SEA; ATLANTIC-OCEAN; LIFE-HISTORY; CRUSTACEA EUPHAUSIACEA; METABOLIC PROPERTIES; POPULATION-DYNAMICS</t>
  </si>
  <si>
    <t>This chapter provides a background to research on Northern krill biology, starting with a description of its morphology and identifying features, and the historical path to its eventual position as a single species genus There is a lack of any euphausiid fossil material, so phylogenetic analysis has relied on comparative morphology and ontogeny and, more recently, genetic methods Although details differ, the consensus of these approaches is that Meganyctiphanes is most closely related to the genus Thysanoessa The light organs (or photophores) are well developed in Northern krill and the control of luminescence in these organs is described A consideration of the distribution of the species shows that it principally occupies shelf and slope waters of both the western and eastern coasts of the North Atlantic with a southern limit at the boundary with sub tropical waters (plus parts of the Mediterranean) and a northern limit at the boundary with Arctic water masses Recent evidence of a northward expansion of these distributional limits is considered further There have been a variety of techniques used to sample and survey Northern krill populations for a variety of purposes, which this chapter collates and assesses in terms of their effectiveness Northern krill play an important ecological role, both as a contributor to the carbon pump through the transport of faecal material to the deeper layers, and as a key prey item for groundfish, squid, baleen whales, and seabirds The commercial exploitation of Northern krill has been slow to emerge since its potential was considered by Mauchline [Mauchline, J (1980) The biology of mysids and euphausiids Adv Mar Biol 18, 1-681] However, new uses for products derived from krill are currently being found, which may lead to a new wave of exploitation</t>
  </si>
  <si>
    <t>[Tarling, Geraint A.; Ensor, Natalie S.; Goodall-Copestake, William P.; Fretwell, Peter] British Antarctic Survey, NERC, Cambridge CB3 0ET, England; [Fregin, Torsten] Univ Hamburg, Inst Zool, D-2000 Hamburg, Germany</t>
  </si>
  <si>
    <t>UK Research &amp; Innovation (UKRI); Natural Environment Research Council (NERC); NERC British Antarctic Survey; University of Hamburg</t>
  </si>
  <si>
    <t>Tarling, GA (corresponding author), British Antarctic Survey, NERC, High Cross, Cambridge CB3 0ET, England.</t>
  </si>
  <si>
    <t>Goodall-Copestake, William/CAF-6866-2022; Goodall-Copestake, William P/C-1061-2011</t>
  </si>
  <si>
    <t>Goodall-Copestake, Will/0000-0003-3586-9091</t>
  </si>
  <si>
    <t>NERC [NE/D008719/1] Funding Source: UKRI; Natural Environment Research Council [NE/D008719/1] Funding Source: researchfish</t>
  </si>
  <si>
    <t>ELSEVIER ACADEMIC PRESS INC</t>
  </si>
  <si>
    <t>525 B STREET, SUITE 1900, SAN DIEGO, CA 92101-4495 USA</t>
  </si>
  <si>
    <t>0065-2881</t>
  </si>
  <si>
    <t>978-0-12-381308-4</t>
  </si>
  <si>
    <t>ADV MAR BIOL</t>
  </si>
  <si>
    <t>Adv. Mar. Biol.</t>
  </si>
  <si>
    <t>10.1016/S0065-2881(10)57001-9</t>
  </si>
  <si>
    <t>Book Citation Index – Science (BKCI-S); Science Citation Index Expanded (SCI-EXPANDED)</t>
  </si>
  <si>
    <t>BSQ77</t>
  </si>
  <si>
    <t>WOS:000285484800001</t>
  </si>
  <si>
    <t>Patarnello, T; Papetti, C; Zane, L</t>
  </si>
  <si>
    <t>Patarnello, Tomaso; Papetti, Chiara; Zane, Lorenzo</t>
  </si>
  <si>
    <t>GENETICS OF NORTHERN KRILL (MEGANYCTIPHANES NORVEGICA SARS)</t>
  </si>
  <si>
    <t>Review; Book Chapter</t>
  </si>
  <si>
    <t>POPULATION-STRUCTURE; ANTARCTIC KRILL; MAXIMUM-LIKELIHOOD; DIVERGENCE; ATLANTIC; MIGRATION; CRUSTACEA; INFERENCE; SIZES; LOCI</t>
  </si>
  <si>
    <t>Understanding the origin and maintenance of genetic diversity in the oceanic realm is difficult because barriers to gene flow are far less obvious in marine compared to terrestrial species This is particularly so for planktonic species such as euphausiids with no fossil record and high rates of dispersal and in which paleobiology and evolutionary history remains largely obscure Population genetics may play an important role in this respect elucidating population connectivity and shedding light on the historical demography of the investigated species In turn the relevant factors that can promote speciation over both at short and long evolutionary timescales can be identified In this chapter we outline the available approaches for gathering population genetics information on marine organisms with a particular focus on the recent achievements in the study of Meganyctiphanes norvegica For population structure we review the data available for mitochondrial DNA (mtDNA) markers that show the presence of four temporally stable and genetically distinct gene pools one in the Mediterranean samples and three others in the North Atlantic Ocean potentially associated with the basin scale pattern of circulation Unpublished data on some nuclear microsatellite markers adds support to this conclusion In addition we apply a newly introduced Bayesian coalescent approach and demonstrate that previously reported mitochondrial sequence diversity is indicative of a recent expansion at the Northern edge of the species distribution This does not hold for the Southern and Mediterranean populations that appear to be stable over time We also review the literature reporting new advances on the analysis of M norvegica genes and genes products involved in metabolic pathways that may underline differences at the population level possibly linked to environmental variation and local adaptations</t>
  </si>
  <si>
    <t>[Patarnello, Tomaso] Univ Padua, Dept Publ Hlth Comparat Pathol &amp; Vet Hyg, I-35100 Padua, Italy; [Papetti, Chiara; Zane, Lorenzo] Univ Padua, Dept Biol, I-35100 Padua, Italy</t>
  </si>
  <si>
    <t>University of Padua; University of Padua</t>
  </si>
  <si>
    <t>Patarnello, T (corresponding author), Univ Padua, Dept Publ Hlth Comparat Pathol &amp; Vet Hyg, I-35100 Padua, Italy.</t>
  </si>
  <si>
    <t>Zane, Lorenzo/G-6249-2010</t>
  </si>
  <si>
    <t>Zane, Lorenzo/0000-0002-6963-2132; Papetti, Chiara/0000-0002-4567-459X; PATARNELLO, Tomaso/0000-0003-1794-5791</t>
  </si>
  <si>
    <t>10.1016/B978-0-12-381308-4.00002-9</t>
  </si>
  <si>
    <t>WOS:000285484800002</t>
  </si>
  <si>
    <t>Tarling, Geraint A.</t>
  </si>
  <si>
    <t>POPULATION DYNAMICS OF NORTHERN KRILL (MEGANYCTIPHANES NORVEGICA SARS)</t>
  </si>
  <si>
    <t>EUPHAUSIIDS THYSANOESSA-INERMIS; DIEL VERTICAL MIGRATION; NATURAL GROWTH-RATES; ANTARCTIC KRILL; CRUSTACEA EUPHAUSIACEA; LIFE-HISTORY; BARENTS SEA; LARVAL DEVELOPMENT; SUPERBA DANA; PACIFICA</t>
  </si>
  <si>
    <t>This chapter reviews the short and long term changes in the size and age composition of Northern krill (Meganyctiphanes norvegica) populations and the environmental processes influencing those changes It examines how populations of this species are affected by rates of reproductive output and mortality and the effects of development immigration and dispersion on population structure This review also takes account of the many behavioural features that directly or indirectly influence M norvegica population dynamics such as swarming behaviour diet vertical migration and diverse feeding strategies What becomes evident is that M norvegica shows a wide variability in population size structure over the species extensive distributional range Nevertheless there are limits to this variability as a result of the common life cycle pattern</t>
  </si>
  <si>
    <t>10.1016/S0065-2881(10)57003-2</t>
  </si>
  <si>
    <t>WOS:000285484800003</t>
  </si>
  <si>
    <t>Spicer, JI; Saborowski, R</t>
  </si>
  <si>
    <t>Spicer, John I.; Saborowski, Reinhard</t>
  </si>
  <si>
    <t>PHYSIOLOGY AND METABOLISM OF NORTHERN KRILL (MEGANYCTIPHANES NORVEGICA SARS)</t>
  </si>
  <si>
    <t>BETA-D-GLUCOSAMINIDASE; PYRUVATE-KINASE ISOFORMS; DIFFERENT CLIMATIC ZONES; DIEL VERTICAL MIGRATION; EUPHAUSIA-SUPERBA DANA; RASCHII M-SARS; ANTARCTIC KRILL; ECOLOGICAL INVESTIGATIONS; ZOOPLANKTON COMMUNITY; THYSANOESSA-INERMIS</t>
  </si>
  <si>
    <t>Advances in our understanding of the physiology and metabolism of Northern krill Meganyctiphanes norvegica have been sporadic but significant Despite problems with keeping M norvegica in good condition in the laboratory those who have tried and succeeded have contributed to a better knowledge of krill biology and challenged our understanding of some basic biological processes Most recent work has been concentrated in the fields of digestive physiology lipid biochemistry respiration and anaerobiosis metabolic properties and pollutants M norvegica is capable of digesting an opportunistic omnivorous diet showing some digestive enzyme polymorphism and high levels of enzyme activity the latter varying with season It also seems capable of digesting cellulose and hemicelluloses for example laminarin The biochemical composition of krill is relatively well known with some recent extensive work focusing on the previously little studied lipid and fatty acid composition particularly with reference to reproduction overwintering energy storage and as a nutrition marker A high aerobic metabolism (but poor anaerobic capacity) is character's tic of M norvegica and how this is affected by temperature low O-2 and season has attracted some attention particularly in the context of diel vertical migration (DVM) across pronounced pycnoclines Despite determining high metabolic turnover rates and a high physiological plasticity for this species we know little of the regulative potential of metabolites particularly their modulative effect on enzyme activity Certainly a modest ability to maintain aerobic metabolism when encountering hypoxia and little or no ability to osmoregulate in hyposaline conditions does not prevent DVM in adults of this species The ability to maintain aerobic metabolism develops early in ontogeny at about furcilia III (i e concur rent with first DVM behaviour) The respiratory pigment of M norvegica haemocyanin has a low O-2 affinity and high temperature sensitivity (although temperature has the opposite effect on O-2 binding than found for nearly every other haemocyanin) Also surprising is the apparent use of haemocyanin as an energy source/store While recent work has focused on physiological effects the ecophysiological effects of transuric elements and trace metals the effects of pollution generally are widely understudied</t>
  </si>
  <si>
    <t>[Spicer, John I.] Univ Plymouth, Sch Marine Sci &amp; Engn, Marine Biol &amp; Ecol Res Ctr, Plymouth PL4 8AA, Devon, England; [Saborowski, Reinhard] Alfred Wegener Inst Polar &amp; Marine Res, D-2850 Bremerhaven, Germany</t>
  </si>
  <si>
    <t>University of Plymouth; Helmholtz Association; Alfred Wegener Institute, Helmholtz Centre for Polar &amp; Marine Research</t>
  </si>
  <si>
    <t>Spicer, JI (corresponding author), Univ Plymouth, Sch Marine Sci &amp; Engn, Marine Biol &amp; Ecol Res Ctr, Plymouth PL4 8AA, Devon, England.</t>
  </si>
  <si>
    <t>Saborowski, Reinhard/0000-0003-0289-6501</t>
  </si>
  <si>
    <t>10.1016/S0065-2881(10)57004-4</t>
  </si>
  <si>
    <t>WOS:000285484800004</t>
  </si>
  <si>
    <t>Schmidt, K</t>
  </si>
  <si>
    <t>Schmidt, Katrin</t>
  </si>
  <si>
    <t>FOOD AND FEEDING IN NORTHERN KRILL (MEGANYCTIPHANES NORVEGICA SARS)</t>
  </si>
  <si>
    <t>DIEL VERTICAL MIGRATION; ANTARCTIC KRILL; EUPHAUSIA-SUPERBA; THYSANOESSA-RASCHI; FATTY-ACIDS; COMPARATIVE MORPHOLOGY; ZOOPLANKTON COMMUNITY; GASTRIC MILL; MOLT CYCLE; COPEPODS</t>
  </si>
  <si>
    <t>Early feeding studies on Meganyctiphanes norvegica described the morphology of the feeding appendages and the actual process of food uptake and digestion Insights into diurnal seasonal and ontogenetic pattern in feeding activity and diet were derived from field studies on the Clyde Sea population Since then technical advances have confirmed some of the early assumptions and rejected others Submersible remotely operated vehicles and echosounders for instance proved that M norvegica stay often close to the seabed and feed on particles in the epibenthic layer and sediment water interface Scanning electron microscopy showed that mandibles of the so called carnivorous M norvegica have an elaborated grinding region which allows efficient feeding on diatoms Three dimensional silhouette video imaging revealed mechanoreception not vision as the main sensory modality involved in proximity prey detection by M norvegica Fatty acid analysis and stomach content microscopy have now been conducted on M norvegica across a range of environments including the Gulf of Maine Greenland Sea Barents Sea Scandinavian fjords the Kattegat and Mediterranean Sea Regional and seasonal differences in the trophic environment are reflected in their daily ration and in the relative importance of copepods versus phytoplankton in their diet Overall phytoplankton is an important food source for M norvegica during the spring bloom and part of the summer but copepods are dominant in autumn and winter Depending on their vertical co occurrence M norvegica can feed on a range of copepods from early stages of Oithona spp up to adult Calanus spp There are clear ontogenetic differences in diet with adults feeding more on copepods and benthic food items than early post larvae Future studies should link diet to simultaneously measured growth and reproduction and emphasise comparison across the spectrum of environments inhabited by this versatile species</t>
  </si>
  <si>
    <t>Schmidt, K (corresponding author), British Antarctic Survey, NERC, High Cross, Cambridge CB3 0ET, England.</t>
  </si>
  <si>
    <t>10.1016/S0065-2881(10)57005-6</t>
  </si>
  <si>
    <t>WOS:000285484800005</t>
  </si>
  <si>
    <t>Buchholz, F; Buchholz, C</t>
  </si>
  <si>
    <t>Buchholz, Friedrich; Buchholz, Cornelia</t>
  </si>
  <si>
    <t>GROWTH AND MOULTING IN NORTHERN KRILL (MEGANYCTIPHANES NORVEGICA SARS)</t>
  </si>
  <si>
    <t>VERTICAL MIGRATION BEHAVIOR; EUPHAUSIA-SUPERBA; ANTARCTIC KRILL; PELAGIC CRUSTACEAN; LIGURIAN SEA; CYCLE; REPRODUCTION; SIZE; POPULATION; STRATEGIES</t>
  </si>
  <si>
    <t>Moulting and growth as a key aspect of the life history of crustaceans has been reviewed here for Meganyctiphanes norvegica Moulting is a cyclical process with relatively constrained uniform phases that have been well documented The crustacean moult cycle has a large influence on growth rates reproduction and metabolism Moult and growth are under hormonal control with further environmental influences A pre requisite for intensive studies is a detailed moult staging system Here a further refinement and temporal phasing is presented for M norvegica On such a basis the dynamics of cuticle synthesis and degradation are shown Moult and reproductive cycles are interlinked and krill is able to combine growth and reproduction in a way that allows females to achieve similar net growth rates to males A synchronisation of physiological processes and behaviour related to growth and reproduction enhances environmental success Moult staging can also be used to assess growth rates in the field Some further technical approaches are reviewed Laboratory maintenance and field data are combined to determine growth rates under various environmental conditions These are related to life growth assessments from population studies comparing krill along a latitudinal gradient Life cycle and physiological data indicate that Northern krill are able to cope with both warm and cold environments and have highly adaptable phenotypes The species may serve as useful indicator of environmental change Its potential proliferation in new environments may also have implications to regional food webs given the krill s high level of growth and productivity and their pivotal trophic role</t>
  </si>
  <si>
    <t>[Buchholz, Friedrich; Buchholz, Cornelia] Alfred Wegener Inst Polar &amp; Marine Res, Bremerhaven, Germany</t>
  </si>
  <si>
    <t>Buchholz, F (corresponding author), Alfred Wegener Inst Polar &amp; Marine Res, Bremerhaven, Germany.</t>
  </si>
  <si>
    <t>Buchholz, Cornelia/0000-0002-5055-1586</t>
  </si>
  <si>
    <t>10.1016/S0065-2881(10)57006-8</t>
  </si>
  <si>
    <t>WOS:000285484800006</t>
  </si>
  <si>
    <t>Roudy, JC</t>
  </si>
  <si>
    <t>Roudy, Janine Cuzin</t>
  </si>
  <si>
    <t>REPRODUCTION IN NORTHERN KRILL (MEGANYCTIPHANES NORVEGICA SARS)</t>
  </si>
  <si>
    <t>EUPHAUSIA-SUPERBA DANA; ANTARCTIC KRILL; MOLT CYCLE; OVARIAN DEVELOPMENT; BROOD SIZE; CRUSTACEA; FECUNDITY; VARIABILITY; STRATEGIES; MATURITY</t>
  </si>
  <si>
    <t>This review presents the current state of knowledge with regard to the reproductive biology of Northern krill (Meganyctiphanes norvegica) Reproduction is limited to a distinct period of the year First development of the ovary occurs at the onset of the season when the stock of primary oocytes issued from the germinal zone starts to accumulate glycoproteic yolk Previtellogenesis continues through out the entire reproductive season but oosorption (the retrieval by the ovary of the yolk constituents from the growing oocytes) may occur in unfavourable conditions and represents an important metabolic process for sustaining females during such periods Oosorption also occurs at the onset of the resting season It has been established that individual females may perform several cycles of reproduction each year Each reproductive cycle spans two moult cycles one in which lipid yolk is accumulated (vitellogenesis) and another when spawning occurs The time of spawning does not coincide with the moult (ecdysis) but with the onset of moult preparation (C Do moult stages) The complete egg batch is spawned well before the moult Storage lipids are accumulated preferentially in the ovary with distinctly high levels of omega 3 polyunsaturated fatty acids in the polar lipid fraction as well as phosphatidylcholine a key component in the development of the embryo There is no difference concerning lipid storage between resting females males and Juvenile krill Beside the ovary the fat body is an important organ involved in the metabolism and storage of the glycoproteins and lipids that will be transformed into the lipoglycoproteins of the yolk platelets in the ovary M norvegica produce large egg batches with the number of mature oocytes in one batch being proportional to the size of the female with a mean number of 1000-1200 eggs per batch The number of reproductive cycles per year is a function of the trophic conditions with the first reproductive cycle being triggered by the first phytoplankton bloom Other reproductive features reflect specific adaptations of krill to a pelagic life like swarming and vertical migration behaviour M norvegica segregate at night for moulting and mating or spawning while swimming constantly during their diet vertical migration (DVM) Key questions concerning krill reproduction remain particularly in identifying the cues that switch krill in and out reproductive development or between egg building and oosorption New molecular tools are now available to tackle such questions</t>
  </si>
  <si>
    <t>Univ Paris 06, CNRS, Observ Oceanol, Villefranche Sur Mer, France</t>
  </si>
  <si>
    <t>Sorbonne Universite; Centre National de la Recherche Scientifique (CNRS)</t>
  </si>
  <si>
    <t>Roudy, JC (corresponding author), Univ Paris 06, CNRS, Observ Oceanol, Villefranche Sur Mer, France.</t>
  </si>
  <si>
    <t>10.1016/S0065-2881(10)57007-X</t>
  </si>
  <si>
    <t>WOS:000285484800007</t>
  </si>
  <si>
    <t>Gaten, E; Wiese, K; Johnson, ML</t>
  </si>
  <si>
    <t>Gaten, Edward; Wiese, Konrad; Johnson, Magnus L.</t>
  </si>
  <si>
    <t>LABORATORY-BASED OBSERVATIONS OF BEHAVIOUR IN NORTHERN KRILL (MEGANYCTIPHANES NORVEGICA SARS)</t>
  </si>
  <si>
    <t>EUPHAUSIA-SUPERBA; ANTARCTIC KRILL; VERTICAL MIGRATION; NEPHROPS-NORVEGICUS; SOCIAL AGGREGATION; SWIMMING CAPACITY; COMPOUND EYE; FLOW-FIELD; NEAR-UV; CRUSTACEANS</t>
  </si>
  <si>
    <t>The behaviour of planktonic animals remains poorly understood due to the difficulty of observing them in situ without influencing their behaviour Here we review experiments on the behavioural responses of Northern krill Meganyctiphanes norvegica (and related organisms) in isolation in laboratory based aquaria The value of this approach lies in the close observation that is possible the downside is the uncertainty as to how well the observed behaviour relates to the natural behaviour of the subject animal We discuss studies of swimming and swarming and the responses of krill to light We consider techniques involving automatic recordings that avoid to some extent making subjective decisions on behaviour The effects of isolation of such a gregarious animal and of exposure to unnaturally high light levels are also considered We conclude that such experiments can be of great value as long as these limiting factors are addressed</t>
  </si>
  <si>
    <t>[Gaten, Edward] Univ Leicester, Dept Biol, Leicester, Leics, England; [Johnson, Magnus L.] Univ Hull, Ctr Environm &amp; Marine Sci, Scarborough, England</t>
  </si>
  <si>
    <t>University of Leicester; University of Hull</t>
  </si>
  <si>
    <t>Gaten, E (corresponding author), Univ Leicester, Dept Biol, Leicester, Leics, England.</t>
  </si>
  <si>
    <t>Johnson, Magnus/0000-0002-8163-4026</t>
  </si>
  <si>
    <t>Natural Environment Research Council [NE/D008719/1] Funding Source: researchfish; NERC [NE/D008719/1] Funding Source: UKRI</t>
  </si>
  <si>
    <t>10.1016/S0065-2881(10)57008-1</t>
  </si>
  <si>
    <t>WOS:000285484800008</t>
  </si>
  <si>
    <t>Kaartvedt, S</t>
  </si>
  <si>
    <t>Kaartvedt, Stein</t>
  </si>
  <si>
    <t>DIEL VERTICAL MIGRATION BEHAVIOUR OF THE NORTHERN KRILL (MEGANYCTIPHANES NORVEGICA SARS)</t>
  </si>
  <si>
    <t>SOUND-SCATTERING LAYERS; DOWNWELLING IRRADIANCE; EUPHAUSIA-PACIFICA; SWIMMING BEHAVIOR; ANTARCTIC KRILL; VISUAL PREDATION; ZOOPLANKTON; FISH; PATTERNS; SIZE</t>
  </si>
  <si>
    <t>The prototype of Meganyctiphanes norvegica diel vertical migration (DVM) behaviour comprises ascent around dusk feeding near the surface at night and descent at dawn explained as a trade off between feeding and predator avoidance in an environment where both food and risk of predation is highest near surface Light is the proximate cue and daytime distribution is deeper in clear waters and sunny weather and nocturnal distributions deeper in moon light However both internal state and external factors further affect and modify the diel migration pattern While Meganyctiphanes migrates in synchrony to the surface at sunset part of the population may descend soon after the ascent with individuals re entering upper layers throughout the night This has been explained with hungry individuals being prone to take larger risks and hence stay shallower while satiated individuals seek shelter at depth Females migrate closer to the surface than males of equivalent size possibly due to their greater demand for energy to fuel egg production Freshly moulted M norvegica remain at depth throughout the diel cycle This has been related to the fact that that krill do not feed during moulting to reduced swimming capacity and as a mechanism to avoid cannibalism whilst in a vulnerable condition In some locations large parts of the population remain at depth at night Such behaviour may incur access to demersal food sources provide avoidance of predators or can be a means to avoid horizontal transport to adjacent unfavourable areas Environmental gradients can arrest migrations of M norvegica yet the effect of physics is not always distinguished from associated biological properties like subsurface maxima of phytoplankton located at pycnocline boundaries Deeper nocturnal distribution when predators were abundant has been reported and krill may adjust their distribution upwards when exposed to deep living predators Instantaneous escape to approaching predators is a common component of the anti predator repertoire of Meganyctiphanes Occasionally reported schooling behaviour that overrides normal DVM behaviour may serve anti predation purposes as well as being related to reproduction M norvegica can remain within confined areas often defined by the bottom topography even when exposed to strong currents Behaviourally mediated retention may be accomplished by vertical migration in depth stratified flows but evidence for active use of DVM for the purpose of retention is so far circumstantial among M norvegica In several instances large aggregations of krill that repeatedly occur in the same location appear to be accidental consequences of krill vertical migration behaviour interacting with the mean circulation and bottom topography rather than representing active retention behaviour</t>
  </si>
  <si>
    <t>King Abdullth Univ Sci &amp; Technol, Thuwal, Saudi Arabia</t>
  </si>
  <si>
    <t>King Abdulaziz University</t>
  </si>
  <si>
    <t>Kaartvedt, S (corresponding author), King Abdullth Univ Sci &amp; Technol, Thuwal, Saudi Arabia.</t>
  </si>
  <si>
    <t>10.1016/S0065-2881(10)57009-3</t>
  </si>
  <si>
    <t>WOS:000285484800009</t>
  </si>
  <si>
    <t>Glover, AG; Gooday, AJ; Bailey, DM; Billett, DSM; Chevaldonne, P; Colaço, A; Copley, J; Cuvelier, D; Desbruyeres, D; Kalogeropoulou, V; Klages, M; Lampadariou, N; Lejeusne, C; Mestre, NC; Paterson, GLJ; Perez, T; Ruhl, H; Sarrazin, J; Soltwedel, T; Soto, EH; Thatje, S; Tselepides, A; Van Gaever, S; Vanreusel, A</t>
  </si>
  <si>
    <t>Lesser, M</t>
  </si>
  <si>
    <t>Glover, A. G.; Gooday, A. J.; Bailey, D. M.; Billett, D. S. M.; Chevaldonne, P.; Colaco, A.; Copley, J.; Cuvelier, D.; Desbruyeres, D.; Kalogeropoulou, V.; Klages, M.; Lampadariou, N.; Lejeusne, C.; Mestre, N. C.; Paterson, G. L. J.; Perez, T.; Ruhl, H.; Sarrazin, J.; Soltwedel, T.; Soto, E. H.; Thatje, S.; Tselepides, A.; Van Gaever, S.; Vanreusel, A.</t>
  </si>
  <si>
    <t>TEMPORAL CHANGE IN DEEP-SEA BENTHIC ECOSYSTEMS: A REVIEW OF THE EVIDENCE FROM RECENT TIME-SERIES STUDIES</t>
  </si>
  <si>
    <t>ADVANCES IN MARINE BIOLOGY, VOL 58</t>
  </si>
  <si>
    <t>MID-ATLANTIC RIDGE; EAST PACIFIC RISE; LONG-TERM CHANGE; HYDROTHERMAL VENT COMMUNITIES; NORTHERN CLEFT SEGMENT; DARK SUBMARINE CAVES; OXYGEN MINIMUM ZONE; ABYSSAL NE ATLANTIC; FUCA RIDGE; ANTARCTIC PENINSULA</t>
  </si>
  <si>
    <t>Societal concerns over the potential impacts of recent global change have prompted renewed interest in the long term ecological monitoring of large ecosystems The deep sea is the largest ecosystem on the planet the least accessible and perhaps the least understood Nevertheless deep sea data collected over the last few decades are now being synthesised with a view to both measuring global change and predicting the future impacts of further rises in atmospheric carbon dioxide concentrations For many years it was assumed by many that the deep sea is a stable habitat buffered from short term changes in the atmosphere or upper ocean However recent studies suggest that deep seafloor ecosystems may respond relatively quickly to seasonal inter annual and decadal scale shifts in upper ocean variables In this review we assess the evidence for these long term (i e inter annual to decadal scale) changes both in biologically driven sedimented deep sea ecosystems (e g abyssal plains) and in chemosynthetic ecosystems that are partially geologically driven such as hydrothermal vents and cold seeps We have identified 11 deep sea sedimented ecosystems for which published analyses of long term biological data exist At three of these we have found evidence for a progressive trend that could be potentially linked to recent climate change although the evidence is not conclusive At the other sites we have concluded that the changes were either not significant or were stochastically variable without being clearly linked to climate change or climate variability indices For chemosynthetic ecosystems we have identified 14 sites for which there are some published long term data Data for temporal changes at chemosynthetic ecosystems are scarce with few sites being subjected to repeated visits However the limited evidence from hydrothermal vents suggests that at fast spreading centres such as the East Pacific Rise vent communities are impacted on decadal scales by stochastic events such as volcanic eruptions with associated fauna showing complex patterns of community succession For the slow spreading centres such as the Mid Atlantic Ridge vent sites appear to be stable over the time periods measured with no discernable long term trend At cold seeps inferences based on spatial studies in the Gulf of Mexico and data on organism longevity suggest that these sites are stable over many hundreds of years However at the Haakon Mosby mud volcano a large well studied seep in the Barents Sea periodic mud slides associated with gas and fluid venting may disrupt benthic communities leading to successional sequences over time For chemosynthetic ecosystems of biogenic origin (e g whale falls) it is likely that the longevity of the habitat depends mainly on the size of the carcass and the ecological setting with large remains persisting as a distinct seafloor habitat for up to loo years Studies of shallow water analogs of deep sea ecosystems such as marine caves may also yield insights into temporal processes Although it is obvious from the geological record that past climate change has impacted deep sea faunas the evidence that recent climate change or climate variability has altered deep sea benthic communities is extremely limited This mainly reflects the lack of remote sensing of this vast seafloor habitat Current and future advances in deep ocean benthic science involve new remote observing technologies that combine a high temporal resolution (e g cabled observatories) with spatial capabilities (e g autonomous vehicles undertaking image surveys of the seabed)</t>
  </si>
  <si>
    <t>[Gooday, A. J.; Bailey, D. M.; Ruhl, H.] Univ Southampton, Natl Oceanog Ctr Southampton, Southampton, Hants, England; [Glover, A. G.; Paterson, G. L. J.] Nat Hist Museum, Dept Zool, London SW7 5BD, England; [Bailey, D. M.] Univ Glasgow, Div Ecol &amp; Evolutionary Biol, Glasgow, Lanark, Scotland; [Chevaldonne, P.; Lejeusne, C.; Perez, T.] Ctr Oceanol Marseille, Marine Endoume Stn, DIMAR, CNRS UMR, F-13007 Marseille, France; [Colaco, A.; Cuvelier, D.] Univ Azores, IMAR, Cais De Sta Cruz, Horta, Portugal; [Colaco, A.; Cuvelier, D.] Univ Azores, Dept Oceanog &amp; Fisheries, Cais De Sta Cruz, Horta, Portugal; [Copley, J.; Mestre, N. C.; Thatje, S.] Univ Southampton, Natl Oceanog Ctr, Sch Ocean &amp; Earth Sci, Southampton, Hants, England; [Desbruyeres, D.; Sarrazin, J.] IFREMER, Ctr Brest, Dept Etude Ecosyst Profonds, Lab Environm Profond, Plouzane, France; [Kalogeropoulou, V.; Lampadariou, N.] Hellen Ctr Marine Res, Iraklion, Crete, Greece; [Klages, M.; Soltwedel, T.] Alfred Wegener Inst Polar &amp; Marine Res, D-2850 Bremerhaven, Germany; [Soto, E. H.] Univ Valparaiso, Fac Ciencias Mar Recursos Nat, Vina Del Mar, Chile; [Tselepides, A.] Univ Piraeus, Dept Maritime Studies, Piraeus, Greece; [Van Gaever, S.; Vanreusel, A.] Univ Ghent, Dept Biol, Marine Biol Sect, B-9000 Ghent, Belgium</t>
  </si>
  <si>
    <t>NERC National Oceanography Centre; University of Southampton; Natural History Museum London; University of Glasgow; Centre National de la Recherche Scientifique (CNRS); Universidade dos Acores; Universidade dos Acores; NERC National Oceanography Centre; University of Southampton; Ifremer; Hellenic Centre for Marine Research; Helmholtz Association; Alfred Wegener Institute, Helmholtz Centre for Polar &amp; Marine Research; Universidad de Valparaiso; University of Piraeus; Ghent University</t>
  </si>
  <si>
    <t>Gooday, AJ (corresponding author), Univ Southampton, Natl Oceanog Ctr Southampton, Waterfront Campus,European Way, Southampton, Hants, England.</t>
  </si>
  <si>
    <t>Cuvelier, Daphne/AAD-6392-2020; Soltwedel, Thomas/P-1852-2016; Colaço, Ana/A-3862-2009; Tselepides, Anastasios/AAO-3965-2021; Colaço, Ana/H-4572-2019; Copley, Jon/I-7076-2012; Mestre, Nelia/C-1943-2009; Gooday, Andrew/AAH-8991-2021; Lampadariou, Nikolaos/H-1201-2011; Gooday, Andrew/ABB-4267-2020; Lejeusne, Christophe/B-4470-2009; Bailey, David/A-6240-2008</t>
  </si>
  <si>
    <t>Soltwedel, Thomas/0000-0002-8214-5937; Colaço, Ana/0000-0002-6462-5670; Colaço, Ana/0000-0002-6462-5670; Copley, Jon/0000-0003-3333-4325; Mestre, Nelia/0000-0001-6871-9984; Gooday, Andrew/0000-0002-5661-7371; Lejeusne, Christophe/0000-0002-8821-3849; Tselepides, Anastasios/0000-0002-7880-9091; Lampadariou, Nikolaos/0000-0003-2171-7150; Cuvelier, Daphne/0000-0003-4042-8215; Bailey, David/0000-0002-0824-8823</t>
  </si>
  <si>
    <t>Natural Environment Research Council [noc010009] Funding Source: researchfish</t>
  </si>
  <si>
    <t>2162-5875</t>
  </si>
  <si>
    <t>978-0-12-381015-1</t>
  </si>
  <si>
    <t>10.1016/S0065-2881(10)58001-5</t>
  </si>
  <si>
    <t>BSQ60</t>
  </si>
  <si>
    <t>WOS:000285482700001</t>
  </si>
  <si>
    <t>Collins, MA; Brickle, P; Brown, J; Belchier, M</t>
  </si>
  <si>
    <t>Collins, Martin A.; Brickle, Paul; Brown, Judith; Belchier, Mark</t>
  </si>
  <si>
    <t>THE PATAGONIAN TOOTHFISH: BIOLOGY, ECOLOGY AND FISHERY</t>
  </si>
  <si>
    <t>DISSOSTICHUS-ELEGINOIDES SMITT; SEALS ARCTOCEPHALUS-GAZELLA; DETERMINE POPULATION-STRUCTURE; ANTARCTIC NOTOTHENIOID FISHES; PENGUIN PYGOSCELIS-PAPUA; PRINCE-EDWARD ISLANDS; INDIAN-OCEAN SECTOR; LENGTH-AT-AGE; SOUTH GEORGIA; LONGLINE FISHERY</t>
  </si>
  <si>
    <t>Patagonian toothfish (Dissostichus eleginoides) is a large notothenioid fish that supports valuable fisheries throughout the Southern Ocean D eleginoides are found on the southern shelves and slopes of South America and around the sub Antarctic islands of the Southern Ocean Patagonian toothfish are a long lived species (&gt;50 years) which initially grow rapidly on the shallow shelf areas before undertaking an ontogenetic migration into deeper water Although they are active predators and scavengers there is no evidence of large scale geographic migrations and studies using genetics biochemistry parasite fauna and tagging indicate a high degree of isolation between populations in the Indian Ocean South Georgia and the Patagonian Shelf Patagonian toothfish spawn in deep water (ca 1000 m) during the austral winter producing pelagic eggs and larvae Larvae switch to a demersal habitat at around too mm (1 year old) and inhabit relatively shallow water (&lt;300 m) until 6-7 years of age when they begin a gradual migration into deeper water As juveniles in shallow water toothfish are primarily piscivorous consuming the most abundant suitably sized local prey With increasing size and habitat depth the diet diversifies and includes more scavenging Toothfish have weakly mineralised skeletons and a high fat content in muscle which helps neutral buoyancy but limits swimming capacity Toothfish generally swim with labriform motion but are capable of more rapid sub carangiform swimming when startled Toothfish were first caught as a by catch (as juveniles) in shallow trawl fisheries but following the development of deep water longlining fisheries rapidly developed throughout the Southern Ocean The initial rapid expansion of the fishery which led to a peak of over 40 000 tonnes in reported landings in 1995 was accompanied by problems of bird by catch and overexploitation as a consequence of illegal unreported and unregulated fishing (IUU) These problems have now largely been addressed but continued vigilance is required to ensure that the species is sustainably exploited and the ecosystem effects of the fisheries are minimised</t>
  </si>
  <si>
    <t>[Collins, Martin A.; Brickle, Paul] Univ Aberdeen, Sch Biol Sci Zool, Aberdeen AB24 2TZ, Scotland; [Belchier, Mark] British Antarctic Survey, NERC, Cambridge CB3 0ET, England</t>
  </si>
  <si>
    <t>University of Aberdeen; UK Research &amp; Innovation (UKRI); Natural Environment Research Council (NERC); NERC British Antarctic Survey</t>
  </si>
  <si>
    <t>Collins, Martin A/J-8560-2017; , Martin/ABE-6728-2020</t>
  </si>
  <si>
    <t>, Martin/0000-0001-7132-8650; Brickle, Paul/0000-0002-9870-3518</t>
  </si>
  <si>
    <t>10.1016/S0065.2881(10)58004.0</t>
  </si>
  <si>
    <t>WOS:000285482700004</t>
  </si>
  <si>
    <t>Dethloff, K; Glushak, K; Rinke, A; Handorf, D</t>
  </si>
  <si>
    <t>Dethloff, Klaus; Glushak, Ksenia; Rinke, Annette; Handorf, Doerthe</t>
  </si>
  <si>
    <t>Antarctic 20th Century Accumulation Changes Based on Regional Climate Model Simulations</t>
  </si>
  <si>
    <t>ADVANCES IN METEOROLOGY</t>
  </si>
  <si>
    <t>SURFACE MASS-BALANCE; SOUTHERN-HEMISPHERE; INTERANNUAL VARIABILITY; SNOW ACCUMULATION; ANNULAR MODE; TRENDS; ERA-40; PRECIPITATION; OSCILLATION; REANALYSES</t>
  </si>
  <si>
    <t>The regional climate model HIRHAM has been applied to Antarctica driven at the lateral and lower boundaries by European Reanalysis data ERA-40 for the period 1958-1998. Simulations over 4 decades, carried out with a horizontal resolution of 50 km, deliver a realistic simulation of the Antarctic atmospheric circulation, synoptic-scale pressure systems, and the spatial distribution of precipitation minus sublimation (P-E) structures. The simulated P-E pattern is in qualitative agreement with glaciological estimates. The estimated (P-E) trends demonstrate surfacemass accumulation increase at the West Antarctic coasts and reductions in parts of East Antarctica. The influence of the Antarctic Oscillation (AAO) on the near-surface climate and the surface mass accumulation over Antarctica have been investigated on the basis of ERA-40 data and HIRHAM simulations. It is shown that the regional accumulation changes are largely driven by changes in the transient activity around the Antarctic coasts due to the varying AAO phases. During positive AAO, more transient pressure systems travelling towards the continent, and Western Antarctica and parts of South-Eastern Antarctica gain more precipitation and mass. Over central Antarctica the prevailing anticyclone causes a strengthening of polar desertification connected with a reduced surface mass balance in the northern part of East Antarctica.</t>
  </si>
  <si>
    <t>[Dethloff, Klaus; Rinke, Annette; Handorf, Doerthe] Alfred Wegener Inst Polar &amp; Marine Res, Res Unit Potsdam, D-14473 Potsdam, Germany; [Glushak, Ksenia] Max Planck Inst Meteorol, D-20146 Hamburg, Germany</t>
  </si>
  <si>
    <t>Helmholtz Association; Alfred Wegener Institute, Helmholtz Centre for Polar &amp; Marine Research; Max Planck Society</t>
  </si>
  <si>
    <t>Dethloff, K (corresponding author), Alfred Wegener Inst Polar &amp; Marine Res, Res Unit Potsdam, Telegrafenberg A43, D-14473 Potsdam, Germany.</t>
  </si>
  <si>
    <t>klaus.dethloff@awi.de</t>
  </si>
  <si>
    <t>Dethloff, Klaus/B-4879-2014; Rinke, Annette/B-4922-2014</t>
  </si>
  <si>
    <t>Rinke, Annette/0000-0002-6685-9219</t>
  </si>
  <si>
    <t>Deutsche Forschungsgemeinschaft (DFG) [DE 635]</t>
  </si>
  <si>
    <t>The authors thank Ines Hebestadt and Sabine Erxleben for model simulation support and data handling during this project. The authors appreciate financial support from the Deutsche Forschungsgemeinschaft (DFG) under Grant DE 635. The authors acknowledge the advices of three anonymous reviewers who helped to improve and clarify the paper.</t>
  </si>
  <si>
    <t>1687-9309</t>
  </si>
  <si>
    <t>1687-9317</t>
  </si>
  <si>
    <t>ADV METEOROL</t>
  </si>
  <si>
    <t>Adv. Meteorol.</t>
  </si>
  <si>
    <t>10.1155/2010/327172</t>
  </si>
  <si>
    <t>V24IB</t>
  </si>
  <si>
    <t>WOS:000208403000016</t>
  </si>
  <si>
    <t>Benoit, JB</t>
  </si>
  <si>
    <t>Navas, CA; Carvalho, JE</t>
  </si>
  <si>
    <t>Benoit, Joshua B.</t>
  </si>
  <si>
    <t>Water Management by Dormant Insects: Comparisons Between Dehydration Resistance During Summer Aestivation and Winter Diapause</t>
  </si>
  <si>
    <t>AESTIVATION: MOLECULAR AND PHYSIOLOGICAL ASPECTS</t>
  </si>
  <si>
    <t>Progress in Molecular and Subcellular Biology</t>
  </si>
  <si>
    <t>Article; Book Chapter</t>
  </si>
  <si>
    <t>HEAT-SHOCK PROTEINS; ANTARCTIC MIDGE; FLESH FLY; DESICCATION RESISTANCE; CUTICULAR LIPIDS; URIC-ACID; SARCOPHAGA-CRASSIPALPIS; DROUGHT ACCLIMATION; TENEBRIONID BEETLE; VAPOR ABSORPTION</t>
  </si>
  <si>
    <t>During summer in temperate regions and tropical dry seasons insects are exposed to extended periods with little available water. To counter this dehydration stress, insects have two options. They can either remain active by utilizing mechanisms to function under severe water stress and high temperatures, or they can escape from the stressful environment by exploiting an aestivation mechanism. During aestivation, insects undergo a variety of molecular and biochemical changes to arrest development, reduce metabolism, tolerate high temperatures, and increase their ability to maintain water balance. In this review, I provide a synopsis of known and possible mechanisms utilized by insects to reduce the stress of dehydration during aestivation. Comparative observations of aestivating and diapausing insects are also discussed to assess similarities and differences in the methods used by insects to increase dehydration resistance between these two types of dormancies. Adaptations that alter moisture requirements during diapause (low metabolic rate, increases in osmolytes, shifts in cuticular hydrocarbons, cell membrane restructing) are likely similar to those utilized at the induction and during the maintenance phase of aestivation. Few studies have been conducted on the physiology, particularly the biochemistry and molecular regulation, of aestivating insects, indicating that much more research is needed to fully assess water balance characteristics of insects during aestivation. Whether an insect is in diapause or aestivation, behavioral, biochemical, and physiological adaptations are essential for suppressing water loss and enhancing survival in a desiccated state.</t>
  </si>
  <si>
    <t>Ohio State Univ, Dept Entomol, Aronoff Lab, Columbus, OH 43210 USA</t>
  </si>
  <si>
    <t>University System of Ohio; Ohio State University</t>
  </si>
  <si>
    <t>Benoit, JB (corresponding author), Ohio State Univ, Dept Entomol, Aronoff Lab, 318 W 12th Ave, Columbus, OH 43210 USA.</t>
  </si>
  <si>
    <t>benoit.8@osu.edu</t>
  </si>
  <si>
    <t>SPRINGER-VERLAG BERLIN</t>
  </si>
  <si>
    <t>HEIDELBERGER PLATZ 3, D-14197 BERLIN, GERMANY</t>
  </si>
  <si>
    <t>0079-6484</t>
  </si>
  <si>
    <t>978-3-642-02420-7</t>
  </si>
  <si>
    <t>PROG MOL SUBCELL BIO</t>
  </si>
  <si>
    <t>PROG MOLEC</t>
  </si>
  <si>
    <t>10.1007/978-3-642-02421-4_10</t>
  </si>
  <si>
    <t>10.1007/978-3-642-02421-4</t>
  </si>
  <si>
    <t>BMQ38</t>
  </si>
  <si>
    <t>WOS:000273345600010</t>
  </si>
  <si>
    <t>Best, PB; Meÿer, MA; Lockyer, C</t>
  </si>
  <si>
    <t>Best, P. B.; Meyer, M. A.; Lockyer, C.</t>
  </si>
  <si>
    <t>Killer whales in South African waters - a review of their biology</t>
  </si>
  <si>
    <t>AFRICAN JOURNAL OF MARINE SCIENCE</t>
  </si>
  <si>
    <t>distribution; feeding; growth; killer whale; morphometrics; Orcinus orca; reproduction; South Africa</t>
  </si>
  <si>
    <t>ORCINUS-ORCA; MARION ISLAND; BEHAVIOR</t>
  </si>
  <si>
    <t>The distribution, seasonality and schooling behaviour of killer whales Orcinus orca in South African waters have been investigated from 785 records compiled between 1963 and 2009, and their size, morphometrics, growth, reproduction, food and feeding behaviour described from the examination of 54 individuals, 36 of which were landed at the Durban whaling station between 1971 and 1975. Qualitatively, the species appears to be more frequently encountered offshore, where it forms small schools of generally less than six animals. Seasonality of occurrence is not marked, although circumstantial evidence indicates that some individuals migrate from higher latitudes. Males reach 8.81 m and females 7.9 m, with 16.2% of males exceeding the size of the largest female. Stomach content and observational data suggest that the species can be characterised locally as an opportunistic predator of megavertebrates, rather than as the fish-feeding ecotype previously described. A stranded adult male with extreme tooth wear that was 1.5-2 m shorter than other males of equivalent age may be representative of a separate 'offshore' ecotype. Apparent differences between features of the population's life history and those of resident killer whales in the north-eastern Pacific might be attributed to either uncertainties in age determination using dentinal growth layer groups or sampling bias. The basis for the suggestion that killer whales in South African waters should be reclassified as Vulnerable (rather than Data Deficient) is challenged.</t>
  </si>
  <si>
    <t>[Best, P. B.] Univ Pretoria, Mammal Res Inst, Iziko S African Museum, ZA-8000 Cape Town, South Africa; [Meyer, M. A.] Dept Environm Affairs, ZA-8012 Cape Town, South Africa; [Lockyer, C.] Age Dynam, DK-2800 Kongens Lyngby, Denmark</t>
  </si>
  <si>
    <t>University of Pretoria; Department of Environment, Forestry &amp; Fisheries</t>
  </si>
  <si>
    <t>Best, PB (corresponding author), Univ Pretoria, Mammal Res Inst, Iziko S African Museum, POB 61, ZA-8000 Cape Town, South Africa.</t>
  </si>
  <si>
    <t>pbest@iziko.org.za</t>
  </si>
  <si>
    <t>National Research Foundation, South Africa</t>
  </si>
  <si>
    <t>National Research Foundation, South Africa(National Research Foundation - South Africa)</t>
  </si>
  <si>
    <t>For assistance with the collection of material at the Durban whaling station, we are extremely grateful to the whaling inspectors and B Mbonami and P Mthembu of Union Whaling Co. Ltd. Data on the surface longline fishery effort were kindly provided by Dylan Clarke of the Department of Agriculture, Forestry and Fisheries, and the observer records for the same fishery by Jan Wissema of Capfish (SA) Pty Ltd: we are indebted to both. Official records of killer whales taken at South African whaling stations were kindly extracted from the International Whaling Commission's database by Cherry Allison. Barrie Rose and Hennie Crous (of the former Sea Fisheries Research Institute) gave details of killer whale/sport fishery interactions. Cathy Salter-Jansen (Simon's Town Museum) provided information associated with Figure 15. Richard Laws (then Director of British Antarctic Survey) identified and classified elephant seal remains, and Malcolm Smale (Port Elizabeth Museum at Bayworld) identified the cephalopod beaks. Rachel Alexander, Morea Petersen and Graham Louw (University of Cape Town Medical School) prepared and interpreted histological slides of other stomach content material. Permission to cite an unpublished paper was provided by Dr Tadasu Yamada (National Science Museum, Tokyo, Japan) and Dr Masao Amano (Faculty of Fisheries, Nagasaki University), to whom we are greatly indebted. The paper was substantially improved by the comments of the reviewers, John Ford (Pacific Biological Station, Nanaimo, Canada) and Nico de Bruyn (Mammal Research Institute, University of Pretoria). This work was supported by a grant to PBB from the National Research Foundation, South Africa. Relevant parts of this work were conducted under permits issued to PBB in terms of Regulation 58 of the Marine Living Resources Act (Act No. 18 of 1998) and its predecessors.</t>
  </si>
  <si>
    <t>NATL INQUIRY SERVICES CENTRE PTY LTD</t>
  </si>
  <si>
    <t>GRAHAMSTOWN</t>
  </si>
  <si>
    <t>19 WORCESTER STREET, PO BOX 377, GRAHAMSTOWN 6140, SOUTH AFRICA</t>
  </si>
  <si>
    <t>1814-232X</t>
  </si>
  <si>
    <t>AFR J MAR SCI</t>
  </si>
  <si>
    <t>Afr. J. Mar. Sci.</t>
  </si>
  <si>
    <t>10.2989/1814232X.2010.501544</t>
  </si>
  <si>
    <t>677OQ</t>
  </si>
  <si>
    <t>WOS:000284002100001</t>
  </si>
  <si>
    <t>Rouault, M; Pohl, B; Penven, P</t>
  </si>
  <si>
    <t>Rouault, M.; Pohl, B.; Penven, P.</t>
  </si>
  <si>
    <t>Coastal oceanic climate change and variability from 1982 to 2009 around South Africa</t>
  </si>
  <si>
    <t>Agulhas Current; Benguela upwelling; climate change; ENSO; Southern Annular Mode</t>
  </si>
  <si>
    <t>AGULHAS CURRENT; RAINFALL; ENSO; 20TH-CENTURY; EVENTS</t>
  </si>
  <si>
    <t>Changes and fluctuations in sea surface temperature (SST) around the South African coast are analysed at a monthly scale from 1982 to 2009. There is a statistically significant negative trend of up to 0.5 degrees C per decade in the southern Benguela from January to August, and a cooling trend of lesser magnitude along the South Coast and in the Port Elizabeth/Port Alfred region from May to August. The cooling is due to an increase in upwelling-favourable south-easterly and easterly winds. There is a positive trend in SST of up to 0.55 degrees C per decade in most parts of the Agulhas Current system during all months of the year, except for KwaZulu-Natal where warming is in summer. The warming was attributed to an intensification of the Agulhas Current in response to a poleward shift of westerly winds and an increase in trade winds in the South Indian Ocean at relevant latitudes. This intensification of the Agulhas Current could also have contributed to the coastal cooling in the Port Alfred dynamic upwelling region. The El Nino Southern Oscillation (ENSO) is significantly positively correlated at a 95% level with the southern Benguela and South Coast from February to May, and negatively correlated with the Agulhas Current system south of 36 degrees S. The correlation with the Antarctic Annular Oscillation is weaker and less coherent. El Nino suppresses upwelling along the coast, whereas La Nina increases it. Although there does not seem to be a linear relationship between the strength of the ENSO and the magnitude of coastal SST perturbation, El Nino and La Nina appear to be linked to major warm and cool events, respectively, at a seasonal scale in summer in the southern Benguela and along the South Coast. However, care must be taken in interpreting low-resolution reanalysed climate data (ERA40 and NCEP) and optimally interpolated Reynolds SST, such as used here.</t>
  </si>
  <si>
    <t>[Rouault, M.] Univ Cape Town, Marine Res Inst, Dept Oceanog, ZA-7701 Rondebosch, South Africa; [Pohl, B.] Univ Bourgogne, CNRS, Ctr Rech Climatol, F-21000 Dijon, France; [Penven, P.] UBO, IRD, Lab Phys Oceans, F-29280 Plouzane, France; [Penven, P.] IFREMER, F-29280 Plouzane, France</t>
  </si>
  <si>
    <t>University of Cape Town; Centre National de la Recherche Scientifique (CNRS); Universite de Bourgogne; Centre National de la Recherche Scientifique (CNRS); Ifremer; Institut de Recherche pour le Developpement (IRD); Universite de Bretagne Occidentale; Ifremer</t>
  </si>
  <si>
    <t>Rouault, M (corresponding author), Univ Cape Town, Marine Res Inst, Dept Oceanog, ZA-7701 Rondebosch, South Africa.</t>
  </si>
  <si>
    <t>mathieu.rouault@uct.ac.za</t>
  </si>
  <si>
    <t>Rouault, Mathieu/A-5022-2008; Pohl, Benjamin/AAW-8018-2020; Penven, Pierrick/A-6665-2008; Pohl, Benjamin/L-7696-2017</t>
  </si>
  <si>
    <t>Rouault, Mathieu/0000-0002-3207-6777; Penven, Pierrick/0000-0001-6456-3142; Pohl, Benjamin/0000-0002-9339-797X</t>
  </si>
  <si>
    <t>WRC; ACCESS; NRF; IRD; Nansen-Tutu Center; CNRS (PICS PESOCA)</t>
  </si>
  <si>
    <t>WRC; ACCESS; NRF; IRD; Nansen-Tutu Center; CNRS (PICS PESOCA)(Centre National de la Recherche Scientifique (CNRS))</t>
  </si>
  <si>
    <t>Funding for this work was provided by WRC, ACCESS, NRF, IRD, Nansen-Tutu Center and CNRS (PICS PESOCA), and we thank Aviso, NOAA, UKMO, ECMWF and NCEP for data. This manuscript is a contribution to the SEACHANGE NRF programme, the ACCESS climate programme and the ACDI programme.</t>
  </si>
  <si>
    <t>1814-2338</t>
  </si>
  <si>
    <t>10.2989/1814232X.2010.501563</t>
  </si>
  <si>
    <t>WOS:000284002100005</t>
  </si>
  <si>
    <t>Thompson, DL; Stilwell, JD</t>
  </si>
  <si>
    <t>Thompson, Daniel L.; Stilwell, Jeffrey D.</t>
  </si>
  <si>
    <t>Early Aptian (Early Cretaceous) freshwater bivalves from the Australian-Antarctic rift, southeast Victoria</t>
  </si>
  <si>
    <t>ALCHERINGA</t>
  </si>
  <si>
    <t>Gondwana; Early Cretaceous; southeastern Australia; Inverloch; Gippsland Basin; upper Strzelecki Group; freshwater bivalves; Hyriidae; Megalovirgus</t>
  </si>
  <si>
    <t>EASTERN GONDWANA; CLIMATE; HYRIIDAE; SHAPE</t>
  </si>
  <si>
    <t>Australian Mesozoic freshwater and estuarine bivalves belonging to the Hyriidae, Glauconomidae and Sphaeriidae have been described from only a few localities in Queensland, New South Wales and South Australia, revealing a low-diversity fauna. The hyriids Megalovirgus flemingi McMichael, 1956, and Megalovirgus stirlingi sp. nov. are among the first Cretaceous freshwater bivalves to be described from Victoria and were recovered from upper Strezlecki Group (lower Aptian) strata, ca 4km southwest of Inverloch, Gippsland Basin. These strata represent major fluvial flood deposits that accumulated in the Australia-Antarctica rift during the Early Cretaceous breakup of eastern Gondwana. The distribution of Megalovirgus flemingi in the Cretaceous of both New Zealand and Victoria indicates close links in the freshwater faunas between Zealandia and southeastern Australia during the Early Cretaceous.</t>
  </si>
  <si>
    <t>[Thompson, Daniel L.; Stilwell, Jeffrey D.] Monash Univ, Sch Geosci, Clayton, Vic 3800, Australia; [Stilwell, Jeffrey D.] Australian Museum, Ctr Evolutionary Res, Sydney, NSW 2000, Australia</t>
  </si>
  <si>
    <t>Monash University; Australian Museum</t>
  </si>
  <si>
    <t>Stilwell, JD (corresponding author), Monash Univ, Sch Geosci, Clayton, Vic 3800, Australia.</t>
  </si>
  <si>
    <t>daniel.thompson@sci.monash.edu.au; jeffrey.stilwell@sci.monash.edu.au</t>
  </si>
  <si>
    <t>Stilwell, Jeffrey Darl/0000-0002-9853-1322</t>
  </si>
  <si>
    <t>National Geographic Society; Australian Research Council; Monash Research Initiatives</t>
  </si>
  <si>
    <t>National Geographic Society(National Geographic Society); Australian Research Council(Australian Research Council); Monash Research Initiatives</t>
  </si>
  <si>
    <t>The authors thank Rolf Schmidt (MV) for access to the material, and Mary Walters, Lesley Kool and their team of volunteers who collected the specimens and were helpful at the fossil excavation. Excavations were sponsored by the National Geographic Society, the Australian Research Council and Altlas Copco under research permits issued to Patricia Vickers-Rich, the current being No. 10004616 of Dept. Sustainability and Environment, National Parks, Victoria. We are grateful to Steve Morton for photography, Steve Poropat, Chris Mays and Jozua van Otterloo (Monash University) for helpful insights, and Scott Hocknull (Museum of Queensland) and Pat Vickers-Rich (Monash University), Tom Rich (MV) for providing reference material. We thank Steve McLoughlin, Steven Good, Alan Tait and an anonymous reviewer for constructive feedback. Research was supported by a Monash Research Initiatives grant to JS, and PhD scholarship to DT.</t>
  </si>
  <si>
    <t>4 PARK SQUARE, MILTON PARK, ABINGDON OX14 4RN, OXON, ENGLAND</t>
  </si>
  <si>
    <t>0311-5518</t>
  </si>
  <si>
    <t>Alcheringa</t>
  </si>
  <si>
    <t>PII 923419652</t>
  </si>
  <si>
    <t>10.1080/03115511003789023</t>
  </si>
  <si>
    <t>640QB</t>
  </si>
  <si>
    <t>WOS:000281065400012</t>
  </si>
  <si>
    <t>Heggemann, C; Budke, C; Schomburg, B; Majer, Z; Wissbrock, M; Koop, T; Sewald, N</t>
  </si>
  <si>
    <t>Heggemann, Carolin; Budke, Carsten; Schomburg, Benjamin; Majer, Zsuzsa; Wissbrock, Marco; Koop, Thomas; Sewald, Norbert</t>
  </si>
  <si>
    <t>Antifreeze glycopeptide analogues: microwave-enhanced synthesis and functional studies</t>
  </si>
  <si>
    <t>AMINO ACIDS</t>
  </si>
  <si>
    <t>Bioorganic chemistry; Microwave synthesis; Glycopeptides; Recrystallization; Circular dichroism</t>
  </si>
  <si>
    <t>ICE RECRYSTALLIZATION; ANTARCTIC FISHES; GLYCOPROTEINS; CONFORMATION; PROTEINS; INHIBITION; PEPTIDES; RECOGNITION</t>
  </si>
  <si>
    <t>Antifreeze glycoproteins enable life at temperatures below the freezing point of physiological solutions. They usually consist of the repetitive tripeptide unit (-Ala-Ala-Thr-) with the disaccharide alpha-D-galactosyl(1-3)-beta-N-acetyl-D-galactosamine attached to each hydroxyl group of threonine. Monoglycosylated analogues have been synthesized from the corresponding monoglycosylated threonine building block by microwave-assisted solid phase peptide synthesis. This method allows the preparation of analogues containing sequence variations which are not accessible by other synthetic methods. As antifreeze glycoproteins consist of numerous isoforms they are difficult to obtain in pure form from natural sources. The synthetic peptides have been structurally analyzed by CD and NMR spectroscopy in proton exchange experiments revealing a structure as flexible as reported for the native peptides. Microphysical recrystallization tests show an ice structuring influence and ice growth inhibition depending on the concentration, chain length and sequence of the peptides.</t>
  </si>
  <si>
    <t>[Heggemann, Carolin; Budke, Carsten; Schomburg, Benjamin; Wissbrock, Marco; Koop, Thomas; Sewald, Norbert] Univ Bielefeld, D-33615 Bielefeld, Germany; [Majer, Zsuzsa] Eotvos Lorand Univ, Inst Chem, H-1117 Budapest, Hungary</t>
  </si>
  <si>
    <t>University of Bielefeld; Hungarian Academy of Sciences; Eotvos Lorand University</t>
  </si>
  <si>
    <t>Sewald, N (corresponding author), Univ Bielefeld, Univ Str 25, D-33615 Bielefeld, Germany.</t>
  </si>
  <si>
    <t>norbert.sewald@uni-bielefeld.de</t>
  </si>
  <si>
    <t>Sewald, Norbert/A-2541-2012; Majer, Zsuzsa/B-3910-2016; Koop, Thomas/B-7861-2008</t>
  </si>
  <si>
    <t>Sewald, Norbert/0000-0002-0309-2655; Koop, Thomas/0000-0002-7571-3684</t>
  </si>
  <si>
    <t>DFG [SFB 613]</t>
  </si>
  <si>
    <t>DFG(German Research Foundation (DFG))</t>
  </si>
  <si>
    <t>The authors gratefully acknowledge support from DFG (SFB 613).</t>
  </si>
  <si>
    <t>0939-4451</t>
  </si>
  <si>
    <t>1438-2199</t>
  </si>
  <si>
    <t>Amino Acids</t>
  </si>
  <si>
    <t>JAN</t>
  </si>
  <si>
    <t>10.1007/s00726-008-0229-0</t>
  </si>
  <si>
    <t>553RH</t>
  </si>
  <si>
    <t>WOS:000274384000022</t>
  </si>
  <si>
    <t>Karanovic, T</t>
  </si>
  <si>
    <t>Karanovic, Tomislav</t>
  </si>
  <si>
    <t>First record of the harpacticoid genus Nitocrellopsis (Copepoda, Ameiridae) in Australia, with descriptions of three new species</t>
  </si>
  <si>
    <t>ANNALES DE LIMNOLOGIE-INTERNATIONAL JOURNAL OF LIMNOLOGY</t>
  </si>
  <si>
    <t>Cladistics; phylogeny; Pilbara; stygofauna; subterranean; Tethyan relics; Western Australia; Yilgarn; zoogeography</t>
  </si>
  <si>
    <t>WESTERN-AUSTRALIA; YILGARN REGION; GROUND WATERS; CRUSTACEA; DYTISCIDAE; PHYLOGEOGRAPHY; BATHYNELLACEA; CYCLOPOIDA; EVOLUTION; CALANOIDA</t>
  </si>
  <si>
    <t>Three new freshwater ameirid species were discovered in the Western Australian subterranean habitats and described in this paper. They all proved to belong to the genus Nitocrellopsis Galassi, De Laurentiis &amp; Dole-Olivier, 1999, representing the first record of this genus in Australia. Nitocrellopsis operculata sp. nov. was collected in 2003 in the Pilbara region, during the Pilbara Regional Survey, led by the Western Australian Department of Environment and Conservation (DEC). It can be distinguished from all other congeners by the reduced armature of the antennal exopod, which is an autapomorphic feature. Also, no other species of Nitocrellopsis has cuticular windows on prosomal or urosomal somites, or six elements on the third exopodal segment of the second leg. Nitocrellopsis halsei sp. nov. and N. pinderi sp. nov. are sister-species, collected in 2007 in the neighbouring Yilgarn region, by the private environmental consulting company Bennelongia Pty Ltd. Numerous morphological similarities include somite ornamentation, armature patterns of the swimming legs and the fifth leg, as well as the shape and armature of the antennula, antenna and almost all mouth appendages, while the main differences between the two are observed in the body size and habitus appearance, caudal rami shape and size, presence/absence of large lateral pores on the fourth pedigerous somite, number of spinules on the anal operculum, number of setae on the madibular endopod, and shape of the exopod of the fifth leg. Although they differ from any other congener by a combination of characters, no significant autapomorphic features were observed. In order to find a more natural allocation of these three species, a cladistic analysis is performed on all current members of Nitocrellopsis and three outgroup taxa, based on 45 morphological characters. The resulting cladogram shows that the ingroup is well defined by at least four synapomorphies, but the Australian species from the two regions are only remotely related to each other, showing the importance of looking at small-scale patterns when inferring Gondwanan biogeography. Three sister-species pairs are recognized in the genus and a key to all 12 members is provided.</t>
  </si>
  <si>
    <t>[Karanovic, Tomislav] Univ Tasmania, Inst Marine &amp; Antarctic Studies, Hobart, Tas 7001, Australia; [Karanovic, Tomislav] Hanyang Univ, Dept Life Sci, Seoul 133791, South Korea</t>
  </si>
  <si>
    <t>University of Tasmania; Hanyang University</t>
  </si>
  <si>
    <t>Karanovic, T (corresponding author), Univ Tasmania, Inst Marine &amp; Antarctic Studies, Private Bag 5, Hobart, Tas 7001, Australia.</t>
  </si>
  <si>
    <t>Tomislav.Karanovic@utas.edu.au</t>
  </si>
  <si>
    <t>Western Australian Department of Environment and Conservation (DEC)</t>
  </si>
  <si>
    <t>This work was partly financially supported by the Western Australian Department of Environment and Conservation (DEC). I thank Dr. Stuart Halse who organized the DEC grant and Dr. Adrian Pinder who executed it. Ms. Renate Walter, from the Hamburg Museum, is kindly acknowledged for the help in preparation of the SEM photographs. Special thanks to Mr. Jim Cocking and Mr. Mike Scanlon, both from Bennelongia Pty Ltd, for collecting this interesting material. Dr. Rony Huys, from the Natural History Museum in London, kindly commented on the first draft of the manuscript and comments of the two anonymous referees greatly improved this paper.</t>
  </si>
  <si>
    <t>0003-4088</t>
  </si>
  <si>
    <t>2100-000X</t>
  </si>
  <si>
    <t>ANN LIMNOL-INT J LIM</t>
  </si>
  <si>
    <t>Ann. Limnol.-Int. J. Limnol.</t>
  </si>
  <si>
    <t>10.1051/limn/2010021</t>
  </si>
  <si>
    <t>Limnology</t>
  </si>
  <si>
    <t>700VN</t>
  </si>
  <si>
    <t>WOS:000285772500005</t>
  </si>
  <si>
    <t>Stephenson, JAE; Walker, ADM</t>
  </si>
  <si>
    <t>Stephenson, J. A. E.; Walker, A. D. M.</t>
  </si>
  <si>
    <t>Coherence between radar observations of magnetospheric field line resonances and discrete oscillations in the solar wind</t>
  </si>
  <si>
    <t>ANNALES GEOPHYSICAE</t>
  </si>
  <si>
    <t>Magnetospheric physics; Solar wind-magnetosphere interactions</t>
  </si>
  <si>
    <t>INTERPLANETARY MAGNETIC-FIELD; PC5; EXCITATION; WAVES; MAGNETOPAUSE; BOUNDARY; DRIVEN</t>
  </si>
  <si>
    <t>Field line resonances have been observed for decades by ground-based and in situ instruments. The driving mechanism(s) are still unclear, although previous work has provided strong grounds that coherent waves in the solar wind may be a source. Here we present further evidence, with the use of multitaper analysis, a sophisticated spectrum estimation technique. A set of windows (dpss tapers) is chosen with characteristics that best suit the width of the narrowband peaks to be identified. The orthogonality of the windows allows for a confidence level ( of say 95%) against a null hypothesis of a noisy spectrum, so that significant peaks can be identified. Employing multitaper analysis we can determine the phase and amplitude coherence at the sampling rate of the data sets and, over their entire duration. These characteristics make this technique superior to single windowing or wavelet analysis. A high degree of phase and amplitude ( greater then 95%) coherence is demonstrated between a 2.1 mHz field line resonance observed by the SHARE radar at Sanae, Antarctica and the solar wind oscillation detected by WIND and ACE satellites.</t>
  </si>
  <si>
    <t>[Stephenson, J. A. E.; Walker, A. D. M.] Univ KwaZulu Natal, Sch Phys, ZA-4000 Durban, South Africa</t>
  </si>
  <si>
    <t>University of Kwazulu Natal</t>
  </si>
  <si>
    <t>Stephenson, JAE (corresponding author), Univ KwaZulu Natal, Sch Phys, Private Bag X54001, ZA-4000 Durban, South Africa.</t>
  </si>
  <si>
    <t>stephens@ukzn.ac.za</t>
  </si>
  <si>
    <t>Stephenson, Judy/G-6066-2017; Walker, David/K-6906-2016</t>
  </si>
  <si>
    <t>Stephenson, Judy/0000-0002-3840-7979; Walker, David/0000-0002-4581-752X</t>
  </si>
  <si>
    <t>National Research Foundation of South Africa (NRF); South African Department of Environment Affairs and Tourism (DEAT)</t>
  </si>
  <si>
    <t>National Research Foundation of South Africa (NRF)(National Research Foundation - South Africa); South African Department of Environment Affairs and Tourism (DEAT)</t>
  </si>
  <si>
    <t>The SHARE HF radar at Sanae, Antarctica is supported by funding from National Research Foundation of South Africa (NRF) and the Antarctic logistics are provided by the South African Department of Environment Affairs and Tourism (DEAT). We thank WIND and ACE instrument and science teams of the MFI, SWEPAM and SWE instruments for providing the solar wind data. We thank members of the SSA-MTM team of the Department of Atmospheric Sciences, UCLA and US Geological Survey and the Commissariat a l'Energie Atomique as well as all other individuals responsible for the development and maintenance of the Toolkit used in the multitaper analysis presented here.</t>
  </si>
  <si>
    <t>COPERNICUS GESELLSCHAFT MBH</t>
  </si>
  <si>
    <t>GOTTINGEN</t>
  </si>
  <si>
    <t>BAHNHOFSALLEE 1E, GOTTINGEN, 37081, GERMANY</t>
  </si>
  <si>
    <t>0992-7689</t>
  </si>
  <si>
    <t>1432-0576</t>
  </si>
  <si>
    <t>ANN GEOPHYS-GERMANY</t>
  </si>
  <si>
    <t>Ann. Geophys.</t>
  </si>
  <si>
    <t>10.5194/angeo-28-47-2010</t>
  </si>
  <si>
    <t>Astronomy &amp; Astrophysics; Geosciences, Multidisciplinary; Meteorology &amp; Atmospheric Sciences</t>
  </si>
  <si>
    <t>Astronomy &amp; Astrophysics; Geology; Meteorology &amp; Atmospheric Sciences</t>
  </si>
  <si>
    <t>550OI</t>
  </si>
  <si>
    <t>WOS:000274136900006</t>
  </si>
  <si>
    <t>Azeem, SMI; Talaat, ER; Sivjee, GG; Yee, JH</t>
  </si>
  <si>
    <t>Azeem, S. M. I.; Talaat, E. R.; Sivjee, G. G.; Yee, J. -H.</t>
  </si>
  <si>
    <t>Mesosphere and lower thermosphere temperature anomalies during the 2002 Antarctic stratospheric warming event</t>
  </si>
  <si>
    <t>Atmospheric composition and structure; Airglow and aurora; Meteorology and atmospheric dynamics; Middle atmosphere dynamics; Polar meteorology</t>
  </si>
  <si>
    <t>We present kinetic temperatures at similar to 87 km and similar to 94 km altitudes inferred from OH ( 6,2) and O(2) At( 0,1) airglow observations, respectively, at South Pole (90 degrees S), Antarctica in the austral winter of 2002. These OH and O(2) rotational temperatures measurements show mesosphere and lower thermosphere (MLT) temperature anomalies prior to the 2002 Southern Hemisphere Sudden Stratospheric Warming (SSW). In this paper we focus on the first of the three minor stratospheric warmings which preceded the major SSW event. Temperature anomalies observed in the MLT region show sudden cooling (Delta T = similar to 30 K) in OH temperatures accompanied by warming (Delta T = similar to 15 K) in O(2) temperatures preceding the onset of SSW event by about three to four weeks. This shallow vertical extent of mesospheric cooling is in agreement with the numerical simulation of Coy et al. (2005), however, the model cooling was centered well below the mesopause level. The other observed feature of the South Pole MLT temperature dataset is the intensification of planetary wave activity prior to the onset of SSW event. Fourier analyses of both OH and O(2) temperatures show amplification of planetary wave activity in the 5-10 day range prior to the onset of SSW. The timing of wave amplification seen in the wave spectra coincides with the peak in OH and O(2) temperature anomalies.</t>
  </si>
  <si>
    <t>[Azeem, S. M. I.] ASTRA LLC, San Antonio, TX USA; [Azeem, S. M. I.; Sivjee, G. G.] Embry Riddle Aeronaut Univ, Daytona Beach, FL USA; [Talaat, E. R.; Yee, J. -H.] Johns Hopkins Univ, Appl Phys Lab, Laurel, MD USA</t>
  </si>
  <si>
    <t>Embry-Riddle Aeronautical University; Johns Hopkins University; Johns Hopkins University Applied Physics Laboratory</t>
  </si>
  <si>
    <t>Azeem, SMI (corresponding author), ASTRA LLC, San Antonio, TX USA.</t>
  </si>
  <si>
    <t>iazeem@astraspace.net</t>
  </si>
  <si>
    <t>Yee, Jeng-Hwa/L-6362-2016</t>
  </si>
  <si>
    <t>Yee, Jeng-Hwa/0000-0002-8269-424X</t>
  </si>
  <si>
    <t>National Science Foundation [OPP-03352742, ATM-0449864, ATM 0640864]; Div Atmospheric &amp; Geospace Sciences; Directorate For Geosciences [0946902, 0854704] Funding Source: National Science Foundation</t>
  </si>
  <si>
    <t>National Science Foundation(National Science Foundation (NSF)); Div Atmospheric &amp; Geospace Sciences; Directorate For Geosciences(National Science Foundation (NSF)NSF - Directorate for Geosciences (GEO))</t>
  </si>
  <si>
    <t>This work was supported by the National Science Foundation grants OPP-03352742 and ATM-0449864 to Embry-Riddle Aeronautical University. We acknowledge the use of NCEP Reanalysis data provided by the NOAA/OAR/ESRL PSD, Boulder, Colorado, USA, from their Web site at http://www.esrl.noaa.gov/psd/. ERT and JHY were supported by NSF grant ATM 0640864.</t>
  </si>
  <si>
    <t>10.5194/angeo-28-267-2010</t>
  </si>
  <si>
    <t>WOS:000274136900024</t>
  </si>
  <si>
    <t>Alexander, P; Luna, D; Llamedo, P; de la Torre, A</t>
  </si>
  <si>
    <t>Alexander, P.; Luna, D.; Llamedo, P.; de la Torre, A.</t>
  </si>
  <si>
    <t>A gravity waves study close to the Andes mountains in Patagonia and Antarctica with GPS radio occultation observations</t>
  </si>
  <si>
    <t>Meteorology and atmospheric dynamics; Middle atmosphere dynamics; Waves and tides</t>
  </si>
  <si>
    <t>LIMB SOUNDER OBSERVATIONS; SATELLITE-OBSERVATIONS; MIDDLE ATMOSPHERE; STRATOSPHERE; CHAMP; SPACE</t>
  </si>
  <si>
    <t>We first study the seasonal and geographical behavior of gravity wave activity in the lower stratosphere over the southernmost Andes mountains and their prolongation in the Antarctic Peninsula by global positioning system (GPS) radio occultation (RO) temperature profiles, obtained between years 2002 and 2005 by the CHAllenging Minisatellite Payload (CHAMP) mission. The observed features complement observations in the same zone by other satellite passive remote sensing instruments, which are able to detect different height regions and other spectral intervals of the wave spectrum. Comparisons with previous GPS RO studies in smaller areas than the one covered in our analysis are also established. Significant seasonal variation of wave activity is observed in our work, in agreement with results from other instruments. The locations of significant cases indicate that topography is an important source. Some strong wave activity is also found over open ocean. Critical level filtering is shown to have an attenuation effect, implying that a large fraction of the observed activity can be considered to be an outcome of mountain waves. The studied region has a significant advantage as compared to other regions of our planet: it generates wavefronts nearly aligned with the North-South direction (almost parallel to the mountains), whereby this geometry favors the wave detection by the nearly meridional line of sight characterizing most of the GPS RO observations used. A distribution of the observed gravity waves in terms of amplitudes and wavelengths is also presented.</t>
  </si>
  <si>
    <t>[Alexander, P.; Luna, D.; Llamedo, P.; de la Torre, A.] Univ Buenos Aires, Fac Ciencias Exactas &amp; Nat, Dept Fis, RA-1428 Buenos Aires, DF, Argentina</t>
  </si>
  <si>
    <t>University of Buenos Aires</t>
  </si>
  <si>
    <t>Alexander, P (corresponding author), Univ Buenos Aires, Fac Ciencias Exactas &amp; Nat, Dept Fis, RA-1428 Buenos Aires, DF, Argentina.</t>
  </si>
  <si>
    <t>peter@df.uba.ar</t>
  </si>
  <si>
    <t>Alexander, Peter/R-5044-2019</t>
  </si>
  <si>
    <t>Alexander, Peter/0000-0001-9455-2487; Llamedo, Pablo/0000-0002-7128-5395; de la Torre, Alejandro/0000-0002-4950-5638</t>
  </si>
  <si>
    <t>UBA [X004]; CONICET [PIP 5932]; ANPCYT [PICT 1999]</t>
  </si>
  <si>
    <t>UBA(University of Buenos Aires); CONICET(Consejo Nacional de Investigaciones Cientificas y Tecnicas (CONICET)); ANPCYT(ANPCyT)</t>
  </si>
  <si>
    <t>Manuscript prepared under grants UBA X004 and CONICET PIP 5932 and ANPCYT PICT 1999. P. Alexander and A. de la Torre are members of CONICET. P. Llamedo holds a fellowship from CONICET. We acknowledge data provided by the NOAA-CIRES/Climate Diagnostics Center, Boulder (CO) from their website www.cdc.noaa.gov and the Jet Propulsion Laboratory for making available CHAMP GPS RO data for our study.; Topical Editor F. D'Andrea thanks two anonymous referees for their help in evaluating this paper.</t>
  </si>
  <si>
    <t>10.5194/angeo-28-587-2010</t>
  </si>
  <si>
    <t>561RH</t>
  </si>
  <si>
    <t>WOS:000274995800023</t>
  </si>
  <si>
    <t>Mendillo, M; Narvaez, C</t>
  </si>
  <si>
    <t>Mendillo, M.; Narvaez, C.</t>
  </si>
  <si>
    <t>Ionospheric storms at geophysically-equivalent sites - Part 2: Local time storm patterns for sub-auroral ionospheres</t>
  </si>
  <si>
    <t>Ionosphere; Ionospheric disturbances; Mid-latitude ionosphere; General or miscellaneous</t>
  </si>
  <si>
    <t>TOTAL ELECTRON-CONTENT; MID-LATITUDE TROUGH; ANTARCTIC F-REGION; GEOMAGNETIC STORMS; DISTURBANCES; F2-LAYER; CONVECTION; BEHAVIOUR; ASYMMETRY; LAYER</t>
  </si>
  <si>
    <t>The response of the mid-latitude ionosphere to geomagnetic storms depends upon several pre-storm conditions, the dominant ones being season and local time of the storm commencement (SC). The difference between a site's geographic and geomagnetic latitudes is also of major importance since it governs the blend of processes linked to solar production and magnetospheric input, respectively. Case studies of specific storms using ionospheric data from both hemispheres are inherently dominated by seasonal effects and the various local times versus longitude of the SCs. To explore inter-hemispheric consistency of ionospheric storms, we identify 'geophysically-equivalent-sites' as locations where the geographic and geomagnetic latitudes have the same relationship to each other in both hemispheres. At the longitudes of the dipole tilt, the differences between geographic and geomagnetic latitudes are at their extremes, and thus these are optimal locations to see if pre-conditioning and/or storm-time input are the same or differ between the hemispheres. In this study, we use ionosonde values of the F2-layer maximum electron density (NmF2) to study geophysical equivalency at Wallops Island (VA) and Hobart (Tasmania), using statistical summaries of 206 events during solar cycle #20. We form average patterns of Delta NmF2 (%) versus local time over 7-day storm periods that are constructed in ways that enhance the portrayal of the average characteristic features of the positive and negative phases of ionospheric storms. The results show a consistency between four local time characteristic patterns of storm-induced perturbations, and thus for the average magnitudes and time scales of the processes that cause them in each hemisphere. Subtle differences linked to small departures from pure geophysical equivalency point to a possible presence of hemispheric asymmetries governed by the non-mirror-image of geomagnetic morphology in each hemisphere.</t>
  </si>
  <si>
    <t>[Mendillo, M.; Narvaez, C.] Boston Univ, Ctr Space Phys, Boston, MA 02115 USA</t>
  </si>
  <si>
    <t>Boston University</t>
  </si>
  <si>
    <t>Narvaez, C (corresponding author), Boston Univ, Ctr Space Phys, Boston, MA 02115 USA.</t>
  </si>
  <si>
    <t>cnarvaez@bu.edu</t>
  </si>
  <si>
    <t>Mendillo, Michael/H-4397-2014</t>
  </si>
  <si>
    <t>Narvaez, Clara/0000-0002-7526-9202</t>
  </si>
  <si>
    <t>10.5194/angeo-28-1449-2010</t>
  </si>
  <si>
    <t>633PK</t>
  </si>
  <si>
    <t>WOS:000280515400007</t>
  </si>
  <si>
    <t>Longden, N; Chisham, G; Freeman, MP; Abel, GA; Sotirelis, T</t>
  </si>
  <si>
    <t>Longden, N.; Chisham, G.; Freeman, M. P.; Abel, G. A.; Sotirelis, T.</t>
  </si>
  <si>
    <t>Estimating the location of the open-closed magnetic field line boundary from auroral images</t>
  </si>
  <si>
    <t>Magnetospheric physics; Auroral phenomena; Magnetospheric configuration and dynamics; Instruments and techniques</t>
  </si>
  <si>
    <t>POLAR-CAP AREA; HF-RADAR; DAYSIDE RECONNECTION; PRECIPITATION BOUNDARIES; ISOLATED SUBSTORMS; UPPER-ATMOSPHERE; ELECTRON; LATITUDE; CUSP; OVAL</t>
  </si>
  <si>
    <t>The open-closed magnetic field line boundary (OCB) delimits the region of open magnetic flux forming the polar cap in the Earth's ionosphere. We present a reliable, automated method for determining the location of the poleward auroral luminosity boundary (PALB) from far ultraviolet (FUV) images of the aurora, which we use as a proxy for the OCB. This technique models latitudinal profiles of auroral luminosity as both a single and double Gaussian function with a quadratic background to produce estimates of the PALB without prior knowledge of the level of auroral activity or of the presence of bifurcation in the auroral oval. We have applied this technique to FUV images recorded by the IMAGE satellite from May 2000 until August 2002 to produce a database of over a million PALB location estimates, which is freely available to download. From this database, we assess and illustrate the accuracy and reliability of this technique during varying geomagnetic conditions. We find that up to 35% of our PALB estimates are made from double Gaussian fits to latitudinal intensity profiles, in preference to single Gaussian fits, in nightside magnetic local time (MLT) sectors. The accuracy of our PALBs as a proxy for the location of the OCB is evaluated by comparison with particle precipitation boundary (PPB) proxies from the DMSP satellites. We demonstrate the value of this technique in estimating the total rate of magnetic reconnection from the time variation of the polar cap area calculated from our OCB estimates.</t>
  </si>
  <si>
    <t>[Longden, N.; Chisham, G.; Freeman, M. P.; Abel, G. A.] British Antarctic Survey, Cambridge CB3 0ET, England; [Sotirelis, T.] Johns Hopkins Univ, Appl Phys Lab, Laurel, MD 20723 USA</t>
  </si>
  <si>
    <t>UK Research &amp; Innovation (UKRI); Natural Environment Research Council (NERC); NERC British Antarctic Survey; Johns Hopkins University; Johns Hopkins University Applied Physics Laboratory</t>
  </si>
  <si>
    <t>Longden, N (corresponding author), British Antarctic Survey, Madingley Rd, Cambridge CB3 0ET, England.</t>
  </si>
  <si>
    <t>nilo@bas.ac.uk</t>
  </si>
  <si>
    <t>Sotirelis, Thomas S/C-2523-2016; Abel, Gary/ABE-1765-2021; Freeman, Mervyn/E-5687-2019</t>
  </si>
  <si>
    <t>Abel, Gary/0000-0003-2231-5161; Freeman, Mervyn/0000-0002-8653-8279</t>
  </si>
  <si>
    <t>UK Science and Technology Facilities Council [PP/E002110/1]; UK Natural Environment Research Council; NERC [bas0100026] Funding Source: UKRI; STFC [PP/E002110/1] Funding Source: UKRI; Natural Environment Research Council [bas0100026] Funding Source: researchfish; Science and Technology Facilities Council [PP/E002110/1] Funding Source: researchfish</t>
  </si>
  <si>
    <t>UK Science and Technology Facilities Council(UK Research &amp; Innovation (UKRI)Science &amp; Technology Facilities Council (STFC)); UK Natural Environment Research Council(UK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</si>
  <si>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NL is supported by the UK Science and Technology Facilities Council grant PP/E002110/1. GC and MPF are supported by the UK Natural Environment Research Council through the Complexity workpackage of the BAS Environmental Change and Evolution Programme. The authors would like to thank the NASA Space Physics Data Facility and National Space Science Data Centre, and the IMAGE FUV team for data usage, processing tools, and advice. The authors would also like to thank Peter Boakes for useful conversations and the Radio Space Plasma Physics group at Leicester University for assistance with data acquisition. NORSTAR 630 nm MSP data were obtained from the Canadian Space Science Data Portal.</t>
  </si>
  <si>
    <t>10.5194/angeo-28-1659-2010</t>
  </si>
  <si>
    <t>657PK</t>
  </si>
  <si>
    <t>gold, Green Submitted, Green Accepted</t>
  </si>
  <si>
    <t>WOS:000282424600004</t>
  </si>
  <si>
    <t>Kirkwood, S; Belova, E; Satheesan, K; Rao, TN; Prasad, TR; Kumar, SS</t>
  </si>
  <si>
    <t>Kirkwood, S.; Belova, E.; Satheesan, K.; Rao, T. Narayana; Prasad, T. Rajendra; Kumar, S. Satheesh</t>
  </si>
  <si>
    <t>Fresnel scatter revisited - comparison of 50 MHz radar and radiosondes in the Arctic, the Tropics and Antarctica</t>
  </si>
  <si>
    <t>Atmospheric composition and structure; Pressure, density, and temperature; Meteorology and atmospheric dynamics; Instruments and techniques; Radio science; Instruments and techniques</t>
  </si>
  <si>
    <t>REFRACTIVE-INDEX GRADIENT; FULL CORRELATION-ANALYSIS; 45-MHZ CONTINUUM SURVEY; MST RADAR; VHF RADAR; LOWER STRATOSPHERE; MODEL; REFLECTION; HEMISPHERE; STABILITY</t>
  </si>
  <si>
    <t>High-resolution radiosondes and calibrated radars operating close to 50 MHz, are used to examine the relationship between the strength of radar scatter and refractive index gradient. Three radars are used, in Kiruna in Arctic Sweden, at Gadanki in southern India and at the Swedish/Finnish base Wasa/Aboa in Queen Maud Land, Antarctica. Calibration is accomplished using the daily variation of galactic noise measured at each site. Proportionality between radar scatter strength and the square of the mean gradient of potential refractive index, M(2), is found in the upper troposphere and lower stratosphere at all three sites, confirming previously reported results from many VHF radars. If the radar scatter is interpreted as Fresnel scatter, the constant of proportionality between radar scatter and M(2) is found to be the same, within the calibration uncertainties, for all three radars. The radiosondes show evidence of distinct layering with sharp gradients, extending over 10s of kilometers horizontally, but the scatter is found to be two orders of magnitude weaker than would be expected from true Fresnel scatter from such layers. Using radar reflectivities resolved to a few 100 ms, we show that this is due to strong temporal variability in the scattering conditions, possibly due to undulations of the scattering layers. The constancy of the radar scatter - M(2) relationship between the different sites suggests an unexpected uniformity in these perturbations between very different regions of the globe.</t>
  </si>
  <si>
    <t>[Kirkwood, S.; Belova, E.; Satheesan, K.] Swedish Inst Space Phys, S-98128 Kiruna, Sweden; [Rao, T. Narayana; Prasad, T. Rajendra; Kumar, S. Satheesh] Natl Atmospher Res Lab, Gadanki, India</t>
  </si>
  <si>
    <t>Department of Space (DoS), Government of India; National Atmospheric Research Laboratory (NARL)</t>
  </si>
  <si>
    <t>Kirkwood, S (corresponding author), Swedish Inst Space Phys, Box 812, S-98128 Kiruna, Sweden.</t>
  </si>
  <si>
    <t>sheila.kirkwood@irf.se</t>
  </si>
  <si>
    <t>K, Satheesan/B-8495-2009</t>
  </si>
  <si>
    <t>K, Satheesan/0000-0003-1456-7203</t>
  </si>
  <si>
    <t>Swedish Research Council; Swedish Development Agency; Kempe and Wallenberg Foundations, Sweden</t>
  </si>
  <si>
    <t>Swedish Research Council(Swedish Research Council); Swedish Development Agency; Kempe and Wallenberg Foundations, Sweden</t>
  </si>
  <si>
    <t>Measurements with MARA were part of the SWEDARP and FINNARP expeditions to Queen Maud Land, Antarctic in 2007/2008 and 2009/2010. Particular thanks are due to the polar logistics teams and to D. Mikhaylova, I. Wolf, L.-E. Sarri, H. Eriksson for technical support. This research has been partly funded by the Swedish Research Council, Swedish Development Agency and the Kempe and Wallenberg Foundations, Sweden. ESRAD is maintained and operated in collaboration with Swedish Space Corporation.</t>
  </si>
  <si>
    <t>10.5194/angeo-28-1993-2010</t>
  </si>
  <si>
    <t>673IU</t>
  </si>
  <si>
    <t>WOS:000283653700014</t>
  </si>
  <si>
    <t>Peters, DHW; Vargin, P; Gabriel, A; Tsvetkova, N; Yushkov, V</t>
  </si>
  <si>
    <t>Peters, D. H. W.; Vargin, P.; Gabriel, A.; Tsvetkova, N.; Yushkov, V.</t>
  </si>
  <si>
    <t>Tropospheric forcing of the boreal polar vortex splitting in January 2003</t>
  </si>
  <si>
    <t>Meteorology and atmospheric dynamics; Middle atmosphere dynamics</t>
  </si>
  <si>
    <t>ANTARCTIC OZONE HOLE; STRATOSPHERIC WARMINGS; PART I; WAVES; TEMPERATURE; PROPAGATION; VARIABILITY; CIRCULATION; MODEL; FLOW</t>
  </si>
  <si>
    <t>The dynamical evolution of the relatively warm stratospheric winter season 2002-2003 in the Northern Hemisphere was studied and compared with the cold winter 2004-2005 based on NCEP-Reanalyses. Record low temperatures were observed in the lower and middle stratosphere over the Arctic region only at the beginning of the 2002-2003 winter. Six sudden stratospheric warming events, including the major warming event with a splitting of the polar vortex in mid-January 2003, have been identified. This led to a very high vacillation of the zonal mean circulation and a weakening of the stratospheric polar vortex over the whole winter season. An estimate of the mean chemical ozone destruction inside the polar vortex showed a total ozone loss of about 45 DU in winter 2002-2003; that is about 2.5 times smaller than in winter 2004-2005. Embedded in a winter with high wave activity, we found two subtropical Rossby wave trains in the troposphere before the major sudden stratospheric warming event in January 2003. These Rossby waves propagated north-eastwards and maintained two upper tropospheric anticyclones. At the same time, the amplification of an upward propagating planetary wave 2 in the upper troposphere and lower stratosphere was observed, which could be caused primarily by those two wave trains. Furthermore, two extratropical Rossby wave trains over the North Pacific Ocean and North America were identified a couple of days later, which contribute mainly to the vertical planetary wave activity flux just before and during the major warming event. It is shown that these different tropospheric forcing processes caused the major warming event and contributed to the splitting of the polar vortex.</t>
  </si>
  <si>
    <t>[Peters, D. H. W.; Gabriel, A.] Univ Rostock, Leibniz Inst Atmospher Phys, Kuhlungsborn, Mecklenburg, Germany; [Vargin, P.; Tsvetkova, N.; Yushkov, V.] Cent Aerol Observ, Dolgoprudnyi, Moscow Region, Russia</t>
  </si>
  <si>
    <t>University of Rostock; Leibniz Institut fur Atmospharenphysik e.V. an der Universitat Rostock (IAP)</t>
  </si>
  <si>
    <t>Peters, DHW (corresponding author), Univ Rostock, Leibniz Inst Atmospher Phys, Kuhlungsborn, Mecklenburg, Germany.</t>
  </si>
  <si>
    <t>peters@iap-kborn.de</t>
  </si>
  <si>
    <t>Vargin, Pavel N./R-1154-2018; Yushkov, Vladimir/AAA-6508-2019</t>
  </si>
  <si>
    <t>Russian Foundation of Basic Research [09-05-13551, 10-05-00890]; German Science Foundation [PE 474/4-2]</t>
  </si>
  <si>
    <t>Russian Foundation of Basic Research(Russian Foundation for Basic Research (RFBR)); German Science Foundation(German Research Foundation (DFG))</t>
  </si>
  <si>
    <t>NCEP Reanalysis and interpolated OLR data were provided by the National Oceanic &amp; Atmospheric Administration Climate Diagnostics Centre, Boulder, Colorado, USA. Russian authors thank the Russian Foundation of Basic Research Grant # 09-05-13551, 10-05-00890. The work of A. Gabriel was supported by German Science Foundation under Grand PE 474/4-2. We thank Christoph Zulicke and two anonymous reviewers for their helpful comments for improving our manuscript. Further we thank Phillip Bracikowski for manuscript editing.</t>
  </si>
  <si>
    <t>10.5194/angeo-28-2133-2010</t>
  </si>
  <si>
    <t>687EM</t>
  </si>
  <si>
    <t>WOS:000284760900013</t>
  </si>
  <si>
    <t>Urbini, S; Cafarella, L; Zirizzotti, A; Tabacco, IE; Bottari, C; Baskaradas, JA; Young, N</t>
  </si>
  <si>
    <t>Urbini, Stefano; Cafarella, Lili; Zirizzotti, Achille; Tabacco, Ignazio E.; Bottari, Carla; Baskaradas, James A.; Young, Neal</t>
  </si>
  <si>
    <t>Radio echo sounding data analysis of the Shackleton Ice Shelf</t>
  </si>
  <si>
    <t>ANNALS OF GEOPHYSICS</t>
  </si>
  <si>
    <t>ANTARCTIC PENINSULA; MASS-BALANCE; GLACIER; BOTTOM; MORPHOLOGY; TONGUE; LAYERS; SHEET</t>
  </si>
  <si>
    <t>In this study, our initial results are presented for the interpretation of the radio echo sounding data collected over the Shackleton Ice Shelf and adjacent ice sheet ( East Antarctica) during the 2003/2004 Australian-Italian expedition. The Shackleton Ice Shelf is one of the larger ice shelves of the East Antarctic Ice Sheet. The radar survey provided data relating to ice thickness and bed morphology of the outlet glaciers, and thickness of their floating portions. The glacier grounding lines were determined by assessment of the basal echo characters. The information derived is compared with data from the BEDMAP database and from other sources.</t>
  </si>
  <si>
    <t>[Urbini, Stefano; Cafarella, Lili; Zirizzotti, Achille; Bottari, Carla; Baskaradas, James A.] Ist Nazl Geofis &amp; Vulcanol, Sez Roma, Rome, Italy; [Tabacco, Ignazio E.] Univ Milan, Dipartimento Sci Terra, I-20133 Milan, Italy; [Young, Neal] Australian Antarctic Div, Hobart, Tas, Australia; [Young, Neal] Antarctic Climate &amp; Ecosyst Cooperat Res Ctr, Hobart, Tas, Australia</t>
  </si>
  <si>
    <t>Istituto Nazionale Geofisica e Vulcanologia (INGV); University of Milan; Australian Antarctic Division; Antarctic Climate &amp; Ecosystems Cooperative Research Centre (ACE CRC)</t>
  </si>
  <si>
    <t>Urbini, S (corresponding author), Ist Nazl Geofis &amp; Vulcanol, Sez Roma, Rome, Italy.</t>
  </si>
  <si>
    <t>stefano.urbini@ingv.it</t>
  </si>
  <si>
    <t>Zirizzotti, Achille/HKE-0592-2023; Baskaradas, James A/C-2616-2012; Cafarella, Lili/HTO-5890-2023; cafarella, lili/G-4160-2011</t>
  </si>
  <si>
    <t>Zirizzotti, Achille/0000-0001-7586-9219; Young, Neal/0000-0001-9729-3273; cafarella, lili/0000-0003-2005-8923; BASKARADAS, James Arokiasamy/0000-0001-8596-1377; urbini, stefano/0000-0002-8053-4197; bottari, carla/0000-0003-4371-6060</t>
  </si>
  <si>
    <t>Australian Government's Cooperative Research Centres</t>
  </si>
  <si>
    <t>Australian Government's Cooperative Research Centres(Australian GovernmentDepartment of Industry, Innovation and ScienceCooperative Research Centres (CRC) Programme)</t>
  </si>
  <si>
    <t>This study was carried out within the framework of the Project of Glaciology of the PNRA (Italian Antarctic Project) and at the Antarctic Climate &amp; Ecosystems Cooperative Research Centre, supported by the Australian Government's Cooperative Research Centres Program. Logistic support was provided by the Australian Antarctic Division. The authors wish to thank two anonymous referees for their useful suggestions and critical observations, and the Australian expedition members at Casey and Davis stations for their hospitality and assistance.</t>
  </si>
  <si>
    <t>ISTITUTO NAZIONALE DI GEOFISICA E VULCANOLOGIA</t>
  </si>
  <si>
    <t>ROME</t>
  </si>
  <si>
    <t>VIA VIGNA MURATA 605, ROME, 00143, ITALY</t>
  </si>
  <si>
    <t>1593-5213</t>
  </si>
  <si>
    <t>ANN GEOPHYS-ITALY</t>
  </si>
  <si>
    <t>10.4401/ag-4563</t>
  </si>
  <si>
    <t>656RV</t>
  </si>
  <si>
    <t>WOS:000282355200007</t>
  </si>
  <si>
    <t>Müller, K; Sinisalo, A; Anschütz, H; Hamran, SE; Hagen, JO; McConnell, JR; Pasteris, DR</t>
  </si>
  <si>
    <t>Mueller, Karsten; Sinisalo, Anna; Anschuetz, Helgard; Hamran, Svein-Erik; Hagen, Jon-Ove; McConnell, Joseph R.; Pasteris, Daniel R.</t>
  </si>
  <si>
    <t>An 860 km surface mass-balance profile on the East Antarctic plateau derived by GPR</t>
  </si>
  <si>
    <t>DRONNING MAUD LAND; SEA-LEVEL RISE; SNOW ACCUMULATION; PENETRATING RADAR; IN-SITU; FIRN; VARIABILITY; AMUNDSENISEN; FIELD; TRAVERSE</t>
  </si>
  <si>
    <t>Snow accumulation and its variability on the East Antarctic plateau are poorly understood due to sparse and regionally confined measurements. We present a 5.3 GHz (C-band) ground-penetrating radar (GPR) profile with a total length of 860 km recovered during the joint Norwegian US International Polar Year traverse 2007/08. Mean surface mass balance (SMB) over the last 200 years was derived from the GPR data by identifying the volcanic deposition of the Tambora eruption in 1815. It varies between 9.1 and 37.7 kg m(-2) a(-1) over the profile, with a mean of 23.7 kg m(-2) a(-1) and a standard deviation of 4.7 kg m(-2) a(-1). The 200 year SMB estimated is significantly lower than most of the SMB estimates over shorter time periods in this region. This can be partly explained by a SMB minimum in the vicinity of the ice divide. However, it is more likely that a recent increase in SMB observed by several studies is largely responsible for the observed discrepancy.</t>
  </si>
  <si>
    <t>[Mueller, Karsten; Sinisalo, Anna; Hamran, Svein-Erik; Hagen, Jon-Ove] Univ Oslo, Dept Geosci, NO-0371 Oslo, Norway; [Anschuetz, Helgard] Polar Environm Ctr, Norwegian Polar Inst, NO-9296 Tromso, Norway; [McConnell, Joseph R.; Pasteris, Daniel R.] Desert Res Inst, Div Hydrol Sci, Reno, NV 89512 USA</t>
  </si>
  <si>
    <t>University of Oslo; Norwegian Polar Institute; Nevada System of Higher Education (NSHE); Desert Research Institute NSHE</t>
  </si>
  <si>
    <t>Müller, K (corresponding author), Univ Oslo, Dept Geosci, POB 1047, NO-0371 Oslo, Norway.</t>
  </si>
  <si>
    <t>karsten.muller@geo.uio.no</t>
  </si>
  <si>
    <t>Sinisalo, Anna/0000-0002-7587-1877</t>
  </si>
  <si>
    <t>Norwegian Research Council, Norwegian Polar Institute (NPI); National Science Foundation</t>
  </si>
  <si>
    <t>Norwegian Research Council, Norwegian Polar Institute (NPI)(Research Council of Norway); National Science Foundation(National Science Foundation (NSF))</t>
  </si>
  <si>
    <t>The paper is a contribution to the Norwegian-US Antarctic International Polar Year traverse with funding from the Norwegian Research Council, Norwegian Polar Institute (NPI) and National Science Foundation. We thank G. Melland and S. Trondstad from NPI for processing the GPS data. Special thanks go to the members of the traverse team for making this work possible. We thank K. Matsuoka and two anonymous reviewers for their valuable input and comments, and also B. Kulessa for his efforts as scientific editor.</t>
  </si>
  <si>
    <t>INT GLACIOL SOC</t>
  </si>
  <si>
    <t>LENSFIELD RD, CAMBRIDGE CB2 1ER, ENGLAND</t>
  </si>
  <si>
    <t>640FJ</t>
  </si>
  <si>
    <t>WOS:000281034000002</t>
  </si>
  <si>
    <t>Sugiyama, S; Enomoto, H; Fujita, S; Fukui, K; Nakazawa, F; Holmlund, P</t>
  </si>
  <si>
    <t>Sugiyama, Shin; Enomoto, Hiroyuki; Fujita, Shuji; Fukui, Kotaro; Nakazawa, Fumio; Holmlund, Per</t>
  </si>
  <si>
    <t>Dielectric permittivity of snow measured along the route traversed in the Japanese-Swedish Antarctic Expedition 2007/08</t>
  </si>
  <si>
    <t>DRONNING MAUD LAND; CONSTANT; FREQUENCIES; ICE; GHZ; GEOMETRY; DENSITY; FIRN</t>
  </si>
  <si>
    <t>As a joint contribution of Japan and Sweden to the International Polar Year 2007-09, a field expedition between Syowa and Wasa stations in East Antarctica was carried out in the 2007/08 austral summer season. Along the 2800 km long expedition route, the dielectric permittivity of the upper 1 m snow layer was measured at intervals of approximately 50 km using a snow fork, a parallel-wire transmission-line resonator. More than 2000 measurements were performed under carefully calibrated conditions, mostly in the interior of Antarctica. The permittivity epsilon' was a function of snow density as in previous studies on dry snow, but the values were significantly smaller than those reported before. In the light of the dielectric mixture theory, the relatively smaller e' obtained in this study can be attributed to the snow structures characteristic in the studied region. Our data suggest that the permittivity of snow in the Antarctic interior is significantly affected by weak bonding between snow grains, which is due to depth-hoar formation in the extremely low-temperature conditions.</t>
  </si>
  <si>
    <t>[Sugiyama, Shin] Hokkaido Univ, Inst Low Temp Sci, Sapporo, Hokkaido 0600819, Japan; [Enomoto, Hiroyuki] Kitami Inst Technol, Dept Civil &amp; Environm Engn, Kitami, Hokkaido 0908507, Japan; [Fujita, Shuji; Nakazawa, Fumio] Natl Inst Polar Res, Tokyo 1908518, Japan; [Fukui, Kotaro] Tateyama Caldera Sabo Museum, Tateyama, Toyama 9301405, Japan; [Holmlund, Per] Stockholm Univ, Dept Phys Geog &amp; Quaternary Geol, SE-10691 Stockholm, Sweden</t>
  </si>
  <si>
    <t>Hokkaido University; Kitami Institute of Technology; Research Organization of Information &amp; Systems (ROIS); National Institute of Polar Research (NIPR) - Japan; Stockholm University</t>
  </si>
  <si>
    <t>Sugiyama, S (corresponding author), Hokkaido Univ, Inst Low Temp Sci, Sapporo, Hokkaido 0600819, Japan.</t>
  </si>
  <si>
    <t>sugishin@lowtem.hokudai.ac.jp</t>
  </si>
  <si>
    <t>Nakazawa, Fumio/R-4031-2018; Sugiyama, Shin/C-2511-2012; Fujita, Shuji/A-7884-2016; FUKUI, Kotaro/H-5600-2018</t>
  </si>
  <si>
    <t>Fujita, Shuji/0000-0003-0127-0777; FUKUI, Kotaro/0000-0003-2106-0232</t>
  </si>
  <si>
    <t>National Institute of Polar Research, Tokyo; Swedish Polar Research Secretariat; Japanese Ministry of Education, Science, Sports and Culture [20241007]; Grants-in-Aid for Scientific Research [20241007] Funding Source: KAKEN</t>
  </si>
  <si>
    <t>National Institute of Polar Research, Tokyo; Swedish Polar Research Secretariat; Japanese Ministry of Education, Science, Sports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</si>
  <si>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JASE 2007/08 for their help in the field. The field activity was a part of the 48th and 49th Japanese Antarctic Research Expedition and supported by the National Institute of Polar Research, Tokyo, and the Swedish Polar Research Secretariat. The snow fork was kindly loaned by K. Fujita of Nagoya University. The surface elevation data used for the map were provided by the US National Snow and Ice Data Center. We thank two anonymous referees for providing careful reviews, and the scientific editor A.M. Smith for handling the paper. This study was funded by the Japanese Ministry of Education, Science, Sports and Culture, Grant-in-Aid for Scientific Research (A), 20241007, 2008-2010.</t>
  </si>
  <si>
    <t>10.3189/172756410791392745</t>
  </si>
  <si>
    <t>WOS:000281034000003</t>
  </si>
  <si>
    <t>Yallop, ML; Anesio, AM</t>
  </si>
  <si>
    <t>Yallop, M. L.; Anesio, A. M.</t>
  </si>
  <si>
    <t>Benthic diatom flora in supraglacial habitats: a generic-level comparison</t>
  </si>
  <si>
    <t>CRYOCONITE HOLES; FRESH-WATER; MICROBIAL COMMUNITIES; ECOLOGICAL STATUS; SVALBARD; GENUS; ASSEMBLAGES; GLACIERS; ISLAND; BACILLARIOPHYCEAE</t>
  </si>
  <si>
    <t>Meltwaters on the surface of glaciers have been identified as hot spots for microbial activity. Records indicate that cyanobacteria and green algae dominate the autotrophic assemblages found in the benthic debris in cryoconite holes. Diatoms are commonly recorded in lentic and lotic ecosystems within polar habitats and, in line with the ubiquity principle for microbial communities, potentially, diatoms should be frequently found in the cryoconite of supraglacial environments. In this study, we cultured debris from cryoconite material collected in Svalbard and Greenland, to promote the growth of diatoms. Diatom generic richness varied between 12 and 17 between sites and was similar to 5-fold higher than previously reported. Cryoconite supported aerophytic, halophytic, epipelic and bryophilic diatoms, suggesting multiple origins of colonizing cells. Twenty-seven genera were cultured from material that had been frozen (-20 degrees C) for &gt;1 year, indicating their long-term cryotolerance. The diatom flora composition was similar to that recorded in relatively acidic arctic lakes of low conductivity, and bore similarities at the generic level to those from terrestrial/semi-terrestrial moss communities from both the Arctic and Antarctic. As glaciers retreat, the diatom cells residing in cryoconite have the potential to act as seeding agents for a variety of terrestrial and aquatic habitats in proglacial regions and beyond.</t>
  </si>
  <si>
    <t>[Yallop, M. L.] Univ Bristol, Sch Biol Sci, Bristol BS8 1UG, Avon, England; [Anesio, A. M.] Univ Bristol, Sch Geog Sci, Bristol BS8 1SS, Avon, England</t>
  </si>
  <si>
    <t>University of Bristol; University of Bristol</t>
  </si>
  <si>
    <t>Yallop, ML (corresponding author), Univ Bristol, Sch Biol Sci, Woodland Rd, Bristol BS8 1UG, Avon, England.</t>
  </si>
  <si>
    <t>Marian.Yallop@bristol.ac.uk</t>
  </si>
  <si>
    <t>Anesio, Alexandre/A-7597-2008; , Marian/JSL-4087-2023</t>
  </si>
  <si>
    <t>Anesio, Alexandre/0000-0003-2990-4014;</t>
  </si>
  <si>
    <t>UK Natural Environment Research Council [NE/G00496X/1]; Natural Environment Research Council [NE/G00496X/1] Funding Source: researchfish; NERC [NE/G00496X/1]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</si>
  <si>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</si>
  <si>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appreciate the helpful comments provided by two anonymous reviewers. Thanks also to T. Colborn for producing the figures. We would like to thank H. Hirst for her help with identification of some of the diatom species. This work was undertaken with support from a UK Natural Environment Research Council grant NE/G00496X/1.</t>
  </si>
  <si>
    <t>10.3189/172756411795932029</t>
  </si>
  <si>
    <t>WOS:000290290600003</t>
  </si>
  <si>
    <t>de Boer, B; van de Wal, RSW; Bintanja, R; Lourens, LJ; Tuenter, E</t>
  </si>
  <si>
    <t>de Boer, B.; van de Wal, R. S. W.; Bintanja, R.; Lourens, L. J.; Tuenter, E.</t>
  </si>
  <si>
    <t>Cenozoic global ice-volume and temperature simulations with 1-D ice-sheet models forced by benthic δ18O records</t>
  </si>
  <si>
    <t>SEA-LEVEL FLUCTUATIONS; OXYGEN-ISOTOPE RATIO; AREAL DISTRIBUTION; CLIMATE; RECONSTRUCTIONS; ANTARCTICA; TRENDS; ONSET</t>
  </si>
  <si>
    <t>Variations in global ice volume and temperature over the Cenozoic era have been investigated with a set of one-dimensional (1-D) ice-sheet models. Simulations include three ice sheets representing glaciation in the Northern Hemisphere, i.e. in Eurasia, North America and Greenland, and two separate ice sheets for Antarctic glaciation. The continental mean Northern Hemisphere surface-air temperature has been derived through an inverse procedure from observed benthic delta O-18 records. These data have yielded a mutually consistent and continuous record of temperature, global ice volume and benthic delta O-18 over the past 35 Ma. The simple 1-D model shows good agreement with a comprehensive 3-D ice-sheet model for the past 3 Ma. On average, differences are only 1.0 degrees C for temperature and 6.2 m for sea level. Most notably, over the 35 Ma period, the reconstructed ice volume temperature sensitivity shows a transition from a climate controlled by Southern Hemisphere ice sheets to one controlled by Northern Hemisphere ice sheets. Although the transient behaviour is important, equilibrium experiments show that the relationship between temperature and sea level is linear and symmetric, providing limited evidence for hysteresis. Furthermore, the results show a good comparison with other simulations of Antarctic ice volume and observed sea level.</t>
  </si>
  <si>
    <t>[de Boer, B.; van de Wal, R. S. W.; Tuenter, E.] Univ Utrecht, Inst Marine &amp; Atmospher Res Utrecht IMAU, NL-3584 CC Utrecht, Netherlands; [Bintanja, R.] Royal Netherlands Meteorol Inst, NL-3732 GK De Bilt, Netherlands; [Lourens, L. J.] Univ Utrecht, Fac Geosci, Dept Earth Sci, NL-3584 CC Utrecht, Netherlands</t>
  </si>
  <si>
    <t>Utrecht University; Royal Netherlands Meteorological Institute; Utrecht University</t>
  </si>
  <si>
    <t>de Boer, B (corresponding author), Univ Utrecht, Inst Marine &amp; Atmospher Res Utrecht IMAU, Princetonpl 5, NL-3584 CC Utrecht, Netherlands.</t>
  </si>
  <si>
    <t>b.deboer@uu.nl</t>
  </si>
  <si>
    <t>van de wal, roderik/D-1705-2011</t>
  </si>
  <si>
    <t>van de wal, roderik/0000-0003-2543-3892; de Boer, Bas/0000-0002-3696-6654; Bintanja, Richard/0000-0002-0465-5923</t>
  </si>
  <si>
    <t>Netherlands Organization of Scientific Research (NWO)</t>
  </si>
  <si>
    <t>Netherlands Organization of Scientific Research (NWO)(Netherlands Organization for Scientific Research (NWO))</t>
  </si>
  <si>
    <t>Financial support was provided by the Netherlands Organization of Scientific Research (NWO) in the framework of the Netherlands Polar Programme (NPP). Thanks are due to colleagues of the IMAU and two anonymous reviewers for providing useful comments leading to improvements in the manuscript.</t>
  </si>
  <si>
    <t>10.3189/172756410791392736</t>
  </si>
  <si>
    <t>WOS:000281034000005</t>
  </si>
  <si>
    <t>Anesio, AM; Sattler, B; Foreman, C; Telling, J; Hodson, A; Tranter, M; Psenner, R</t>
  </si>
  <si>
    <t>Anesio, Alexandre M.; Sattler, Birgit; Foreman, Christine; Telling, Jon; Hodson, Andy; Tranter, Martyn; Psenner, Roland</t>
  </si>
  <si>
    <t>Carbon fluxes through bacterial communities on glacier surfaces</t>
  </si>
  <si>
    <t>MCMURDO DRY VALLEYS; CRYOCONITE HOLES; MICROBIAL COMMUNITIES; GROWTH EFFICIENCY; ORGANIC-MATTER; ARCTIC GLACIER; DYNAMICS; BACTERIOPLANKTON; TEMPERATURE; SVALBARD</t>
  </si>
  <si>
    <t>There is very little information about the activity of microbial communities on the surface of glaciers, though there is an increasing body of evidence to show that they strongly influence the biogeochemistry of these habitats. We measured bacterial abundance and production in cryoconite holes on Arctic, Antarctic and Alpine glaciers in order to estimate the role of heterotrophic bacteria within the carbon budget of glacial ecosystems. Our results demonstrate an active bacterial community on the surface of glaciers with doubling times that vary from a few hours to hundreds of days depending on the glacier and position (water or sediments) within the cryoconite hole. However, bacterial production is only similar to 2-3% of the published literature values of community respiration from similar habitats, indicating that other types of microbes (e.g. eukaryotic organisms) may also play a role in the C cycle of glaciers. We estimate that only up to 7% of the organic C in cryoconite sediments is utilized by the heterotrophic bacterial community annually, suggesting that the surface of glaciers can accumulate organic carbon, and that this C may be important for biogeochemical activity downstream to adjacent ecosystems.</t>
  </si>
  <si>
    <t>[Anesio, Alexandre M.; Telling, Jon; Tranter, Martyn] Univ Bristol, Sch Geog Sci, Bristol Glaciol Ctr, Bristol BS8 1SS, Avon, England; [Sattler, Birgit; Psenner, Roland] Univ Innsbruck, Inst Ecol, A-6020 Innsbruck, Austria; [Foreman, Christine] Montana State Univ, Ctr Biofilm Engn, Bozeman, MT 59717 USA; [Foreman, Christine] Montana State Univ, Dept Land Resources &amp; Environm Sci, Bozeman, MT 59717 USA; [Hodson, Andy] Univ Sheffield, Dept Geog, Sheffield S10 2TN, S Yorkshire, England</t>
  </si>
  <si>
    <t>University of Bristol; University of Innsbruck; Montana State University System; Montana State University Bozeman; Montana State University System; Montana State University Bozeman; University of Sheffield</t>
  </si>
  <si>
    <t>Anesio, AM (corresponding author), Univ Bristol, Sch Geog Sci, Bristol Glaciol Ctr, Univ Rd, Bristol BS8 1SS, Avon, England.</t>
  </si>
  <si>
    <t>a.m.anesio@bristol.ac.uk</t>
  </si>
  <si>
    <t>Telling, Jon/M-7643-2013; Anesio, Alexandre/A-7597-2008; Sattler, Birgit/C-4070-2018; Tranter, Martyn/E-3722-2010</t>
  </si>
  <si>
    <t>Anesio, Alexandre/0000-0003-2990-4014; Telling, Jon/0000-0002-8180-0979; Hodson, Andrew/0000-0002-1255-7987; Tranter, Martyn/0000-0003-2071-3094; Foreman, Christine/0000-0003-0230-4692</t>
  </si>
  <si>
    <t>UK National Environment Research Council (NERC) [NE/D007321/1, NE/G00496X/1]; Austrian Academy of Science (OAW); Planetary Studies Foundation (PSF); US National Science Foundation's Office of Polar Programs [NSF OPP 0338342, OPP 0838970]; Directorate For Geosciences; Office of Polar Programs (OPP) [0838970] Funding Source: National Science Foundation; NERC [NE/G00496X/1] Funding Source: UKRI; Natural Environment Research Council [NE/G00496X/1] Funding Source: researchfish</t>
  </si>
  <si>
    <t>UK National Environment Research Council (NERC)(UK Research &amp; Innovation (UKRI)Natural Environment Research Council (NERC)); Austrian Academy of Science (OAW); Planetary Studies Foundation (PSF); US National Science Foundation's Office of Polar Programs(National Science Foundation (NSF));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</si>
  <si>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We thank the two anonymous referees and J. Laybourn-Parry for constructive comments on the manuscript. This study was funded by grants from the UK National Environment Research Council (NERC; NE/D007321/1 and NE/G00496X/1) to A.M.A., from the Austrian Academy of Science (OAW) and Planetary Studies Foundation (PSF) to B.S., and from the US National Science Foundation's Office of Polar Programs (NSF OPP 0338342 and OPP 0838970) to C.F. We thank everyone who provided support in the field and the laboratory during this study, especially N. Cox at the NERC Arctic Research Station, and G. Fitz and I. Antlinger at the University of Innsbruck.</t>
  </si>
  <si>
    <t>10.3189/172756411795932092</t>
  </si>
  <si>
    <t>WOS:000290290600005</t>
  </si>
  <si>
    <t>Saito, F; Abe-Ouchi, A</t>
  </si>
  <si>
    <t>Saito, Fuyuki; Abe-Ouchi, Ayako</t>
  </si>
  <si>
    <t>Modelled response of the volume and thickness of the Antarctic ice sheet to the advance of the grounded area</t>
  </si>
  <si>
    <t>LAST GLACIAL MAXIMUM; SEA-LEVEL RECORD; WEST ANTARCTICA; HISTORY; CLIMATE; GREENLAND; 21ST-CENTURY; EVOLUTION; RETREAT; REGION</t>
  </si>
  <si>
    <t>Numerical experiments are performed for the Antarctic ice sheet to study the sensitivity of the ice volume to variations in the area of grounded ice and to changes in the climate during the most recent deglaciation. The effect of the variations in the grounded area is found to be the major source of changes in the ice volume, while the effect of climate change was minor. The maximum possible contribution of the ice-volume change to sea-level rise during the deglaciation is estimated to be 36 m, which covers most values estimated in previous studies. The effect of the advance of the ice-sheet margin over those regions not connected to the major ice shelves contributes one-third of the total ice-volume change, which is comparable to the effect of the grounding of the Filchner-Ronne Ice Shelf and the contribution of the Ross and Amery Ice Shelves together.</t>
  </si>
  <si>
    <t>[Saito, Fuyuki; Abe-Ouchi, Ayako] Japan Agcy Marine Earth Sci &amp; Technol, Kanazawa Ku, Yokohama, Kanagawa 2360001, Japan; [Abe-Ouchi, Ayako] Univ Tokyo, Ctr Climate Syst Res, Chiba 2778568, Japan</t>
  </si>
  <si>
    <t>Japan Agency for Marine-Earth Science &amp; Technology (JAMSTEC); University of Tokyo</t>
  </si>
  <si>
    <t>Saito, F (corresponding author), Japan Agcy Marine Earth Sci &amp; Technol, Kanazawa Ku, 3173-25 Showamachi, Yokohama, Kanagawa 2360001, Japan.</t>
  </si>
  <si>
    <t>saitofuyuki@jamstec.go.jp</t>
  </si>
  <si>
    <t>Abe-Ouchi, Ayako A/M-6359-2013; SAITO, Fuyuki/B-8776-2013</t>
  </si>
  <si>
    <t>Abe-Ouchi, Ayako A/0000-0003-1745-5952; SAITO, Fuyuki/0000-0001-5935-9614</t>
  </si>
  <si>
    <t>KAKENHI [21740349]; Grants-in-Aid for Scientific Research [21740349] Funding Source: KAKEN</t>
  </si>
  <si>
    <t>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</si>
  <si>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greatly appreciate the valuable suggestions of two anonymous referees and the scientific editor E. Bueler, which helped to improve the manuscript substantially. We also thank H. Blatter for providing valuable comments on the manuscript. This work was supported by KAKENHI 21740349.</t>
  </si>
  <si>
    <t>10.3189/172756410791392808</t>
  </si>
  <si>
    <t>WOS:000281034000007</t>
  </si>
  <si>
    <t>Humbert, A; Gross, D; Müller, R; Braun, M; van de Wal, RSW; van den Broeke, MR; Vaughan, DG; van de Berg, WJ</t>
  </si>
  <si>
    <t>Humbert, A.; Gross, D.; Mueller, R.; Braun, M.; van de Wal, R. S. W.; van den Broeke, M. R.; Vaughan, D. G.; van de Berg, W. J.</t>
  </si>
  <si>
    <t>Deformation and failure of the ice bridge on the Wilkins Ice Shelf, Antarctica</t>
  </si>
  <si>
    <t>BREAK-UP</t>
  </si>
  <si>
    <t>A narrow bridge of floating ice that connected the Wilkins Ice Shelf, Antarctica, to two confining islands eventually collapsed in early April 2009. In the month preceding the collapse, we observed deformation of the ice bridge by means of satellite imagery and from an in situ GPS station. TerraSAR-X images (acquired in stripmap mode) were used to compile a time series. The ice bridge bent most strongly in its narrowest part (westerly), while the northern end (near Charcot Island) shifted in a northeasterly direction. In the south, the ice bridge experienced compressive strain parallel to its long axis. GPS position data were acquired a little south of the narrowest part of the ice bridge from 19 January 2009. Analysis of these data showed both cyclic and monotonic components of motion. Meteorological data and re-analysis of the output of weather-prediction models indicated that easterly winds were responsible for the cyclic motion component. In particular, wind stress on the rough ice melange that occupied the area to the east exerted significant pressure on the ice bridge. The collapse of the ice bridge began with crack formation in the southern section parallel to the long axis of the ice bridge and led to shattering of the southern part. Ultimately, the narrowest part, only 900 m wide, ruptured. The formation of many small icebergs released energy of &gt;125 x 10(6)J.</t>
  </si>
  <si>
    <t>[Humbert, A.] Univ Hamburg, Inst Geophys, D-20146 Hamburg, Germany; [Gross, D.] Tech Hsch Darmstadt, Div Solid Mech, D-64289 Darmstadt, Germany; [Mueller, R.] Univ Kaiserslautern, Dept Mech &amp; Proc Engn, D-67653 Kaiserslautern, Germany; [Braun, M.] Univ Bonn, Ctr Remote Sensing Land Surfaces ZFL, D-53113 Bonn, Germany; [van de Wal, R. S. W.; van den Broeke, M. R.; van de Berg, W. J.] Univ Utrecht, Inst Marine &amp; Atmospher Res, NL-3508 TA Utrecht, Netherlands; [Vaughan, D. G.] British Antarctic Survey, NERC, Cambridge CB3 0ET, England</t>
  </si>
  <si>
    <t>University of Hamburg; Technical University of Darmstadt; University of Kaiserslautern; University of Bonn; Utrecht University; UK Research &amp; Innovation (UKRI); Natural Environment Research Council (NERC); NERC British Antarctic Survey</t>
  </si>
  <si>
    <t>Humbert, A (corresponding author), Univ Hamburg, Inst Geophys, KlimaCampus,Bundesstr 55, D-20146 Hamburg, Germany.</t>
  </si>
  <si>
    <t>aangelika.humbert@zmaw.de</t>
  </si>
  <si>
    <t>Braun, Matthias/A-4968-2009; van de wal, roderik/D-1705-2011; Vaughan, David/C-8348-2011; Braun, Matthias H/S-4693-2016; Van den Broeke, Michiel R./F-7867-2011; van de Berg, Willem Jan/H-4385-2011</t>
  </si>
  <si>
    <t>Braun, Matthias/0000-0001-5169-1567; van de wal, roderik/0000-0003-2543-3892; Van den Broeke, Michiel R./0000-0003-4662-7565; van de Berg, Willem Jan/0000-0002-8232-2040; Vaughan, David/0000-0002-9065-0570; Humbert, Angelika/0000-0002-0244-8760</t>
  </si>
  <si>
    <t>German Research Foundation (DFG) [MU 1370/4-1]; NERC [bas0100027] Funding Source: UKRI; Natural Environment Research Council [bas0100027] Funding Source: researchfish</t>
  </si>
  <si>
    <t>German Research Foundation (DFG)(German Research Foundation (DFG)); NERC(UK Research &amp; Innovation (UKRI)Natural Environment Research Council (NERC)); Natural Environment Research Council(UK Research &amp; Innovation (UKRI)Natural Environment Research Council (NERC))</t>
  </si>
  <si>
    <t>The TerraSAR-X images were provided by the German Aerospace Center (DLR) under proposal LAN0013. We thank R. Metzig (DLR) for support in acquiring the TerraSAR-X images. The Envisat ASAR images were provided by the European Space Agency (ESA) under proposal ESA IPY AO 4032. We acknowledge the British Antarctic Survey logistics for deploying the GPS equipment. R.M. and M.B. were supported by the German Research Foundation (DFG) under grants MU 1370/4-1 and BR 2105/8-1, and D.G.V. was funded by the Natural Environment Research Council. We thank T. Scambos and F. Pattyn for helpful comments.</t>
  </si>
  <si>
    <t>10.3189/172756410791392709</t>
  </si>
  <si>
    <t>WOS:000281034000008</t>
  </si>
  <si>
    <t>Humbert, A</t>
  </si>
  <si>
    <t>Humbert, Angelika</t>
  </si>
  <si>
    <t>The temperature regime of Fimbulisen, Antarctica</t>
  </si>
  <si>
    <t>DRONNING MAUD LAND; ICE THICKNESS; TOPOGRAPHY; SHELVES; POINT</t>
  </si>
  <si>
    <t>Numerical simulations of the temperature regime of the ice shelf Fimbulisen, Antarctica, are presented. A vertical temperature profile (Si) of Fimbulisen has been measured at the extension of Jutulstraumen, in which the temperature decreases with depth. The three-dimensional steady-state temperature field was computed by a finite-element technique. Horizontal flow velocities and surface accumulation rates were derived from observations. The basal melt rate distribution arose from an assumption of balance in the mass continuity equation. The computed basal melt rate distribution (ab) indicates that the highest basal melt rates, up to 15 m a(-1) occur at the inflow gate of Jutulstraumen, and low basal melt rates (&lt;0.6 m a(-1)) occur in the slower moving parts. Where the ice shelf overhangs the continental shelf, ab similar to 1.2 m a(-1). The resulting temperature field indicates that Fimbulisen consists of a cold middle part, built up by the extension of Jutulstraumen, and warmer ice masses in slow-moving areas to the west and east. Furthermore, model runs were set up in which the atmospheric temperatures increased in +1 K steps. The results suggest that the warming effectively increases the temperatures throughout the ice column in the slower-moving parts, therefore enhancing shear at the margins of the extension of Jutulstraumen.</t>
  </si>
  <si>
    <t>Univ Hamburg, Inst Geophys, D-20146 Hamburg, Germany</t>
  </si>
  <si>
    <t>University of Hamburg</t>
  </si>
  <si>
    <t>angelika.humbert@zmaw.de</t>
  </si>
  <si>
    <t>Humbert, Angelika/0000-0002-0244-8760</t>
  </si>
  <si>
    <t>German Research Foundation (DFG) [HU 1570/2-1]</t>
  </si>
  <si>
    <t>German Research Foundation (DFG)(German Research Foundation (DFG))</t>
  </si>
  <si>
    <t>This study was supported by the German Research Foundation (DFG) under grants HU 1570/2-1. The author thanks C. Schoof, E. Bueler and two anonymous reviewers for helpful comments. R. Greve supported this study with temperature profiles from the ice-sheet model SICOPOLIS and helpful discussions. P. Abrahamsen (British Antarctic Survey, UK) and L.H. Smedsrud (University of Bergen, Norway) kindly provided their datasets of the basal melt rate. ASTER and ASAR images were provided by the European Space Agency under project IPY AOPOL.4032. E. Rignot (Jet Propulsion Laboratory, USA) and W. Rack (University of Canterbury, New Zealand) made their surface velocity dataset available. The ice-thickness data were provided courtesy of O. Anders Nest (Norsk Polarinstitut, Norway), D. Steinhage (Alfred Wegener Institute, Germany) and W. Rack.</t>
  </si>
  <si>
    <t>10.3189/172756410791392673</t>
  </si>
  <si>
    <t>WOS:000281034000009</t>
  </si>
  <si>
    <t>Veillette, J; Martineau, MJ; Antoniades, D; Sarrazin, D; Vincent, WF</t>
  </si>
  <si>
    <t>Veillette, Julie; Martineau, Marie-Josee; Antoniades, Dermot; Sarrazin, Denis; Vincent, Warwick F.</t>
  </si>
  <si>
    <t>Effects of loss of perennial lake ice on mixing and phytoplankton dynamics: insights from High Arctic Canada</t>
  </si>
  <si>
    <t>MCMURDO DRY VALLEYS; DEGREES N LAT; ANTARCTIC LAKE; CLIMATE-CHANGE; CORNWALLIS-ISLAND; ELLESMERE ISLAND; MEROMICTIC LAKES; PIGMENT ANALYSIS; REGIME SHIFTS; GLOBAL CHANGE</t>
  </si>
  <si>
    <t>Perennially ice-covered lakes are well known from Antarctica and also occur in the extreme High Arctic. Climate change has many implications for these lakes, including the thinning and disappearance of their perennial ice cover. The goal of this study was to consider the effects of transition to seasonal ice cover by way of limnological observations on a series of meromictic lakes along the northern coastline of Ellesmere Island, Nunavut, Canada. Conductivity temperature profiles during a rare period of ice-free conditions (August 2008) in these lakes suggested effects of wind-induced mixing of their surface freshwater layers and the onset of entrainment of water at the halocline. Sampling of the mixed layer of one of these meromictic lakes in May and August 2008 revealed a pronounced vertical structure in phytoplankton pigments and species composition, with dominance by cyanobacteria, green algae, chrysophytes, cryptophytes and dinoflagellates, and a conspicuous absence of diatoms. The loss of ice cover resulted in an 80-fold increase in water column irradiance and apparent mixing of the upper water column during a period of higher wind speeds. Zeaxanthin, a pigment found in cyanobacteria, was entirely restricted to the &lt;3 mu m cell fraction at all depths and increased by a factor of 2-17, with the greatest increases in the upper halocline region subject to mixing. Consistent with the pigment data, picocyanobacterial populations increased by a factor of 3, with the highest concentration (1.65 x 10(8) cells L(-1)) in the upper halocline. Chlorophyll a concentrations and the relative importance of phytoplankton groups differed among the four lakes during the open-water period, implying lake-specific differences in phytoplankton community structure under ice-free conditions.</t>
  </si>
  <si>
    <t>[Veillette, Julie] Univ Laval, Dept Biol, Quebec City, PQ G1V 0A6, Canada; Univ Laval, CEN, Quebec City, PQ G1V 0A6, Canada</t>
  </si>
  <si>
    <t>Laval University; Laval University</t>
  </si>
  <si>
    <t>Veillette, J (corresponding author), Univ Laval, Dept Biol, Quebec City, PQ G1V 0A6, Canada.</t>
  </si>
  <si>
    <t>warwick.vincent@bio.ulaval.ca</t>
  </si>
  <si>
    <t>Vincent, Warwick/AAH-6152-2019</t>
  </si>
  <si>
    <t>Vincent, Warwick/0000-0001-9055-1938; Antoniades, Dermot/0000-0001-6629-4839</t>
  </si>
  <si>
    <t>Natural Sciences and Engineering Research Council of Canada (NSERC); Networks of Centres of Excellence program ArcticNet; Canada Research Chair program; International Polar Year program MERGE-Canada; Ouranos; W. Garfield Weston Foundation</t>
  </si>
  <si>
    <t>Natural Sciences and Engineering Research Council of Canada (NSERC)(Natural Sciences and Engineering Research Council of Canada (NSERC)); Networks of Centres of Excellence program ArcticNet; Canada Research Chair program(Canada Research Chairs); International Polar Year program MERGE-Canada; Ouranos; W. Garfield Weston Foundation</t>
  </si>
  <si>
    <t>We thank C. Vallieres for the protist enumeration and D. Mueller for drafting Figure 1. We also thank S. Bourget, S. Charvet, C. Chenard, T. Harding, A.D. Jungblut, J. Pouliot and the Parks Canada warden team for field assistance, and two anonymous referees for their insightful review comments. This research was funded by the Natural Sciences and Engineering Research Council of Canada (NSERC), the Networks of Centres of Excellence program ArcticNet, the Canada Research Chair program, the International Polar Year program MERGE-Canada, Ouranos and the W. Garfield Weston Foundation. We thank Parks Canada, the Polar Continental Shelf Project (PCSP) and the Northern Scientific Training Program (NSTP) for logistical and infrastructure support. This is PCSP/EPCP contribution No. 02710.</t>
  </si>
  <si>
    <t>10.3189/172756411795931921</t>
  </si>
  <si>
    <t>WOS:000290290600008</t>
  </si>
  <si>
    <t>Scott, JBT; Smith, AM; Bingham, RG; Vaughan, DG</t>
  </si>
  <si>
    <t>Scott, Julian B. T.; Smith, Andrew M.; Bingham, Robert G.; Vaughan, David G.</t>
  </si>
  <si>
    <t>Crevasses triggered on Pine Island Glacier, West Antarctica, by drilling through an exceptional melt layer</t>
  </si>
  <si>
    <t>SURFACE; FRACTURE; RADAR</t>
  </si>
  <si>
    <t>The basic theory of crevasse formation suggests that crevasses initiate at or near the surface. However, due to variations in stress with depth, it has been suggested that it is possible for crevasses to initiate at depths of 10-30 m. From December 2006 to January 2007, hot-water drilling on Pine Island Glacier, West Antarctica, was found to trigger crevasses. Satellite imagery and field investigations in 2008, including ice cores, radar and GPS, revealed that these formed a new band of arcuate (curvilinear) crevasses around 70 km long and 100 m deep. This new band is located 10 km upstream from the previous limit of the arcuate crevasse zone. The crevasses were triggered on drilling through an exceptional ice layer at &gt;20 m depth. Ice layers within the firn will change both the strength and stress intensity. As the firn changes spatially and temporally (e.g. with the burial of an ice layer), it is possible for the position of crevasse initiation to change whilst the along-stream strain-rate profile remains constant. However, the main cause of an upstream migration of the arcuate crevasse zone on Pine Island Glacier is still likely to be an increase in strain rate.</t>
  </si>
  <si>
    <t>[Scott, Julian B. T.; Smith, Andrew M.; Bingham, Robert G.; Vaughan, David G.] British Antarctic Survey, NERC, Cambridge CB3 0ET, England</t>
  </si>
  <si>
    <t>Scott, JBT (corresponding author), British Antarctic Survey, NERC, Madingley Rd, Cambridge CB3 0ET, England.</t>
  </si>
  <si>
    <t>jbts@bas.ac.uk</t>
  </si>
  <si>
    <t>Vaughan, David/C-8348-2011; Facility, NERC Geophysical Equipment/G-5260-2010; Bingham, Robert G/G-3576-2017</t>
  </si>
  <si>
    <t>Vaughan, David/0000-0002-9065-0570; Bingham, Robert G/0000-0002-0630-2021</t>
  </si>
  <si>
    <t>UK Natural Environment Research Council; NERC [bas0100027] Funding Source: UKRI; Natural Environment Research Council [bas0100027]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</si>
  <si>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</si>
  <si>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UK Natural Environment Research Council, Geophysical Equipment Facility (Loan 847). We thank F. Buckley, C. Griffiths, R. Smith and R. Stilwell for assistance with the fieldwork and A. Fleming for assistance with satellite imagery. We also thank D. Benn for his review which helped improve the paper.</t>
  </si>
  <si>
    <t>10.3189/172756410791392763</t>
  </si>
  <si>
    <t>WOS:000281034000010</t>
  </si>
  <si>
    <t>Rückamp, M; Blindow, N; Suckro, S; Braun, M; Humbert, A</t>
  </si>
  <si>
    <t>Rueckamp, Martin; Blindow, Norbert; Suckro, Sonja; Braun, Matthias; Humbert, Angelika</t>
  </si>
  <si>
    <t>Dynamics of the ice cap on King George Island, Antarctica: field measurements and numerical simulations</t>
  </si>
  <si>
    <t>SOUTH SHETLAND ISLANDS; SHEET RESPONSE; GLACIERS; MODEL</t>
  </si>
  <si>
    <t>King George Island is located at the northern tip of the Antarctic Peninsula, which is influenced by maritime climate conditions. The observed mean annual air temperature at sea level is -2.4 degrees C. Thus, the ice cap is regarded as sensitive to changing climatic conditions. Ground-penetrating radar surveys indicate a partly temperate ice cap with an extended water layer at the firn/ice transition of the up to 700 m high ice cap. Measured firn temperatures are close to 0 degrees C at the higher elevations, and they differ considerably from the measured mean annual air temperature. The aim of this paper is to present ice-flow dynamics by means of observations and simulations of the flow velocities. During several field campaigns from 1997/98 to 2008/09, ice surface velocities were derived with repeated differential GPS measurements. Ice velocities vary from 0.7 m a(-1) at the dome to 112.1 m a-1 along steep slopes. For the western part of the ice cap a three-dimensional diagnostic full-Stokes model was applied to calculate ice flow. Parameters of the numerical model were identified with respect to measured ice surface velocities. The simulations indicate cold ice at higher elevations, while temperate ice at lower elevations is consistent with the observations.</t>
  </si>
  <si>
    <t>[Rueckamp, Martin; Blindow, Norbert; Suckro, Sonja] Univ Munster, Inst Geophys, D-48149 Munster, Germany; [Braun, Matthias] Univ Bonn, Ctr Remote Sensing Land Surfaces, D-53113 Bonn, Germany; [Humbert, Angelika] Univ Hamburg, Inst Geophys, D-20146 Hamburg, Germany</t>
  </si>
  <si>
    <t>University of Munster; University of Bonn; University of Hamburg</t>
  </si>
  <si>
    <t>Rückamp, M (corresponding author), Univ Munster, Inst Geophys, Corrensstr 24, D-48149 Munster, Germany.</t>
  </si>
  <si>
    <t>rueckamp@uni-muenster.de</t>
  </si>
  <si>
    <t>Braun, Matthias/A-4968-2009; Braun, Matthias H/S-4693-2016</t>
  </si>
  <si>
    <t>Braun, Matthias/0000-0001-5169-1567; Humbert, Angelika/0000-0002-0244-8760; Ruckamp, Martin/0000-0003-2512-7238</t>
  </si>
  <si>
    <t>WOS:000281034000012</t>
  </si>
  <si>
    <t>Rivera, A; Zamora, R; Rada, C; Walton, J; Proctor, S</t>
  </si>
  <si>
    <t>Rivera, Andres; Zamora, R.; Rada, Camilo; Walton, Jonathan; Proctor, Stuart</t>
  </si>
  <si>
    <t>Glaciological investigations on Union Glacier, Ellsworth Mountains, West Antarctica</t>
  </si>
  <si>
    <t>RUTFORD ICE STREAM; MASS-BALANCE; HORSESHOE VALLEY; CARLSON INLET; FLOW; SHEET; VELOCITY; SHELVES; IMAGERY</t>
  </si>
  <si>
    <t>Union Glacier, West Antarctica, was intensively mapped in December 2008, when an over-snow traverse was conducted by CECS and ALE, with the aim to determine the ice-dynamical characteristics of the glacier, through mapping the crevasse fields and by providing a glaciological baseline for future studies. A mean ice thickness of 1450 m was measured, confirming the presence of a deep subglacial topography (similar to 900 m below sea level), much deeper than previously estimated. Ice velocities were also measured at 21 stakes drilled into the ice at the narrowest gate of the glacier between December 2007 and December 2008, yielding a mean value of 22.6 m a(-1). These velocities, combined with the measured ice thicknesses and a numerical model, yielded an ice flux of 0.10 +/- 0.03 km(3) a(-1) w.e. Considering the ice basin above this gate, a mean surface mass balance of 0.18 +/- 0.05 m a(-1) was estimated, a value consistent with a mean snow accumulation for nearby ice streams. These values indicate that the glacier is at present near equilibrium.</t>
  </si>
  <si>
    <t>[Rivera, Andres; Zamora, R.; Rada, Camilo] Ctr Estudios Cient, Valdivia, Chile; [Rivera, Andres] Univ Chile, Dept Geog, Santiago, Chile; [Rivera, Andres] Ctr Ingn Innovac CECS CIN, Valdivia, Chile; [Walton, Jonathan] Antarctic Logist &amp; Expedit ALE LLC, Salt Lake City, UT 84107 USA; [Proctor, Stuart] Topcon Europe Positioning BV, NL-2908 LJ Capelle aan den IJssel, Netherlands</t>
  </si>
  <si>
    <t>Universidad de Chile</t>
  </si>
  <si>
    <t>Rivera, A (corresponding author), Ctr Estudios Cient, Av Arturo Prat 514,Casilla 1469, Valdivia, Chile.</t>
  </si>
  <si>
    <t>arivera@cecs.cl</t>
  </si>
  <si>
    <t>Rada, Camilo/0000-0001-9865-2530; Rivera, Andres/0000-0002-2779-4192</t>
  </si>
  <si>
    <t>Antarctic Logistics and Expeditions (ALE); CECS; CONICYT (Scientific and Technological National Commission of Chile)/World Bank; INACH (the Chilean Antarctic Institute); Millennium Science Initiative (ICM); Excellence Centers of CONICYT Basal</t>
  </si>
  <si>
    <t>Antarctic Logistics and Expeditions (ALE); CECS; CONICYT (Scientific and Technological National Commission of Chile)/World Bank(Comision Nacional de Investigacion Cientifica y Tecnologica (CONICYT)); INACH (the Chilean Antarctic Institute); Millennium Science Initiative (ICM); Excellence Centers of CONICYT Basal</t>
  </si>
  <si>
    <t>The field campaign was funded and supported by Antarctic Logistics and Expeditions (ALE). The research was funded by CECS; the Bicentennial Science and Technology Programme of CONICYT (Scientific and Technological National Commission of Chile)/World Bank; and INACH (the Chilean Antarctic Institute). The project is within the framework of the International Polar Year 2007-09. CECS is sponsored by the Millennium Science Initiative (ICM), the Excellence Centers of CONICYT Basal Financing Programme and the Regional Government of Los Rios, among many others. J. Wendt (deceased) and A. Wendt provided valuable help with the analysis of GPS data. C. Bravo collaborated on the figures. We thank F. Pattyn, the Scientific Editor, and also N. Ross and an anonymous reviewer for comments that improved the manuscript. M. Sharp and ALE staff at Patriot Hills provided valuable help during the field campaign.</t>
  </si>
  <si>
    <t>10.3189/172756410791392772</t>
  </si>
  <si>
    <t>WOS:000281034000013</t>
  </si>
  <si>
    <t>Wendt, J; Rivera, A; Wendt, A; Bown, F; Zamora, R; Casassa, G; Bravo, C</t>
  </si>
  <si>
    <t>Wendt, J.; Rivera, A.; Wendt, A.; Bown, F.; Zamora, R.; Casassa, G.; Bravo, C.</t>
  </si>
  <si>
    <t>Recent ice-surface-elevation changes of Fleming Glacier in response to the removal of the Wordie Ice Shelf, Antarctic Peninsula</t>
  </si>
  <si>
    <t>RADAR INTERFEROMETRY; CLIMATE-CHANGE; STABILITY; SHEET; DISINTEGRATION; COLLAPSE</t>
  </si>
  <si>
    <t>Regional climate warming has caused several ice shelves on the Antarctic Peninsula to retreat and ultimately collapse during recent decades. Glaciers flowing into these retreating ice shelves have responded with accelerating ice flow and thinning. The Wordie Ice Shelf on the west coast of the Antarctic Peninsula was reported to have undergone a major areal reduction before 1989. Since then, this ice shelf has continued to retreat and now very little floating ice remains. Little information is currently available regarding the dynamic response of the glaciers feeding the Wordie Ice Shelf, but we describe a Chilean International Polar Year project, initiated in 2007, targeted at studying the glacier dynamics in this area and their relationship to local meteorological conditions. Various data were collected during field campaigns to Fleming Glacier in the austral summers of 2007/08 and 2008/09. In situ measurements of ice-flow velocity first made in 1974 were repeated and these confirm satellitebased assessments that velocity on the glacier has increased by 40-50% since 1974. Airborne lidar data collected in December 2008 can be compared with similar data collected in 2004 in collaboration with NASA and the Chilean Navy. This comparison indicates continued thinning of the glacier, with increasing rates of thinning downstream, with a mean of 4.1 +/- 0.2 m a(-1) at the grounding line of the glacier. These comparisons give little indication that the glacier is achieving a new equilibrium.</t>
  </si>
  <si>
    <t>[Rivera, A.; Bown, F.] Ctr Ingn Innovac CECS CIN, Valdivia, Chile; [Rivera, A.] Univ Chile, Dept Geog, Santiago, Chile; [Wendt, J.; Rivera, A.; Wendt, A.; Bown, F.; Zamora, R.; Casassa, G.; Bravo, C.] Ctr Estudios Cient, Valdivia, Chile</t>
  </si>
  <si>
    <t>Casassa, Gino/AAX-6142-2020</t>
  </si>
  <si>
    <t>Rivera, Andres/0000-0002-2779-4192; Bravo, Claudio/0000-0003-4822-4786</t>
  </si>
  <si>
    <t>Millennium Science Initiative (ICM); Excellence Centres of CONICYT Basal; Regional Government of Los Rios; CONICYT (Scientific and Technological National Commission of Chile)/World Bank</t>
  </si>
  <si>
    <t>Millennium Science Initiative (ICM); Excellence Centres of CONICYT Basal; Regional Government of Los Rios; CONICYT (Scientific and Technological National Commission of Chile)/World Bank(Comision Nacional de Investigacion Cientifica y Tecnologica (CONICYT))</t>
  </si>
  <si>
    <t>CECS is sponsored by Millennium Science Initiative (ICM), the Excellence Centres of CONICYT Basal Financing Programme and the Regional Government of Los Rios, among many others. This project was financed by the Bicentennial Science and Technology Programme of CONICYT (Scientific and Technological National Commission of Chile)/World Bank. The logistic support of the Chilean Antarctic Institute (INACH), FACH and the British Antarctic Survey is highly appreciated. The project is within the framework of 2007-08 International Polar Year. The 2004 ATM data were collected thanks to a joint airborne campaign conducted by CECS, NASA, the University of Kansas and the Chilean Navy. We highly appreciate their efforts for the successful campaign. H. Fricker provided ICESat data. Global Land Ice Measurements from Space (GLIMS) provided ASTER satellite imagery. ERS and Envisat data were provided by the European Space Agency under project AOCRY.2674. The comments and suggestions of D. Vaughan, A. Vieli and an anonymous reviewer significantly improved this paper.</t>
  </si>
  <si>
    <t>10.3189/172756410791392727</t>
  </si>
  <si>
    <t>WOS:000281034000014</t>
  </si>
  <si>
    <t>Blindow, N; Suckro, SK; Rückamp, M; Braun, M; Schindler, M; Breuer, B; Saurer, H; Simoes, JC; Lange, MA</t>
  </si>
  <si>
    <t>Blindow, Norbert; Suckro, Sonja K.; Rueckamp, Martin; Braun, Matthias; Schindler, Marion; Breuer, Birgit; Saurer, Helmut; Simoes, Jefferson C.; Lange, Manfred A.</t>
  </si>
  <si>
    <t>Geometry and thermal regime of the King George Island ice cap, Antarctica, from GPR and GPS</t>
  </si>
  <si>
    <t>SURFACE-ENERGY BALANCE</t>
  </si>
  <si>
    <t>King George Island is the largest of the South Shetland Islands, close to the tip of the Antarctic Peninsula. The annual mean temperature on the island has increased by 1 degrees C during the past three decades, and the ice cap that covers the majority of the island is sensitive to climatic change. We present data from two field campaigns (1997 and 2007): 700 km of global positioning system (GPS) and ground-penetrating radar (GPR) profiles were collected on Arctowski Icefield and on the adjacent central part. The data were analysed to determine the surface and bed topography and the thermal regime of the ice. Average ice thickness is 250m and maximum thickness is 420m. The GPR profiles show isochrones throughout the ice cap which depict the uparching of Raymond bumps beneath or close to the ice divides. A water table from percolation of meltwater in the snowpack shows the urn ice boundary at similar to 35 m depth. The firn layer may be temperate due to the release of latent heat. In the area below 400 m a.s.I., backscatter by water inclusions is abundant for ice depths below the water table. We interpret this as evidence for temperate ice. Scatter decreases significantly above 400m. Ice temperatures below the water table in this part of the ice cap are subject to further field and modelling investigations.</t>
  </si>
  <si>
    <t>[Braun, Matthias] Univ Bonn, Ctr Remote Sensing Land Surfaces, D-53113 Bonn, Germany; [Saurer, Helmut] Univ Freiburg, Dept Phys Geog, D-79085 Freiburg, Germany; [Simoes, Jefferson C.] Univ Fed Rio Grande do Sul, NUPAC, BR-91501970 Porto Alegre, RS, Brazil; [Blindow, Norbert; Suckro, Sonja K.; Rueckamp, Martin; Schindler, Marion; Breuer, Birgit; Lange, Manfred A.] Univ Munster, Inst Geophys, D-48149 Munster, Germany</t>
  </si>
  <si>
    <t>University of Bonn; University of Freiburg; Universidade Federal do Rio Grande do Sul; University of Munster</t>
  </si>
  <si>
    <t>Blindow, N (corresponding author), Fed Inst Geosci &amp; Nat Resources BGR, Stillweg 2, D-30655 Hannover, Germany.</t>
  </si>
  <si>
    <t>norbert.blindow@bgr.de</t>
  </si>
  <si>
    <t>Simoes, Jefferson Cardia/D-7232-2013; Braun, Matthias/A-4968-2009; Braun, Matthias H/S-4693-2016</t>
  </si>
  <si>
    <t>Simoes, Jefferson Cardia/0000-0001-5555-3401; Braun, Matthias/0000-0001-5169-1567; Ruckamp, Martin/0000-0003-2512-7238</t>
  </si>
  <si>
    <t>German Research Foundation (DFG) [SA694-1/1, BR2105/4-1/2/3, BL307-1/2]; Brazilian National Council for Scientific and Technological Development (CNPq) [480728/968]</t>
  </si>
  <si>
    <t>German Research Foundation (DFG)(German Research Foundation (DFG)); Brazilian National Council for Scientific and Technological Development (CNPq)(Conselho Nacional de Desenvolvimento Cientifico e Tecnologico (CNPQ))</t>
  </si>
  <si>
    <t>We gratefully acknowledge financial support from the German Research Foundation (DFG) for the field campaigns of 1997 (DFG contract SA694-1/1), 2004/05 (DFG contracts BR2105/4-1/2/3) and 2007-09 (DFG contracts BL307-1/2) and respective evaluation periods. The 1997 fieldwork was funded by the Brazilian National Council for Scientific and Technological Development (CNPq) under project No. 480728/968. We also appreciate the logistic support provided by the Alfred Wegener Institute for Marine and Polar Research (AWI), Germany, the Brazilian Navy, Institut Antartico Argentino (IAA), Institut Antartico Chileno (INACH) and Institut Antartico Uruguayo (IAU). Special thanks are due to A. Lluberas (IAU) and the crews of Artigas and Bellingshausen stations. We also thank two anonymous reviewers for valuable comments.</t>
  </si>
  <si>
    <t>10.3189/172756410791392691</t>
  </si>
  <si>
    <t>WOS:000281034000015</t>
  </si>
  <si>
    <t>Namsaraev, Z; Mano, MJ; Fernandez, R; Wilmotte, A</t>
  </si>
  <si>
    <t>Namsaraev, Z.; Mano, M. -J.; Fernandez, R.; Wilmotte, Annick</t>
  </si>
  <si>
    <t>Biogeography of terrestrial cyanobacteria from Antarctic ice-free areas</t>
  </si>
  <si>
    <t>MCMURDO DRY VALLEYS; MICROBIAL DIVERSITY; BACTERIAL DIVERSITY; VICTORIA LAND; MICROORGANISMS; COMMUNITIES; ALGAE; SOILS; DISPERSAL; MOUNTAINS</t>
  </si>
  <si>
    <t>Cyanobacteria inhabit the Antarctic continent and have even been observed in the most southerly ice-free areas of Antarctica (86-87 degrees S). The highest molecular diversity of cyanobacterial communities was found in the areas located between 70 degrees S and 80 degrees S. Further south and further north from this zone, the diversity abruptly decreased. Seventy-nine per cent (33 of 42 operational taxonomic units) of Antarctic terrestrial cyanobacteria have a cosmopolitan distribution. Analysis of the sampling efforts shows that only three regions (southern Victoria Land, the Sor Rondane Mountains and Alexander Island) have been particularly well studied, while other areas did not receive enough attention. Although cyanobacteria possess a capacity for long-range transport, regional populations in Antarctic ice-free areas seem to exist. The cyanobacterial communities of the three most intensively studied regions, separated from each other by a distance of 3000-3400 km, had a low degree of similarity with each other. Further development of microbial biogeography demands a standardized approach. For this purpose, as a minimal standard, we suggest using the sequence of cyanobacterial 16S rRNA gene between Escherichia coli positions 405 and 780.</t>
  </si>
  <si>
    <t>[Namsaraev, Z.; Mano, M. -J.; Fernandez, R.; Wilmotte, Annick] Univ Liege, Ctr Prot Engn, B-4000 Liege, Belgium; [Namsaraev, Z.] Russian Acad Sci, Winogradsky Inst Microbiol, Moscow 117312, Russia</t>
  </si>
  <si>
    <t>University of Liege; Research Center of Biotechnology RAS; Russian Academy of Sciences</t>
  </si>
  <si>
    <t>Namsaraev, Z (corresponding author), Univ Liege, Ctr Prot Engn, B-4000 Liege, Belgium.</t>
  </si>
  <si>
    <t>zorigto@gmail.com</t>
  </si>
  <si>
    <t>Wilmotte, Annick/H-1686-2011; Namsaraev, Zorigto/A-3696-2014</t>
  </si>
  <si>
    <t>Namsaraev, Zorigto/0000-0002-9701-5721; Wilmotte, Annick/0000-0003-3546-3489</t>
  </si>
  <si>
    <t>Belgian Federal Science Policy Office; FRS-FNRS (Fonds de la Recherche Scientifique (Belgium)); Russian Academy of Sciences; FRS-FNRS; [CC CH.1.5.104.04]</t>
  </si>
  <si>
    <t>Belgian Federal Science Policy Office(Belgian Federal Science Policy Office); FRS-FNRS (Fonds de la Recherche Scientifique (Belgium))(Fonds de la Recherche Scientifique - FNRS); Russian Academy of Sciences(Russian Academy of Sciences); FRS-FNRS(Fonds de la Recherche Scientifique - FNRS);</t>
  </si>
  <si>
    <t>This study was funded by the Belgian Federal Science Policy Office through the ANTAR-IMPACT and BELDIVA projects and the FRS-FNRS (Fonds de la Recherche Scientifique (Belgium)) through the FRFC BIPOLES project, and the funding CC CH.1.5.104.04 and the programme of the Russian Academy of Sciences 'Biosphere Origin and Evolution'. Z. Namsaraev has a postdoctoral mobility fellowship of the FRS-FNRS. A. Wilmotte is a research associate of the FRS-FNRS. M.-J. Mano has a FRIA fellowship from the FRS-FNRS.</t>
  </si>
  <si>
    <t>10.3189/172756411795931930</t>
  </si>
  <si>
    <t>WOS:000290290600021</t>
  </si>
  <si>
    <t>Dull, RA; Nevle, RJ; Woods, WI; Bird, DK; Avnery, S; Denevan, WM</t>
  </si>
  <si>
    <t>Dull, Robert A.; Nevle, Richard J.; Woods, William I.; Bird, Dennis K.; Avnery, Shiri; Denevan, William M.</t>
  </si>
  <si>
    <t>The Columbian Encounter and the Little Ice Age: Abrupt Land Use Change, Fire, and Greenhouse Forcing</t>
  </si>
  <si>
    <t>ANNALS OF THE ASSOCIATION OF AMERICAN GEOGRAPHERS</t>
  </si>
  <si>
    <t>Americas; carbon dioxide; Early Anthropocene; fire history; Little Ice Age</t>
  </si>
  <si>
    <t>GLOBAL CARBON-CYCLE; TROPICAL DRY FOREST; ATMOSPHERIC CO2; CLIMATE-CHANGE; LAKE-SEDIMENTS; ANTARCTIC ICE; BIOMASS; HISTORY; AGRICULTURE; AMAZONIA</t>
  </si>
  <si>
    <t>Pre-Columbian farmers of the Neotropical lowlands numbered an estimated 25 million by 1492, with at least 80 percent living within forest biomes. It is now well established that significant areas of Neotropical forests were cleared and burned to facilitate agricultural activities before the arrival of Europeans. Paleoecological and archaeological evidence shows that demographic pressure on forest resources-facilitated by anthropogenic burning-increased steadily throughout the Late Holocene, peaking when Europeans arrived in the late fifteenth century. The introduction of Old World diseases led to recurrent epidemics and resulted in an unprecedented population crash throughout the Neotropics. The rapid demographic collapse was mostly complete by 1650, by which time it is estimated that about 95 percent of all indigenous inhabitants of the region had perished. We review fire history records from throughout the Neotropical lowlands and report new high-resolution charcoal records and demographic estimates that together support the idea that the Neotropical lowlands went from being a net source of CO2 to the atmosphere before Columbus to a net carbon sink for several centuries following the Columbian encounter. We argue that the regrowth of Neotropical forests following the Columbian encounter led to terrestrial biospheric carbon sequestration on the order of 2 to 5 Pg C, thereby contributing to the well-documented decrease in atmospheric CO2 recorded in Antarctic ice cores from about 1500 through 1750, a trend previously attributed exclusively to decreases in solar irradiance and an increase in global volcanic activity. We conclude that the post-Columbian carbon sequestration event was a significant forcing mechanism of Little Ice Age cooling.</t>
  </si>
  <si>
    <t>[Dull, Robert A.] Univ Texas Austin, Dept Geog &amp; Environm, Austin, TX 78712 USA; [Nevle, Richard J.] Bellarmine Coll Preparatory, San Jose, CA 95126 USA; [Woods, William I.] Univ Kansas, Dept Geog, Lawrence, KS 66045 USA; [Bird, Dennis K.] Stanford Univ, Dept Geol &amp; Environm Sci, Stanford, CA 94305 USA; [Avnery, Shiri] Princeton Univ, Woodrow Wilson Sch Publ &amp; Int Affairs, Princeton, NJ 08544 USA; [Denevan, William M.] Univ Wisconsin, Dept Geog, Madison, WI 53706 USA</t>
  </si>
  <si>
    <t>University of Texas System; University of Texas Austin; University of Kansas; Stanford University; Princeton University; University of Wisconsin System; University of Wisconsin Madison</t>
  </si>
  <si>
    <t>Dull, RA (corresponding author), Univ Texas Austin, Dept Geog &amp; Environm A 3100, Austin, TX 78712 USA.</t>
  </si>
  <si>
    <t>robdull@austin.utexas.edu; rnevle@bcp.org; wwoods@ku.edu; dbird@stanford.edu; savnery@princeton.edu; sbden@saber.net</t>
  </si>
  <si>
    <t>Dull, Robert/L-3897-2019</t>
  </si>
  <si>
    <t>Nevle, Richard/0000-0001-5971-5420</t>
  </si>
  <si>
    <t>ROUTLEDGE JOURNALS, TAYLOR &amp; FRANCIS LTD</t>
  </si>
  <si>
    <t>2-4 PARK SQUARE, MILTON PARK, ABINGDON OX14 4RN, OXON, ENGLAND</t>
  </si>
  <si>
    <t>0004-5608</t>
  </si>
  <si>
    <t>1467-8306</t>
  </si>
  <si>
    <t>ANN ASSOC AM GEOGR</t>
  </si>
  <si>
    <t>Ann. Assoc. Am. Geogr.</t>
  </si>
  <si>
    <t>10.1080/00045608.2010.502432</t>
  </si>
  <si>
    <t>Geography</t>
  </si>
  <si>
    <t>Social Science Citation Index (SSCI)</t>
  </si>
  <si>
    <t>682QM</t>
  </si>
  <si>
    <t>WOS:000284418100005</t>
  </si>
  <si>
    <t>San Vicente, C</t>
  </si>
  <si>
    <t>Mulder, TJ</t>
  </si>
  <si>
    <t>San Vicente, Carlos</t>
  </si>
  <si>
    <t>SPECIES DIVERSITY OF ANTARCTIC MYSIDS (CRUSTACEA: LOPHOGASTRIDA AND MYSIDA)</t>
  </si>
  <si>
    <t>ANTARCTICA: GLOBAL, ENVIRONMENTAL AND ECONOMIC ISSUES</t>
  </si>
  <si>
    <t>Arctic Region and Antartica Issues and Research</t>
  </si>
  <si>
    <t>Southern Ocean; Antarctic; Lophogastrida; Mysida</t>
  </si>
  <si>
    <t>SOUTH-SHETLAND ISLANDS; GNATHOPHAUSIA-INGENS MYSIDACEA; EASTERN WEDDELL SEA; ACADEMY-OF-SCIENCES; BRANSFIELD STRAIT; ROSS SEA; SUPRABENTHIC ASSEMBLAGES; PERACARIDA CRUSTACEA; ZOOLOGICAL-INSTITUTE; EPIBENTHIC SLEDGE</t>
  </si>
  <si>
    <t>Mysid crustaceans are common and important macrobenthic animals occurring in variable abundance and diversity from shallow to deep habitats of the world oceans. These small shrimp-like animals are regularly represented in the Antarctic marine ecosystems. Most: mysids live in the benthic boundary layer and therefore play an important role in bentho-pelagic food webs. They are able to bioturbate the sediments breaking the diffusive boundary layer with their feeding and swimming behaviour. Besides, these organisms are highly consumed by a great diversity of Antarctic predators like seals, whales, penguins, other birds, benthic fishes and shrimps. Despite their high abundance in most of the marine benthic systems of the Antarctic region, mysids were not frequently reported in studies on benthos assemblages due to inadequate sampling methodology. The swimming mysids often escape from traditional benthos samplers. The recent studies based on samples collected with new types of epito suprabenthic sledges confirm the efficiency of such samplers and their interest for a better catching Antarctic mysid biodiversity. The aim of this chapter is to provide information for identifying Antarctic mysids. A complete list of genera and species of the Orders Lophogastrida and Mysida at present known from the Antarctic waters is given. This area might be categorized zoogeographically from the coast of Antarctica north to 60 degrees south latitude. Thirty-seven species of mysids are known from the Antarctic region to date, but many of them have only been recorded once or a few times. Species descriptions are sometimes to poor to allow a reliable identification. A few taxonomic revisions are available for this crustacean group and numerous short publications are scattered over many old journals. This situation provides serious difficulties for taxonomists and ecologists who try to determine mysid specimens. The latitudinal occurrence, geographic region and habitat of each species are provided based on current information. A complete bibliography reporting Antarctic mysids is included.</t>
  </si>
  <si>
    <t>NOVA SCIENCE PUBLISHERS, INC</t>
  </si>
  <si>
    <t>HAUPPAUGE</t>
  </si>
  <si>
    <t>400 OSER AVE, STE 1600, HAUPPAUGE, NY 11788-3635 USA</t>
  </si>
  <si>
    <t>978-1-60876-014-5</t>
  </si>
  <si>
    <t>ARCT REG ANTARCT ISS</t>
  </si>
  <si>
    <t>BTG79</t>
  </si>
  <si>
    <t>WOS:000286915300002</t>
  </si>
  <si>
    <t>Suparta, W</t>
  </si>
  <si>
    <t>Suparta, Wayan</t>
  </si>
  <si>
    <t>REMOTE SENSING OF SOLAR INFLUENCE ON ANTARCTIC TERRESTRIAL CLIMATE BY GPS OBSERVATIONS</t>
  </si>
  <si>
    <t>ATMOSPHERIC WATER-VAPOR; IRRADIANCE VARIATIONS; REFRACTIVE-INDEX; AIR-TEMPERATURE; SPACE WEATHER; OCTOBER 2003; VARIABILITY; METEOROLOGY; PRECIPITATION; PREDICTION</t>
  </si>
  <si>
    <t>Water vapour is a key in the hydrological cycle and the main driver of atmospheric events. Precipitable water vapour (PWV), as a climate variable determined from the Global Positioning System (GPS) atmospheric delays errors is one key used to study recent solar-weather/climate relationships. It was proven that the tremendous capability of low-cost GPS technique has the major impact on the improvement of weather forecasts and offer essential tool in detecting global climate change. GPS sensing technique has also been widely used as a powerful tool to accurately measure the ionospheric total electron content (TEC). In this work, solar related events influence on terrestrial climate through PWV measurements is quantified and investigated. TEC variability in the upper atmosphere associated with the geomagnetic activity and solar flares originated from the Sun is used as a solar activity parameter. A new approach is proposed for determining and quantifying the solar influence on PWV by indirectly correlating the PWV and TEC variations in short-term analysis to enlighten solar-climate relationship issues. Besides PWV determination based on GPS sensing technique, this chapter describes the morphology of solar modulated geomagnetic activity during major storms to understand the impact of Sun-Earth interactions and discusses how solar variability during intense heliogeophysical disturbances exerts their influence on PWV.</t>
  </si>
  <si>
    <t>wayan@ukm.my</t>
  </si>
  <si>
    <t>SUPARTA, WAYAN/K-3110-2013</t>
  </si>
  <si>
    <t>WOS:000286915300003</t>
  </si>
  <si>
    <t>Cincinelli, A; Dickhut, RM</t>
  </si>
  <si>
    <t>Cincinelli, A.; Dickhut, R. M.</t>
  </si>
  <si>
    <t>LEVELS AND TRENDS OF ORGANOCHLORINE PESTICIDES (OCPS) IN ANTARCTICA</t>
  </si>
  <si>
    <t>PERSISTENT ORGANIC POLLUTANTS; KING-GEORGE ISLAND; WATER GAS-EXCHANGE; TERRA-NOVA BAY; POLYCHLORINATED-BIPHENYLS; CHLORINATED PESTICIDES; GLOBAL DISTRIBUTION; PCB CONCENTRATIONS; ATLANTIC-OCEAN; ROSS-ISLAND</t>
  </si>
  <si>
    <t>Persistent organic pollutants (POPs) are a group of toxic, persistent and bioaccumulative chemicals including endocrine disrupting compounds such as polychlorinated biphenyls (PCBs), organochlorine pesticides (OCPs) and flame retardants such as polybrominated diphenyl ethers (PBDEs). The Antarctic continent, despite its remoteness and absence of point sources, is vulnerable to contamination by POPs, due to the ability of these chemicals to undergo long range atmospheric transport (LRAT) and condense in cold climates. This review gives an overview of the most important processes that determine transport and fate of POPs in Antarctica and draws together published scientific literature on levels of organochlorine pesticides (OCPs) in air, sea-water, sea/ice, sediments, snow, ice and plankton in Antarctica. Antarctic air data indicate a marked decline in some OCPs over the last three decades. Various studies evidenced that the presence of snow and ice, which efficiently scavenge POPs, strongly influence the behaviour and transfer of OCPs between the atmosphere and ocean surface waters where phytoplankton blooms. Sediment, soil, snow and ice act as recorders of POP levels over the years. The snow-pack also provides an important reservoir for atmospheric OCPs, which are released with melting during the summer season. Recent studies have also focused attention on the role on both ice algae and phytoplankton in providing the first step in pollutant transport up the food chain.</t>
  </si>
  <si>
    <t>[Cincinelli, A.] Univ Florence, Dept Chem, I-50019 Sesto Fiorentino, Italy; Coll William &amp; Mary, Virginia Inst Marine Sci, Gloucester Point, VA USA</t>
  </si>
  <si>
    <t>University of Florence; William &amp; Mary; Virginia Institute of Marine Science</t>
  </si>
  <si>
    <t>Cincinelli, A (corresponding author), Univ Florence, Dept Chem, Via Lastruccia 3, I-50019 Sesto Fiorentino, Italy.</t>
  </si>
  <si>
    <t>acincinelli@hotmail.com</t>
  </si>
  <si>
    <t>WOS:000286915300004</t>
  </si>
  <si>
    <t>Zoccolillo, L; Amendola, L; Insogna, S</t>
  </si>
  <si>
    <t>Zoccolillo, Lelio; Amendola, Luca; Insogna, Susanna</t>
  </si>
  <si>
    <t>VOLATILE CHLORINATED HYDROCARBONS IN ANTARCTICA: A TYPICAL EXAMPLE OF ENVIRONMENTAL GLOBAL CONTAMINATION</t>
  </si>
  <si>
    <t>ORGANIC-CHEMICALS; SURFACE WATERS; SNOW; HALOCARBONS; TETRACHLOROETHENE; DICHLOROMETHANE; TRICHLOROETHENE; REGIONS; ICE; AIR</t>
  </si>
  <si>
    <t>In order to investigate the correlation between man-made chemicals' ubiquity and atmospheric diffusion processes, the authors decided to find out the environmental concentration and distribution (between atmosphere and aqueous matrices) of specific contaminants: the volatile chlorinated hydrocarbons, also known as VCHCs. This chapter reports the results obtained during the monitoring of some VCHCs carried out in about two decades in Antarctica as a part of Italian National Research Programme in Antarctica (PNRA) and during two Italian ITASE (International Trans-Antarctic Scientific Expedition) expeditions. The monitoring concerned several matrices, such as seawater, lake water, ice, superficial snow and air. The investigated VCHCs (as dichloromethane, chloroform, 1,1,1-trich loroethane, tetrachloromethane, 1,1,2-trichloroethylene and tetrachloroethylene) were present in all the matrices considered, with concentration of ng/L (from digits to hundreds) in aqueous matrices and of pptv (from digits to hundreds) in air. The occurrence of VCHCs in Antarctic matrices is a typical example of environmental global contamination, due to the entity of VCHCs' emissions, their environmental persistence and volatility, which favour the atmospheric transport. The extreme environmental conditions of sampling sites and the VCHCs' low concentration levels in the considered matrices required a significant improvement concerning the analytical methodology (sampling, enrichment process and analysis). We made a critical analysis of the distribution of VCHCs among the different Antarctic environmental matrices and the Antarctic distribution was compared with the Italian one. In addition, in order to understand the VCHCs' transport and deposition mechanism, for each VCHC, we evaluated the atmospheric / aqueous matrices concentration ratio (air/water ratio and air/snow ratio), both in Antarctica and in a temperate zone such as Italy. The results obtained can be considered as evidence of an accumulation process of VCHCs in cold zones, resulting from global distillation and fractionation processes.</t>
  </si>
  <si>
    <t>[Zoccolillo, Lelio; Amendola, Luca; Insogna, Susanna] Univ Roma La Sapienza, Dept Chem, I-00185 Rome, Italy</t>
  </si>
  <si>
    <t>Sapienza University Rome</t>
  </si>
  <si>
    <t>Zoccolillo, L (corresponding author), Univ Roma La Sapienza, Dept Chem, Ple Aldo Moro 5, I-00185 Rome, Italy.</t>
  </si>
  <si>
    <t>Insogna, Susanna/M-7301-2015</t>
  </si>
  <si>
    <t>Insogna, Susanna/0000-0001-9463-1273</t>
  </si>
  <si>
    <t>WOS:000286915300005</t>
  </si>
  <si>
    <t>Kraus, S; Kurbatov, A</t>
  </si>
  <si>
    <t>Kraus, S.; Kurbatov, A.</t>
  </si>
  <si>
    <t>CHEMICAL FINGERPRINT OF BULK TEPHRA FROM LATE PLEISTOCENE/HOLOCENE VOLCANOES IN THE NORTHERN ANTARCTIC PENINSULA AREA</t>
  </si>
  <si>
    <t>SOUTH-SHETLAND-ISLANDS; DECEPTION ISLAND; EXPLOSIVE VOLCANISM; LIVINGSTON-ISLAND; ICE CORE; BRANSFIELD STRAIT; ALKALIC BASALTS; PACIFIC MARGIN; K-AR; RECORD</t>
  </si>
  <si>
    <t>New tephra and lava samples were collected from volcanic centers in the northern part of the Antarctic Peninsula. Geochemical analyses of these samples provide a foundation for geochemical fingerprinting of volcanic products originated from these volcanoes. Melville Peak and Penguin Island appear to represent the most primitive magma source while Sail Rock and Bridgeman Island exhibit high Al content, and Paulet Island extremely high Sr levels. Volcanoes located along the Larsen Rift (Cape Purvis and Paulet Island) show Nb/Y ratios higher than 0.67 along with elevated Th/Vb and Ta/Yb ratios, and enriched LREE. Paulet Island features considerably higher Sr/Y values than Cape Purvis volcano. Bridgeman Island and Melville Peak show notably lower Nb/Y and much higher Th/Nb than Deception Island, Penguin Island and Sail Rock. Sail Rock displays almost double the Th/Yb ratio as compared to Deception Island, and also much higher LREE enrichment but extraordinarily low Ba/Th, the latter discriminating it clearly from Penguin Island. Extremely low Ba/Th ratios are also typical for Melville Peak volcano. The new geochemical data will provide a base for differentiation of tephra layers identified in ice and lake sediment cores drilled from the region and will help to establish time markers used in stratigraphy.</t>
  </si>
  <si>
    <t>[Kraus, S.] Inst Antartico Chileno, Punta Arenas, Chile; [Kurbatov, A.] Univ Maine, Climate Change Inst, Orono, ME USA</t>
  </si>
  <si>
    <t>University of Maine System; University of Maine Orono</t>
  </si>
  <si>
    <t>Kraus, S (corresponding author), Inst Antartico Chileno, Plaza Munoz Gamero 1055, Punta Arenas, Chile.</t>
  </si>
  <si>
    <t>WOS:000286915300006</t>
  </si>
  <si>
    <t>Christner, BC</t>
  </si>
  <si>
    <t>Christner, Brent C.</t>
  </si>
  <si>
    <t>Bioprospecting for microbial products that affect ice crystal formation and growth</t>
  </si>
  <si>
    <t>APPLIED MICROBIOLOGY AND BIOTECHNOLOGY</t>
  </si>
  <si>
    <t>Ice-nucleating proteins; Antifreeze proteins; Ice-structuring proteins; Cryopreservation; Bioprospecting; Cryosphere</t>
  </si>
  <si>
    <t>HYPERACTIVE ANTIFREEZE PROTEIN; ANTARCTIC SEA-ICE; PSEUDOMONAS-SYRINGAE; LAKE VOSTOK; BINDING PROTEIN; BIOTECHNOLOGICAL APPLICATIONS; RECRYSTALLIZATION INHIBITION; STRUCTURING PROTEINS; FREEZING RESISTANCE; NUCLEATION PROTEIN</t>
  </si>
  <si>
    <t>At low temperatures, some organisms produce proteins that affect ice nucleation, ice crystal structure, and/or the process of recrystallization. Based on their ice-interacting properties, these proteins provide an advantage to species that commonly experience the phase change from water to ice or rarely experience temperatures above the melting point. Substances that bind, inhibit or enhance, and control the size, shape, and growth of ice crystals could offer new possibilities for a number of agricultural, biomedical, and industrial applications. Since their discovery more than 40 years ago, ice nucleating and structuring proteins have been used in cryopreservation, frozen food preparation, transgenic crops, and even weather modification. Ice-interacting proteins have demonstrated commercial value in industrial applications; however, the full biotechnological potential of these products has yet to be fully realized. The Earth's cold biosphere contains an almost endless diversity of microorganisms to bioprospect for microbial compounds with novel ice-interacting properties. Microorganisms are the most appropriate biochemical factories to cost effectively produce ice nucleating and structuring proteins on large commercial scales.</t>
  </si>
  <si>
    <t>Louisiana State Univ, Dept Biol Sci, Baton Rouge, LA 70803 USA</t>
  </si>
  <si>
    <t>Louisiana State University System; Louisiana State University</t>
  </si>
  <si>
    <t>Christner, BC (corresponding author), Louisiana State Univ, Dept Biol Sci, Baton Rouge, LA 70803 USA.</t>
  </si>
  <si>
    <t>xner@lsu.edu</t>
  </si>
  <si>
    <t>National Science Foundation [EAR-0525567, OPP-0636828]; Louisiana State University Office of Research and Economic Development</t>
  </si>
  <si>
    <t>National Science Foundation(National Science Foundation (NSF)); Louisiana State University Office of Research and Economic Development</t>
  </si>
  <si>
    <t>My interest in microbial ice-interacting proteins is a direct result of fruitful discussions and collaborations with James Raymond, Cindy Morris, and David Sands. Research in my laboratory on this topic has been supported by the National Science Foundation (EAR-0525567 and OPP-0636828) and Louisiana State University Office of Research and Economic Development.</t>
  </si>
  <si>
    <t>0175-7598</t>
  </si>
  <si>
    <t>1432-0614</t>
  </si>
  <si>
    <t>APPL MICROBIOL BIOT</t>
  </si>
  <si>
    <t>Appl. Microbiol. Biotechnol.</t>
  </si>
  <si>
    <t>10.1007/s00253-009-2291-2</t>
  </si>
  <si>
    <t>540QM</t>
  </si>
  <si>
    <t>WOS:000273351300006</t>
  </si>
  <si>
    <t>Bluhm, K; Croot, P; Wuttig, K; Lochte, K</t>
  </si>
  <si>
    <t>Bluhm, K.; Croot, P.; Wuttig, K.; Lochte, K.</t>
  </si>
  <si>
    <t>Transformation of iodate to iodide in marine phytoplankton driven by cell senescence</t>
  </si>
  <si>
    <t>AQUATIC BIOLOGY</t>
  </si>
  <si>
    <t>Iodine speciation; Iodide; Iodate; Antarctic diatoms; Nitrate reductase; Glutathione; Sulphur species; Cell senescence</t>
  </si>
  <si>
    <t>DISSOLVED IODINE; SURFACE WATERS; CHLOROPHYLL-A; HYDROGEN-SULFIDE; WEDDELL SEA; ATLANTIC; SEAWATER; DIATOMS; GROWTH; SPECIATION</t>
  </si>
  <si>
    <t>Previous studies have suggested that phytoplankton play an important role in the biogeochemical cycling of iodine, due to the appearance of iodide in the euphotic zone. Changes in the speciation of iodine over the course of the growth cycle were examined in culture media for a variety of phytoplankton taxa (diatoms, dinoflagellates and prymnesiophytes). All species tested showed the apparent ability to reduce iodate to iodide, though production rates varied considerably among species (0.01 to 0.26 nmol l(-1) mu g(-1) chl a d(-1)), with Eucampia antarctica the least and Pseudo-nitzschia turgiduloides the most efficient iodide producers. Production was found to be species specific and was not related to biomass (indicated by e. g. cell size, cell volume, or chl a content). In all species, except for the mixotrophic dinoflagellate Scrippsiella trochoidea, iodide production commenced in the stationary growth phase and peaked in the senescent phase of the algae, indicating that iodide production is connected to cell senescence. This suggests that iodate reduction results from increased cell permeability, which we hypothesize is due to subsequent reactions of iodate with reduced sulphur species exuded from the cell. A shift from senescence back to the exponential growth phase resulted in a decline in iodide and indicated that phytoplankton-mediated oxidation of iodide to iodate was likely to be occurring. Iodide production could not be observed in healthy cells kept in the dark for short periods. Bacterial processes appeared to play only a minor role in the reduction of iodate to iodide.</t>
  </si>
  <si>
    <t>[Bluhm, K.; Croot, P.; Wuttig, K.] Leibniz Inst Marine Sci, IFM GEOMAR, Westshore Bldg,Duesternbrooker Weg 20, D-24105 Kiel, Germany; [Lochte, K.] Alfred Wegener Inst Polar &amp; Marine Res, D-27570 Bremerhaven, Germany</t>
  </si>
  <si>
    <t>Helmholtz Association; GEOMAR Helmholtz Center for Ocean Research Kiel; Helmholtz Association; Alfred Wegener Institute, Helmholtz Centre for Polar &amp; Marine Research</t>
  </si>
  <si>
    <t>Bluhm, K (corresponding author), Leibniz Inst Marine Sci, IFM GEOMAR, Westshore Bldg,Duesternbrooker Weg 20, D-24105 Kiel, Germany.</t>
  </si>
  <si>
    <t>kbluhm@ifm-geomar.de</t>
  </si>
  <si>
    <t>Wuttig, Kathrin/O-2888-2019; Croot, Peter/U-5296-2019; Croot, Peter/C-8460-2009</t>
  </si>
  <si>
    <t>Wuttig, Kathrin/0000-0003-4010-5918; Croot, Peter/0000-0003-1396-0601</t>
  </si>
  <si>
    <t>EU; DFG [SPP-1158 Antarktisforschung, CR145/17]</t>
  </si>
  <si>
    <t>EU(European Union (EU)); DFG(German Research Foundation (DFG))</t>
  </si>
  <si>
    <t>We thank Julia Vasbender and Thomas Hansen (both IFM-GEOMAR) for their help with the phytoplankton counting and flow cytometry analysis, respectively. This work is a contribution to SOPRAN (German SOLAS). Financing was provided through the EU 6th framework project OOMPH (Organics over the Ocean Modifying Particles in both Hemispheres) and DFG SPP-1158 Antarktisforschung (CR145/17 to P.L.C.).</t>
  </si>
  <si>
    <t>1864-7790</t>
  </si>
  <si>
    <t>1864-7782</t>
  </si>
  <si>
    <t>AQUAT BIOL</t>
  </si>
  <si>
    <t>Aquat. Biol.</t>
  </si>
  <si>
    <t>10.3354/ab00284</t>
  </si>
  <si>
    <t>681PE</t>
  </si>
  <si>
    <t>WOS:000284328400001</t>
  </si>
  <si>
    <t>Hindle, AG; Rosen, DAS; Trites, AW</t>
  </si>
  <si>
    <t>Hindle, Allyson G.; Rosen, David A. S.; Trites, Andrew W.</t>
  </si>
  <si>
    <t>Swimming depth and ocean currents affect transit costs in Steller sea lions Eumetopias jubatus</t>
  </si>
  <si>
    <t>Diving; Overall dynamic body acceleration; ODBA; Flipper stroking; Locomotion; Hydrodynamics; Foraging</t>
  </si>
  <si>
    <t>DOLPHINS TURSIOPS-TRUNCATUS; ANTARCTIC FUR SEALS; MARINE MAMMALS; OXYGEN-CONSUMPTION; CLIMATE-CHANGE; ENERGY-EXPENDITURE; FORAGING BEHAVIOR; ACCELERATION DATA; HEART-RATE; ENERGETICS</t>
  </si>
  <si>
    <t>Transit costs associated with commuting between resting sites ashore and foraging areas at sea constitute an appreciable portion of foraging expenditures in pinnipeds. We examined transit swimming in 3 Steller sea lions Eumetopias jubatus trained to follow a moving boat at different speeds and depths. We measured dive behavior (duration) and focused specifically on activity measures (fore-flipper stroking and overall dynamic body acceleration [ODBA], an overall measure of body motion), which may be proxies for metabolic expenditure. Sea lions appeared to increase efficiency while transiting at depths that approached 3 times their body diameters (mean depth = 151 +/- 1 cm SEM, n = 87). Although the response was not uniform for all tested scenarios, all of the observed significant adjustments to dive behavior and swimming mechanics supported an increased efficiency at this depth. An increase in transit speed (4.5 versus 3.5 knots [kn] surface speed) was associated with elevated flipper stroke frequencies (+5 %) and stroke output (ODBA stroke(-1), +48 %). Sea lions transiting against the flow of a tidal current had reduced dive durations (-10 %), while total ODBA was consistently elevated (+8% overall). This response to tidal flow was accompanied either by elevated ODBA stroke(-1) (3.5 kn) or a parallel increase in stroking (4.5 kn). Our data demonstrate that small changes in the physical environment affect transiting in Steller sea lions, and imply that altered prey fields or changing ocean conditions can carry energetic consequences.</t>
  </si>
  <si>
    <t>[Hindle, Allyson G.; Rosen, David A. S.; Trites, Andrew W.] Univ British Columbia, AERL, Fisheries Ctr, Marine Mammal Res Unit, Vancouver, BC V6T 1Z4, Canada</t>
  </si>
  <si>
    <t>University of British Columbia</t>
  </si>
  <si>
    <t>Hindle, AG (corresponding author), Univ British Columbia, AERL, Fisheries Ctr, Marine Mammal Res Unit, 2202 Main Mall, Vancouver, BC V6T 1Z4, Canada.</t>
  </si>
  <si>
    <t>allyson.hindle@gmail.com</t>
  </si>
  <si>
    <t>Trites, Andrew/K-5648-2012</t>
  </si>
  <si>
    <t>Trites, Andrew/0000-0003-0342-5322</t>
  </si>
  <si>
    <t>North Pacific Marine Science Foundation; National Oceanographic and Atmospheric Administration</t>
  </si>
  <si>
    <t>North Pacific Marine Science Foundation; National Oceanographic and Atmospheric Administration(National Oceanic Atmospheric Admin (NOAA) - USA)</t>
  </si>
  <si>
    <t>Funding was provided to the North Pacific Universities Marine Mammal Research Consortium by the North Pacific Marine Science Foundation and the National Oceanographic and Atmospheric Administration. We sincerely appreciate the assistance of the trainers and technical and administrative staff at the Open Water Research Station and the Vancouver Aquarium. The technical assistance of M. Horning regarding the telemetry equipment is gratefully acknowledged. This manuscript was significantly improved by comments from the reviewers.</t>
  </si>
  <si>
    <t>10.3354/ab00279</t>
  </si>
  <si>
    <t>673QA</t>
  </si>
  <si>
    <t>WOS:000283676800004</t>
  </si>
  <si>
    <t>Lovvorn, JR</t>
  </si>
  <si>
    <t>Lovvorn, James R.</t>
  </si>
  <si>
    <t>Modeling profitability for the smallest marine endotherms: auklets foraging within pelagic prey patches</t>
  </si>
  <si>
    <t>Alcidae; Body size scaling; Diving birds; Dive loggers; Energetics models; Krill predators; Visual foraging</t>
  </si>
  <si>
    <t>DIEL VERTICAL MIGRATION; DIVING BEHAVIOR; SCATTERING LAYERS; ANTARCTIC KRILL; PTYCHORAMPHUS-ALEUTICUS; THERMAL SUBSTITUTION; SOUND-SCATTERING; EMPEROR PENGUINS; STROKE PATTERNS; CASSINS AUKLET</t>
  </si>
  <si>
    <t>Auklets (Alcidae) can be very abundant in north-temperate to arctic seas. Their numbers and trophic impacts in a given area depend on their ability to forage profitably as a function of the dispersion, depth, and density of prey patches. Thus, modeling these relationships is important when predicting the auklets' response to environmental change. This paper presents a simulation model of the foraging costs and intake rates of Cassin's auklets Ptychoramphus aleuticus (similar to 170 g) and least auklets Aethia pusilla (similar to 80 g) once they have located a patch of zooplankton prey. In the model, water temperature and dive depth (max. 20 m) have important effects on dive costs, mainly by affecting the duration and magnitude of costs during passive ascent. Within a prey patch, modeled intake rates are limited at relatively low prey densities by pursuit and handling time after a prey item is detected. Because intake rate is limited by capture time and not prey visibility, the model indicates that changes in light conditions over these depths have little direct effect on intake rates of zooplankton prey. However, vertical migration of prey in response to diel light cycles can strongly affect profitability (energy gain minus cost) by altering the depth of dives to prey patches. Because pursuit and handling time limit modeled intake rate, profitability cannot be increased further by finding patches of higher density, but rather by extending time in patches by swimming farther or slower. The model suggests that auklet dispersion should be insensitive to variations in patch density above a threshold that is relatively low compared to the very high densities that can occur. However, auklets may be attracted to higher-density patches because the patches themselves are more visible or predictable, or because other predators from seabirds to whales-may gather in such patches and increase their visibility.</t>
  </si>
  <si>
    <t>So Illinois Univ, Dept Zool, Carbondale, IL 62901 USA</t>
  </si>
  <si>
    <t>Southern Illinois University System; Southern Illinois University</t>
  </si>
  <si>
    <t>Lovvorn, JR (corresponding author), So Illinois Univ, Dept Zool, Carbondale, IL 62901 USA.</t>
  </si>
  <si>
    <t>lovvorn@siu.edu</t>
  </si>
  <si>
    <t>US Geological Survey; Oiled Wildlife Care Network of the State of California; National Center for Ecological Analysis and Synthesis; National Science Foundation [DEB-0553768]; University of California, Santa Barbara; State of California</t>
  </si>
  <si>
    <t>US Geological Survey(United States Geological Survey); Oiled Wildlife Care Network of the State of California; National Center for Ecological Analysis and Synthesis; National Science Foundation(National Science Foundation (NSF)); University of California, Santa Barbara(University of California System); State of California</t>
  </si>
  <si>
    <t>Funding was provided by the US Geological Survey; the Oiled Wildlife Care Network of the State of California; and a Sabbatical Fellowship to JRL from the National Center for Ecological Analysis and Synthesis, a center funded by the National Science Foundation (DEB-0553768), the University of California, Santa Barbara, and the State of California. I appreciate informative discussions and field opportunities provided by J. Adams, D. A. Croll, B. B. Marinovic, K. M. Newton, and J. Y. Takekawa. R. C. Reeves helped with C++ programming.</t>
  </si>
  <si>
    <t>10.3354/ab00210</t>
  </si>
  <si>
    <t>583MX</t>
  </si>
  <si>
    <t>WOS:000276681800003</t>
  </si>
  <si>
    <t>Mori, Y; Takahashi, A; Trathan, PN; Watanuki, Y</t>
  </si>
  <si>
    <t>Mori, Yoshihisa; Takahashi, Akinori; Trathan, Philip N.; Watanuki, Yutaka</t>
  </si>
  <si>
    <t>Optimal stroke frequency during diving activity in seabirds</t>
  </si>
  <si>
    <t>Cost of transport; COT; Diving; Optimal model; Seabirds; Stroke frequency</t>
  </si>
  <si>
    <t>WING-PROPELLED DIVERS; SWIM SPEED; OPTIMAL ALLOCATION; FORAGING BEHAVIOR; PENGUINS; TIME; BUOYANCY; SHALLOW; DEPTH; GLIDE</t>
  </si>
  <si>
    <t>Diving animals have to counter both drag and buoyancy when moving through the water column. The magnitude of these forces depends upon an animal's swim speed and current depth. Feet, fins or flippers create a motivating force, and different stroke strategies give a variable level of output power, providing both fast swim speeds and reduced travel times to any given target depth. However, while feet, fins or flippers may confer a real advantage, they also create considerable drag and engender high metabolic (oxygen consumption) costs. Consequently, there should be an optimal relationship between output power and stroke frequency during diving. Here we develop diving models to predict the optimal pattern of stroke frequency during both the descent and ascent phase of divers in water, while maintaining a minimum cost of transport (COT, J kg(-1) m(-1)). We also test predictions derived from these models using diving data for foot-propelled South Georgian shags Phalacrocorax georgianus diving to deeper than 80 m. Our predictions include: (1) output power (stroke frequency) should decline during the descent and ascent phases of a dive, but constant output power should be evident when the diving depth is shallow, (2) initial thrust for dives to deeper target depths should be smaller during the descent phase and greater during the ascent phase, and, (3) swim speed should be constant during the descent phase and should decrease first or remain constant, then increase during the ascent phase because of a declining output power strategy. Our empirical data on shags support only some of these predictions. Predictions (1) and (3) were supported by our observations, but Prediction (2) was not, possibly due to unknown but specific factors concerning diving seabirds. These findings suggest that diving seabirds adjust and control their stroke frequency pattern in order to minimize COT during diving, generating the observed changes in swimming speed.</t>
  </si>
  <si>
    <t>[Mori, Yoshihisa] Teikyo Univ Sci &amp; Technol, Dept Anim Sci, Yamanashi 4090193, Japan; [Takahashi, Akinori] Natl Inst Polar Res, Tokyo 1908518, Japan; [Trathan, Philip N.] British Antarctic Survey, NERC, Cambridge CB3 0ET, England; [Watanuki, Yutaka] Hokkaido Univ, Grad Sch Fisheries Sci, Hakodate, Hokkaido 0418611, Japan</t>
  </si>
  <si>
    <t>Research Organization of Information &amp; Systems (ROIS); National Institute of Polar Research (NIPR) - Japan; UK Research &amp; Innovation (UKRI); Natural Environment Research Council (NERC); NERC British Antarctic Survey; Hokkaido University</t>
  </si>
  <si>
    <t>Mori, Y (corresponding author), Teikyo Univ Sci &amp; Technol, Dept Anim Sci, 2525 Yatsusawa, Yamanashi 4090193, Japan.</t>
  </si>
  <si>
    <t>moripe@ntu.ac.jp</t>
  </si>
  <si>
    <t>Japanese Society for the Promotion of Science [19570027, 20310016]; NERC [bas0100025] Funding Source: UKRI; Natural Environment Research Council [bas0100025] Funding Source: researchfish; Grants-in-Aid for Scientific Research [20310016, 19570027] Funding Source: KAKEN</t>
  </si>
  <si>
    <t>Japanese Society for the Promotion of Science(Ministry of Education, Culture, Sports, Science and Technology, Japan (MEXT)Japan Society for the Promotion of Science);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</si>
  <si>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are grateful to personnel at the British Antarctic Survey (BAS) Bird Island Research Station during 2004 and 2005, for their support during the field study, and H. Tanaka for helping analyses of acceleration. This study was supported by Grant-in-Aid for Scientific Research (KAKENHI 19570027 and 20310016) of the Japanese Society for the Promotion of Science, and 21st Century COE program of 'Neo-Science of Natural History' led by N. Okada. The fieldwork was approved by BAS and the University of Cambridge Animal Ethics Board.</t>
  </si>
  <si>
    <t>10.3354/ab00219</t>
  </si>
  <si>
    <t>WOS:000276681800006</t>
  </si>
  <si>
    <t>Jiménez, S; Abreu, M; Pons, M; Ortiz, M; Domingo, A</t>
  </si>
  <si>
    <t>Jimenez, Sebastian; Abreu, Martin; Pons, Maite; Ortiz, Mauricio; Domingo, Andres</t>
  </si>
  <si>
    <t>Assessing the impact of the pelagic longline fishery on albatrosses and petrels in the southwest Atlantic</t>
  </si>
  <si>
    <t>AQUATIC LIVING RESOURCES</t>
  </si>
  <si>
    <t>Seabird bycatch estimation; Albatrosses; Petrels; Pelagic longline; South Atlantic Ocean</t>
  </si>
  <si>
    <t>WHITE-CHINNED PETRELS; PROCELLARIA-AEQUINOCTIALIS; SEABIRD BYCATCH; REGRESSION TREES; FALKLAND ISLANDS; BY-CATCH; MORTALITY; CONSERVATION; POPULATION; GEORGIA</t>
  </si>
  <si>
    <t>The black-browed (Thalassarche melanophrys) and Atlantic yellow-nosed (Thalassarche chlororhynchos) albatrosses and the white-chinned petrel (Procellaria aequinoctialis) are the seabird species most frequently captured by pelagic longline fisheries in the southwest Atlantic. This study estimates this type of bycatch and describes the spatial-temporal patterns of the incidental capture of these species by the Uruguayan pelagic longline fleet, based on data collected by scientific observers on 47 fishing trips from 2004 to 2007. Three generalized linear models (GLM) models were employed to predict bycatch for each species based on the observed data. We also developed a spatio-temporal species-specific analysis. Captures were recorded in Uruguayan waters, mainly over the slope and depth waters, and in international waters adjacent to Uruguay, the north of Argentina, and the south of Brazil. The highest catch rates for black-browed albatrosses and white-chinned petrels were recorded on the Uruguayan slope from fall to spring, while the highest values for Atlantic yellow-nosed albatrosses were recorded further to the north, in the international waters off Brazil in late winter. The average estimated number of black-browed and Atlantic yellow-nosed albatrosses and white-chinned petrels caught during the study period was 1683, 257 and 239 birds, respectively. Taking into account the total effort of the fleet, these values represent an estimated catch rate of 0.276, 0.042, and 0.039 birds/1000 hooks for these species, respectively. The results of the present study suggest that the annual impact of this fishery is medium to high on the black-browed albatross, low on the Atlantic yellow-nosed albatross and low on the white-chinned petrel. However, the situation of these species in the southwest Atlantic should be viewed with considerable concern, as our understanding of the impact of the bycatch on their populations requires more research. Any effort to reduce seabird mortality in the southern hemisphere should target this geographic region.</t>
  </si>
  <si>
    <t>[Jimenez, Sebastian; Abreu, Martin; Domingo, Andres] Proyecto Albatros &amp; Petreles Uruguay, El Pinar, Canelones, Uruguay; [Jimenez, Sebastian; Abreu, Martin; Pons, Maite; Domingo, Andres] Direcc Nacl Recursos Acuat, Montevideo, Uruguay; [Jimenez, Sebastian; Pons, Maite] Univ Republica, Fac Ciencias, Secc Ecol, Montevideo 4225, Uruguay; [Ortiz, Mauricio] SE Fisheries Sci Ctr, Natl Marine Fisheries Serv, Miami Lab, Miami, FL 33149 USA</t>
  </si>
  <si>
    <t>Universidad de la Republica, Uruguay; National Oceanic Atmospheric Admin (NOAA) - USA</t>
  </si>
  <si>
    <t>Domingo, A (corresponding author), Proyecto Albatros &amp; Petreles Uruguay, Ave Giannattasio Km 30-500, El Pinar, Canelones, Uruguay.</t>
  </si>
  <si>
    <t>adomingo@dinara.gub.uy</t>
  </si>
  <si>
    <t>Jimenez, Sebastian Jimenez S/K-6168-2017; Jimenez, Sebastian/JMC-9419-2023</t>
  </si>
  <si>
    <t>Jimenez, Sebastian/0000-0003-3945-4619</t>
  </si>
  <si>
    <t>Pelagic Resources Department (DINARA); International Association of Antarctic Tour Operators (IAATO); Birds Australia; Birdlife International</t>
  </si>
  <si>
    <t>The authors would like to thank the boat owners of the Uruguayan fleet and their crews for their continued cooperation, as well as the PNOFA observers. We express our gratitude to our colleagues of the Pelagic Resources Department (DINARA) for their continued support. Proyecto Albatros y Petreles-Uruguay would like to thank the International Association of Antarctic Tour Operators (IAATO), Birds Australia, and Birdlife International's Save the Albatross campaign, for funding the program  Conservation of Albatrosses and Petrels in Uruguay. Special thanks go to Caren Barcelo for the translation; Stella Weng and L. E. Fleming for the comments and translation review. We would also like to express our recognition towards the anonymous referees whose comments and recommendations helped us to improve this paper.</t>
  </si>
  <si>
    <t>0990-7440</t>
  </si>
  <si>
    <t>1765-2952</t>
  </si>
  <si>
    <t>AQUAT LIVING RESOUR</t>
  </si>
  <si>
    <t>Aquat. Living Resour.</t>
  </si>
  <si>
    <t>JAN-MAR</t>
  </si>
  <si>
    <t>10.1051/alr/2010002</t>
  </si>
  <si>
    <t>571QX</t>
  </si>
  <si>
    <t>WOS:000275770700005</t>
  </si>
  <si>
    <t>Jeglinski, JWE; Mueller, B; Pörschmann, U; Trillmich, F</t>
  </si>
  <si>
    <t>Jeglinski, Jana W. E.; Mueller, Birte; Poerschmann, Ulrich; Trillmich, Fritz</t>
  </si>
  <si>
    <t>Field-Based Age Estimation of Juvenile Galapagos Sea Lions (Zalophus wollebaeki) Using Morphometric Measurements</t>
  </si>
  <si>
    <t>AQUATIC MAMMALS</t>
  </si>
  <si>
    <t>age estimation; field method; tooth measurements; general linear models; Galapagos sea lion; Zalophus wollebaeki</t>
  </si>
  <si>
    <t>ANTARCTIC FUR SEALS; PHOCA-VITULINA; EUMETOPIAS-JUBATUS; HALICHOERUS-GRYPUS; DIVING BEHAVIOR; GROWTH; ANESTHESIA; ONTOGENY; PUPS; CALIFORNIANUS</t>
  </si>
  <si>
    <t>Information about the age of juvenile pinnipeds is necessary for an understanding of ontogeny-specific patterns and strategies. Exact age determination of juvenile cohorts from wild populations is best achieved through birth observations and subsequent marking, but this involves a considerable time lag during which juveniles mature. A combination of body and teeth measurements of known-age Galapagos sea lion juveniles taken during brief routine captures in the field was used to create age prediction models. Several general linear models (GLMs) produced reliable age estimates for male and female juveniles up to an age of 2 y. Teeth measurements were important predictors of age: male age was best estimated using upper canine length (CL), mass, and girth, while the best predictors for female age were CL, canine width (CW), body length (SL), body mass, and an interaction between CL and CW. The presented method of aging wild unmarked juveniles in the field is applicable during routine captures, requires little equipment, and yields a considerable increase of information for studies involving brief sampling periods in the field. We suggest its adjustment, testing, and application in studies of juveniles of other species.</t>
  </si>
  <si>
    <t>[Jeglinski, Jana W. E.; Mueller, Birte; Poerschmann, Ulrich; Trillmich, Fritz] Univ Bielefeld, Dept Anim Behav, D-33615 Bielefeld, Germany</t>
  </si>
  <si>
    <t>University of Bielefeld</t>
  </si>
  <si>
    <t>Jeglinski, JWE (corresponding author), Univ Bielefeld, Dept Anim Behav, Morgenbreede 45, D-33615 Bielefeld, Germany.</t>
  </si>
  <si>
    <t>jjeglinski@uni-bielefeld.de</t>
  </si>
  <si>
    <t>German Research Foundation [TR 105/18]</t>
  </si>
  <si>
    <t>German Research Foundation(German Research Foundation (DFG))</t>
  </si>
  <si>
    <t>We thank Kathiuska Torres-Palma and Juan Pablo Munoz for their help in the field. The Galapagos National Park permitted the study, and the Charles Darwin Research Station gave logistical support. Three anonymous reviewers greatly helped to clarify the manuscript. This study was funded by the German Research Foundation under Grant No. TR 105/18.</t>
  </si>
  <si>
    <t>EUROPEAN ASSOC AQUATIC MAMMALS</t>
  </si>
  <si>
    <t>MOLINE</t>
  </si>
  <si>
    <t>C/O DR JEANETTE THOMAS, BIOLOGICAL SCIENCES, WESTERN ILLIONIS UNIV-QUAD CITIES, 3561 60TH STREET, MOLINE, IL 61265 USA</t>
  </si>
  <si>
    <t>0167-5427</t>
  </si>
  <si>
    <t>AQUAT MAMM</t>
  </si>
  <si>
    <t>Aquat. Mamm.</t>
  </si>
  <si>
    <t>10.1578/AM.36.3.2010.262</t>
  </si>
  <si>
    <t>670UJ</t>
  </si>
  <si>
    <t>WOS:000283452500005</t>
  </si>
  <si>
    <t>Powell, SM; Stark, JS; Snape, I; Woolfenden, ENM; Bowman, JP; Riddle, MJ</t>
  </si>
  <si>
    <t>Powell, Shane M.; Stark, Jonathan S.; Snape, Ian; Woolfenden, Ellen N. M.; Bowman, John P.; Riddle, Martin J.</t>
  </si>
  <si>
    <t>Effects of diesel and lubricant oils on Antarctic benthic microbial communities over five years</t>
  </si>
  <si>
    <t>AQUATIC MICROBIAL ECOLOGY</t>
  </si>
  <si>
    <t>Biodegradable lubricant; Synthetic lubricant; Diesel; T-RFLP; Bacteria</t>
  </si>
  <si>
    <t>PRINCE-WILLIAM-SOUND; BACTERIAL COMMUNITIES; MARINE-SEDIMENTS; CRUDE-OIL; PETROLEUM-HYDROCARBONS; CASEY-STATION; BIODEGRADATION; CONTAMINATION; TOXICITY; SPILL</t>
  </si>
  <si>
    <t>A 5 yr field experiment was carried out comparing the effects of Special Antarctic Blend (SAB) diesel, synthetic lubricant (Mobil 0W40), used synthetic lubricant (used Mobil 0W40) and a biodegradable lubricant (Titan GT1) on Antarctic benthic microbial communities. Sediment from an uncontaminated site was collected, spiked with one of the oils and deployed in O'Brien Bay, East Antarctica. Sediment samples were then collected over 5 yr. All the oils caused changes in the microbial community in the top 1 cm of sediment, as determined by 16S ribosomal ribonucleic acid (rRNA) gene-based terminal restriction fragment length polymorphism analysis. The greatest effect was observed in the SAB diesel treatment. The biodegradable oil did not have a significant effect on the communities initially, but the communities present at 2 and 5 yr were significantly different to the controls. The unused and used lubricants were both significantly different to the control treatment. All the oils degraded, with 39% of the SAB, 15% of the unused lubricant, 15% of the used lubricant and 12% of the biodegradable oil, remaining after 5 yr. These results show that the effects of all these oils will be evident in the Antarctic benthic ecosystem for longer than 5 yr. This highlights the need for studies into the longevity and ecotoxicology of oil products in the Antarctic environment.</t>
  </si>
  <si>
    <t>[Powell, Shane M.; Stark, Jonathan S.; Snape, Ian; Riddle, Martin J.] Australian Antarctic Div, Dept Environm Water Heritage &amp; Arts, Kingston, Tas 7050, Australia; [Powell, Shane M.; Bowman, John P.] Univ Tasmania, Tasmanian Inst Agr Sci, Hobart, Tas 7001, Australia; [Woolfenden, Ellen N. M.] Macquarie Univ, Dept Earth &amp; Planetary Sci, Sydney, NSW 2019, Australia</t>
  </si>
  <si>
    <t>Australian Antarctic Division; University of Tasmania; Macquarie University</t>
  </si>
  <si>
    <t>Powell, SM (corresponding author), Australian Antarctic Div, Dept Environm Water Heritage &amp; Arts, Channel Highway, Kingston, Tas 7050, Australia.</t>
  </si>
  <si>
    <t>shane.powell@utas.edu.au</t>
  </si>
  <si>
    <t>Powell, Shane M/C-2391-2014; Bowman, John P./ABF-5108-2020; Stark, Jonathan/ABF-4025-2020; Bowman, John P/C-2414-2014</t>
  </si>
  <si>
    <t>Bowman, John P./0000-0002-4528-9333; Stark, Jonathan/0000-0002-4268-8072; Bowman, John P/0000-0002-4528-9333; Powell, Shane/0000-0001-5082-1630</t>
  </si>
  <si>
    <t>Australian Antarctic Science [2201, 2672, 1163]</t>
  </si>
  <si>
    <t>Australian Antarctic Science</t>
  </si>
  <si>
    <t>This work was supported by Australian Antarctic Science grants 2201, 2672 and 1163. The authors thank the many members of the Casey dive teams for their efforts over the 5 yr of this project.</t>
  </si>
  <si>
    <t>0948-3055</t>
  </si>
  <si>
    <t>AQUAT MICROB ECOL</t>
  </si>
  <si>
    <t>Aquat. Microb. Ecol.</t>
  </si>
  <si>
    <t>10.3354/ame01441</t>
  </si>
  <si>
    <t>677PT</t>
  </si>
  <si>
    <t>WOS:000284005000002</t>
  </si>
  <si>
    <t>Verleyen, E; Sabbe, K; Hodgson, DA; Grubisic, S; Taton, A; Cousin, S; Wilmotte, A; De Wever, A; Van der Gucht, K; Vyverman, W</t>
  </si>
  <si>
    <t>Verleyen, Elie; Sabbe, Koen; Hodgson, Dominic A.; Grubisic, Stana; Taton, Arnaud; Cousin, Sylvie; Wilmotte, Annick; De Wever, Aaike; Van der Gucht, Katleen; Vyverman, Wim</t>
  </si>
  <si>
    <t>Structuring effects of climate-related environmental factors on Antarctic microbial mat communities</t>
  </si>
  <si>
    <t>Antarctica; Climate change; Lake; Microbial mats; DGGE</t>
  </si>
  <si>
    <t>MCMURDO DRY VALLEYS; SEDIMENT DIATOM ASSEMBLAGES; ICE SHELF; EAST ANTARCTICA; LARSEMANN HILLS; SALINE LAKES; FRESH-WATER; RAUER ISLANDS; DIVERSITY; PENINSULA</t>
  </si>
  <si>
    <t>Both ground-based and satellite data show that parts of Antarctica have entered a period of rapid climate change, which already affects the functioning and productivity of limnetic ecosystems. To predict the consequences of future climate anomalies for lacustrine microbial communities, we not only need better baseline information on their biodiversity but also on the climate-related environmental factors structuring these communities. Here we applied denaturing gradient gel electrophoresis (DGGE) of the small subunit ribosomal DNA (SSU rDNA) to assess the genetic composition and distribution of Cyanobacteria and eukaryotes in 37 benthic microbial mat: samples from east Antarctic lakes. The lakes were selected to span a wide range of environmental gradients governed by differences in lake morphology and chemical limnology across 5 ice-free oases. Sequence analysis of selected DGGE bands revealed a high degree of potential endemism among the Cyanobacteria (mainly represented by Oscillatoriales and Nostocales), and the presence of a variety of protists (alveolates, stramenopiles and green algae), fungi, tardigrades and nematodes, which corroborates previous microscopy-based observations. Variation partitioning analyses revealed that the microbial mat community structure is largely regulated by both geographical and local environmental factors of which salinity (and related variables), lake water depth and nutrient concentrations are of major importance. These 3 groups of environmental variables have previously been shown to change drastically in Antarctica in response to climate change. Together, these results have obvious consequences for predicting the trajectory of biodiversity under changing climate conditions and call for the continued assessment of the biodiversity of these unique ecosystems.</t>
  </si>
  <si>
    <t>[Verleyen, Elie; Sabbe, Koen; Cousin, Sylvie; De Wever, Aaike; Van der Gucht, Katleen; Vyverman, Wim] Univ Ghent, Dept Biol, Protistol &amp; Aquat Ecol, B-9000 Ghent, Belgium; [Hodgson, Dominic A.] British Antarctic Survey, Nat Environm Res Council, Cambridge CB3 0ET, England; [Grubisic, Stana; Taton, Arnaud; Wilmotte, Annick] Univ Liege, Inst Chem B6, Ctr Prot Engn, B-4000 Liege, Belgium</t>
  </si>
  <si>
    <t>Ghent University; UK Research &amp; Innovation (UKRI); Natural Environment Research Council (NERC); NERC British Antarctic Survey; University of Liege</t>
  </si>
  <si>
    <t>Verleyen, E (corresponding author), Univ Ghent, Dept Biol, Protistol &amp; Aquat Ecol, Krijgslaan 281-S8, B-9000 Ghent, Belgium.</t>
  </si>
  <si>
    <t>elie.verleyen@ugent.be</t>
  </si>
  <si>
    <t>De Wever, Aaike/A-4691-2009; Wilmotte, Annick/H-1686-2011</t>
  </si>
  <si>
    <t>Wilmotte, Annick/0000-0003-3546-3489</t>
  </si>
  <si>
    <t>EU; Belgian Federal Science Policy (Bel-SPO); Fund for Scientific Research Flanders, Belgium (FWO); Fund for Research Formation in Industry and Agriculture (FRIA, Belgium); NERC [bas010016, bas0100024] Funding Source: UKRI; Natural Environment Research Council [bas010016, bas0100024] Funding Source: researchfish</t>
  </si>
  <si>
    <t>EU(European Union (EU)); Belgian Federal Science Policy (Bel-SPO)(Belgian Federal Science Policy Office); Fund for Scientific Research Flanders, Belgium (FWO)(FWO); Fund for Research Formation in Industry and Agriculture (FRIA, Belgium)(Fonds de la Recherche Scientifique - FNRS); NERC(UK Research &amp; Innovation (UKRI)Natural Environment Research Council (NERC)); Natural Environment Research Council(UK Research &amp; Innovation (UKRI)Natural Environment Research Council (NERC))</t>
  </si>
  <si>
    <t>This research was funded by the EU project MICROMAT and the Belgian Federal Science Policy (Bel-SPO) project AMBIO 'Antarctic Microbial Biodiversity: the importance of geographical and ecological factors'. E.V. is a postdoctoral research fellow of the Fund for Scientific Research Flanders, Belgium (FWO). A.T. was funded by the Fund for Research Formation in Industry and Agriculture (FRIA, Belgium). A.W. was Research Associate of the National Fund for Scientific Research FNRS. We thank K. Welch, P. Noon, W. Quayle, J. Laybourn-Parry. G. Murtagh, P. Dyer, T. Henshaw and I. Janse, who collected the samples. The material was collected with the support of the Long Term Ecosystem Research Program (LTER) and the Australian Antarctic Division (ASAC project 2112). We thank 3 anonymous reviewers and R. De Wit for constructive comments on an earlier version of the manuscript.</t>
  </si>
  <si>
    <t>1616-1564</t>
  </si>
  <si>
    <t>10.3354/ame01378</t>
  </si>
  <si>
    <t>588FT</t>
  </si>
  <si>
    <t>Green Published, Green Submitted, Bronze</t>
  </si>
  <si>
    <t>WOS:000277054100002</t>
  </si>
  <si>
    <t>Llabrés, M; Agustí, S</t>
  </si>
  <si>
    <t>Llabres, Moira; Agusti, Susana</t>
  </si>
  <si>
    <t>Effects of ultraviolet radiation on growth, cell death and the standing stock of Antarctic phytoplankton</t>
  </si>
  <si>
    <t>UVR; Phytoplankton; Antarctica; Growth; Cell death; Standing stock</t>
  </si>
  <si>
    <t>MARINE MICROBIAL COMMUNITY; AMBIENT UV-RADIATION; OZONE DEPLETION; SOLAR-RADIATION; AMINO-ACIDS; B RADIATION; PHOTOSYNTHESIS; DIATOMS; WATERS; ASSEMBLAGES</t>
  </si>
  <si>
    <t>We performed a series of experiments with Antarctic natural phytoplankton communities exposed to natural levels of solar radiation in order to quantify the effect of ambient ultraviolet radiation (UVR) on phytoplankton growth, cell death and their balance. Treatments in which UVR was excluded showed a high increase in biomass, dominated by diatoms, with chl a (chlorophyll a) reaching values as high as 22 mu g l(-1), 9 times larger than initial values. In contrast, chl a values remained low at the end of the experiments under treatments with full solar radiation. Phytoplankton growth rates were also inhibited by UVR, increasing up to 5 times in UVR-excluded treatments. The percentage of dead cells within Antarctic phytoplankton communities decreased in treatments with UVR blocked. The Antarctic phytoplankton populations studied appeared to be strongly controlled by UV at surface irradiances with biomasses inhibited by up to 80-90%. This suggests that increased UVR levels over Antarctica may reduce phytoplankton growth rates and cause cell death, thus reducing the phytoplankton stock. These effects may have important consequences for the food web in Antarctic waters.</t>
  </si>
  <si>
    <t>[Llabres, Moira; Agusti, Susana] UIB, Dept Global Change Res, IMEDEA, Inst Mediterraneo Estudios Avanzados,CSIC, Esporles 07190, Mallorca, Spain</t>
  </si>
  <si>
    <t>Universitat de les Illes Balears; Consejo Superior de Investigaciones Cientificas (CSIC); ATTITUS Educacao</t>
  </si>
  <si>
    <t>Llabrés, M (corresponding author), UIB, Dept Global Change Res, IMEDEA, Inst Mediterraneo Estudios Avanzados,CSIC, Miguel Marques 21, Esporles 07190, Mallorca, Spain.</t>
  </si>
  <si>
    <t>moira.llabres@uib.es</t>
  </si>
  <si>
    <t>Agusti, Susana/H-8421-2012; Agusti, Susana/G-2864-2017</t>
  </si>
  <si>
    <t>Agusti, Susana/0000-0003-0536-7293</t>
  </si>
  <si>
    <t>Spanish Ministry of Education and Science [REN2002-04165-C03-02/ANT, POL2006-00550]; EC</t>
  </si>
  <si>
    <t>Spanish Ministry of Education and Science(Spanish Government); EC(European Union (EU)European Commission Joint Research Centre)</t>
  </si>
  <si>
    <t>This is a contribution to the project ICEPOS (REN2002-04165-C03-02/ANT) funded by the Spanish Ministry of Education and Science and to the project ATOS (POL2006-00550). M.L. was supported by the special action REN2002-10871-E/ANT and by the EC project THRESHOLDS. We thank the BIG Hesperides crew and technical UTM personnel for assistance (ICEPOS-2005 cruise) and at the BAE Juan Carlos I, during the ICEPOS-2004 study. We are also grateful to R. Martinez and N. Carrillo for sampling assistance, to I. Reche for help at ICEPOS-1 cruise and C. M. Duarte for his contribution of nutrient data and valuable comments on the manuscript.</t>
  </si>
  <si>
    <t>10.3354/ame01392</t>
  </si>
  <si>
    <t>590UJ</t>
  </si>
  <si>
    <t>WOS:000277253400004</t>
  </si>
  <si>
    <t>Rapp, D</t>
  </si>
  <si>
    <t>Rapp, Donald</t>
  </si>
  <si>
    <t>Historical variations in the Earth's climate</t>
  </si>
  <si>
    <t>ASSESSING CLIMATE CHANGE: TEMPERATURES, SOLAR RADIATION, AND HEAT BALANCE, SECOND EDITION</t>
  </si>
  <si>
    <t>WATER-VAPOR FEEDBACK; SOLAR IRRADIANCE VARIATIONS; NORTH-ATLANTIC CLIMATE; ARCTIC SEA-ICE; SURFACE AIR-TEMPERATURE; GROUP SUNSPOT NUMBERS; ATMOSPHERIC CO2; ANTARCTIC ICE; LAST MILLENNIUM; PAST MILLENNIUM</t>
  </si>
  <si>
    <t>Univ So Calif, Pasadena, CA USA</t>
  </si>
  <si>
    <t>Rapp, D (corresponding author), Univ So Calif, Pasadena, CA USA.</t>
  </si>
  <si>
    <t>PRAXIS PUBLISHING LTD</t>
  </si>
  <si>
    <t>W SUSSEX</t>
  </si>
  <si>
    <t>WHITE HOUSE EASTERGATE, CHICHESTER, W SUSSEX PO20 6UR, ENGLAND</t>
  </si>
  <si>
    <t>978-3-642-01987-6</t>
  </si>
  <si>
    <t>BNZ63</t>
  </si>
  <si>
    <t>WOS:000275953100001</t>
  </si>
  <si>
    <t>Alcazar, A; Garcia-Descalzo, L; Cid, C</t>
  </si>
  <si>
    <t>Hegedus, S; Csonka, J</t>
  </si>
  <si>
    <t>Alcazar, Alberto; Garcia-Descalzo, Laura; Cid, Cristina</t>
  </si>
  <si>
    <t>MICROBIAL EVOLUTION AND ADAPTATION IN ICY WORLDS</t>
  </si>
  <si>
    <t>ASTROBIOLOGY: PHYSICAL ORIGIN, BIOLOGICAL EVOLUTION AND SPATIAL DISTRIBUTION</t>
  </si>
  <si>
    <t>Space Science Exploration and Policy</t>
  </si>
  <si>
    <t>cold adaptation; permafrost; extremophiles; psychrophiles; microbial evolution; microbial ecology; biodiversity; molecular mechanisms; polyunsaturated fatty acids; heat shock proteins; cold shock proteins; protein interactions</t>
  </si>
  <si>
    <t>SEA-ICE; LIFE; PROTEIN; OCEAN; CHAPERONES; ECOSYSTEM; EUROPA; ENERGY</t>
  </si>
  <si>
    <t>There is considerable interest in astrobiology in investigating icy worlds and the microbial forms that thrive in extreme environments, especially under those cold conditions that can provide a model for some extraterrestrial environments. After the successful missions Galileo and Cassini-Huygens to Jupiter and Saturn systems respectively this priority has been focused on the research of environments potentially habitable in some icy worlds such as Europa, Encelado or Titan. On Earth, the recent discovery of cold-tolerant microorganisms in glaciated and permanently frozen environments has broadened the known range of environmental conditions which support microbial life. These microorganisms, known as psychrophiles are defined as organisms having an optimal temperature for growth at about 15 degrees C or lower, a maximal temperature for growth at about 20 degrees C, and a minimal temperature for growth at 0 degrees C or below. The lowest temperature limit for life seems to be around -20 degrees C, which is the value reported for bacteria living in permafrost soil and in sea ice. Terrestrial models of extraterrestrial icy worlds are being intensively studied. Among them, bacterial communities from Arctic and Antarctic permafrost, subglacial lakes and high mountains are considered representative of these environments in which psychrophile bacteria are the unique inhabitants. When compared to other known prokaryotes, psychrophilic bacteria posses many unique qualities and molecular mechanisms that allow their adaptation to cold environments. In this regard, some psychrophiles have been found to contain polyunsaturated fatty acids in their plasma membranes, which generally do not occur in other prokaryotes. Further, some of them use enzymes that continue to function at near freezing ambient temperatures. And finally, psychrophilic bacteria are able to produce proteins that are stable at cold temperatures such as heat shock proteins (Hsps) and cold shock proteins (Csps). This chapter will review the general trends concerning the biodiversity and ecology of psychrophilic microorganisms and their molecular mechanisms of adaptation and evolution, as well as summarize our latest results on this topic in samples from icy environments.</t>
  </si>
  <si>
    <t>[Garcia-Descalzo, Laura; Cid, Cristina] CSIC INTA, Microbial Evolut Lab, Ctr Astrobiol, Madrid 28850, Spain; [Alcazar, Alberto] Hosp Ramon &amp; Cajal, Dept Invest, E-28034 Madrid, Spain</t>
  </si>
  <si>
    <t>Consejo Superior de Investigaciones Cientificas (CSIC); CSIC - Centro de Astrobiologia (INTA); Hospital Universitario Ramon y Cajal</t>
  </si>
  <si>
    <t>Cid, C (corresponding author), CSIC INTA, Microbial Evolut Lab, Ctr Astrobiol, Madrid 28850, Spain.</t>
  </si>
  <si>
    <t>cidsc@inta.es</t>
  </si>
  <si>
    <t>García-Descalzo, Laura/S-2777-2018; Cid, Cristina/R-6821-2018</t>
  </si>
  <si>
    <t>García-Descalzo, Laura/0000-0002-0083-6786; Cid, Cristina/0000-0001-5128-4558</t>
  </si>
  <si>
    <t>978-1-60741-290-8</t>
  </si>
  <si>
    <t>SPACE SCI EXPLOR POL</t>
  </si>
  <si>
    <t>BPT66</t>
  </si>
  <si>
    <t>WOS:000279874100004</t>
  </si>
  <si>
    <t>Cui, CZ; He, BL; Yang, Y; Zhao, YH</t>
  </si>
  <si>
    <t>Mizumoto, Y; Morita, KI; Ohishi, M</t>
  </si>
  <si>
    <t>Cui, Chenzhou; He, Boliang; Yang, Yang; Zhao, Yongheng</t>
  </si>
  <si>
    <t>A VO-Driven Astronomical Data Grid in China</t>
  </si>
  <si>
    <t>ASTRONOMICAL DATA ANALYSIS SOFTWARE AND SYSTEMS XIX</t>
  </si>
  <si>
    <t>Astronomical Society of the Pacific Conference Series</t>
  </si>
  <si>
    <t>19th Annual Conference on Astronomical Data Analysis Software and Systems</t>
  </si>
  <si>
    <t>OCT 04-08, 2009</t>
  </si>
  <si>
    <t>Sapporo, JAPAN</t>
  </si>
  <si>
    <t>With the implementation of many ambitious observation projects, including LAMOST, FAST, and Antarctic observatory at Doom A, observational astronomy in China is stepping into a brand new era with emerging data avalanche. In the era of e-Science, both these cutting-edge projects and traditional astronomy research need much more powerful data management, sharing and interoperability. Based on data-grid concept, taking advantages of the IVOA interoperability technologies, China-VU is developing a VU-driven astronomical data grid environment to enable multi-wavelength science and large database science. In the paper, latest progress and data flow of the LAMOST, architecture of the data grid, and its supports to the VU are discussed.</t>
  </si>
  <si>
    <t>[Cui, Chenzhou; He, Boliang; Yang, Yang; Zhao, Yongheng] CAS, Natl Astron Observ, Beijing, Peoples R China</t>
  </si>
  <si>
    <t>Chinese Academy of Sciences; National Astronomical Observatory, CAS</t>
  </si>
  <si>
    <t>Cui, CZ (corresponding author), CAS, Natl Astron Observ, Beijing, Peoples R China.</t>
  </si>
  <si>
    <t>Zhao, Yongheng/L-7660-2019</t>
  </si>
  <si>
    <t>Zhao, Yongheng/0000-0001-5298-2833</t>
  </si>
  <si>
    <t>ASTRONOMICAL SOC PACIFIC</t>
  </si>
  <si>
    <t>390 ASHTON AVE, SAN FRANCISCO, CA 94112 USA</t>
  </si>
  <si>
    <t>978-1-58381-748-3</t>
  </si>
  <si>
    <t>ASTR SOC P</t>
  </si>
  <si>
    <t>Astronomy &amp; Astrophysics; Computer Science, Interdisciplinary Applications</t>
  </si>
  <si>
    <t>Astronomy &amp; Astrophysics; Computer Science</t>
  </si>
  <si>
    <t>BUU27</t>
  </si>
  <si>
    <t>WOS:000290361300033</t>
  </si>
  <si>
    <t>Uprety, S; Cao, CY</t>
  </si>
  <si>
    <t>Goldberg, MD; Bloom, HJ</t>
  </si>
  <si>
    <t>Uprety, Sirish; Cao, Changyong</t>
  </si>
  <si>
    <t>A Comparison of the Antarctic Dome C and Sonoran Desert Sites for the Cal/Val of Visible and Near Infrared Radiometers</t>
  </si>
  <si>
    <t>ATMOSPHERIC AND ENVIRONMENTAL REMOTE SENSING DATA PROCESSING AND UTILIZATION VI: READINESS FOR GEOSS IV</t>
  </si>
  <si>
    <t>Proceedings of SPIE</t>
  </si>
  <si>
    <t>Conference on Atmospheric and Environmental Remote Sensing Data Processing and Utilization VI - Readiness for GEOSS IV</t>
  </si>
  <si>
    <t>AUG 01, 2010</t>
  </si>
  <si>
    <t>San Diego, CA</t>
  </si>
  <si>
    <t>Dome C; Sonoran Desert; BRDF; Hyperion; Antarctic snow reflectance; AVHRR; radiometric stability; spectral characterization</t>
  </si>
  <si>
    <t>HIGH-RESOLUTION RADIOMETER; CALIBRATION; CHANNELS; SURFACE</t>
  </si>
  <si>
    <t>Stable earth sites are essential for comparing the measurements from different satellite instruments in the visible and near-infrared in order to maintain the consistency of radiometric calibration, and for quantifying the sensor degradation over time. This study focuses on the radiometric and spectral characterization and comparison between two potential calibration sites, Dome C and Sonoran Desert. The long-term TOA reflectance time series analysis using MODIS observation shows that the radiometric stability of Dome C and Sonoran Desert is better than 2% over the period of 8 years. The study also shows that Dome C is much affected by seasonal variation due to bi-directional reflection, compared to the Sonoran Desert, although the BRDF normalization reduced the uncertainty of Dome C observations to less than 2% for both the visible and NIR band. For AVHRR band 2, at Sonoran Desert, a large variability (&gt;6%) is observed compared to that of MODIS (&lt;2%) due to water vapor absorption. The spectral characteristics of these sites studied using EO-1 Hyperion sensor further show the water vapor absorption differences at the two sites. Nevertheless, the operationally calibrated AVHRR TOA reflectance at both Dome C and Sonoran Desert are significantly lower than that of MODIS, primarily due to calibration traceability issues. The study suggests that, both Dome C and Sonoran Desert sites can be used for postlaunch calibration/validation of the visible/near-infrared bands with uncertainty less than 2% excluding channels affected by water vapor.</t>
  </si>
  <si>
    <t>[Uprety, Sirish] Perot Syst Govt Serv, Fairfax, VA 22031 USA; [Cao, Changyong] NOAA, NESDIS, STAR, Camp Springs, MD 20746 USA</t>
  </si>
  <si>
    <t>Uprety, S (corresponding author), Perot Syst Govt Serv, Fairfax, VA 22031 USA.</t>
  </si>
  <si>
    <t>Cao, Changyong/AAP-7605-2021</t>
  </si>
  <si>
    <t>Cao, Changyong/0000-0003-3572-6525</t>
  </si>
  <si>
    <t>NPP cal/val program</t>
  </si>
  <si>
    <t>This study is partially funded by the NPP cal/val program. The authors would like to thank Drs. Xiangqian.Wu, Fangfang.Yu, and Robert Iacovazzi for their review with valuable comments. The manuscript contents are solely the opinions of the authors and do not constitute a statement of policy, decision, or position on behalf of NOAA or the U.S. government.</t>
  </si>
  <si>
    <t>1996-756X</t>
  </si>
  <si>
    <t>978-0-81948-307-2</t>
  </si>
  <si>
    <t>PROC SPIE</t>
  </si>
  <si>
    <t>10.1117/12.859148</t>
  </si>
  <si>
    <t>Meteorology &amp; Atmospheric Sciences; Remote Sensing</t>
  </si>
  <si>
    <t>BSU60</t>
  </si>
  <si>
    <t>WOS:000285830200004</t>
  </si>
  <si>
    <t>Dai, XG; Wang, P</t>
  </si>
  <si>
    <t>Dai Xin-Gang; Wang Ping</t>
  </si>
  <si>
    <t>Zonal Mean Mode of Global Warming over the Past 50 Years</t>
  </si>
  <si>
    <t>ATMOSPHERIC AND OCEANIC SCIENCE LETTERS</t>
  </si>
  <si>
    <t>global warming; zonal mean mode; reanalysis; analysis data; bias</t>
  </si>
  <si>
    <t>SURFACE AIR-TEMPERATURE; SOUTHERN-HEMISPHERE; CLIMATE; VARIABILITY; ERA-40; TRENDS</t>
  </si>
  <si>
    <t>Zonal mean annual temperature trends were estimated using four reanalysis and three analysis grid datasets. The trends over land and for the entire globe were estimated from 1958-2001 and 1979-2007, respectively. Estimates of temperature trends over land from Climate Research Unit (CRU) analysis data indicate more intense warming moving northward, at a rate of about 3.5 degrees C per century at 65 degrees N, then declining further to the north. CRU estimates indicated dramatic warming over the latitudes of the Antarctic Peninsula, with a localized cooling trend at 45 degrees S. A global estimate was conducted by comparing estimates of the reanalysis datasets. Temperature distribution trends of the reanalysis data were similar to those generated by land observations but with large bias in the Polar Regions. The bias could be reduced by comparing these estimates with those from the analysis data at high latitudes. Extreme warming trends were estimated at rates of 2.9 degrees C-3.5 degrees C per century in the Arctic and 3.2 degrees C-4.7 degrees C per century in the Antarctic for 1958-2001. Surface warming was even more intense in the Northern Hemisphere for 1979-2007, with extreme arctic warming rates ranging from 8.5 degrees C-8.9 degrees C per century, as estimated by the analysis and reanalysis datasets. Trends over Antarctica for this period were contradictory, as Japan Meteorological Agency (JMA) reanalysis (JRA-25) indicated a cooling trend at about -7 degrees C per century, while other reanalysis datasets showed sharp warming over the continent.</t>
  </si>
  <si>
    <t>[Dai Xin-Gang] Chinese Acad Sci, Inst Atmospher Phys, Key Lab Reg Climate &amp; Environm Temperate East Asi, Beijing 100029, Peoples R China; [Wang Ping] Chinese Acad Meteorol Sci, Beijing 100081, Peoples R China</t>
  </si>
  <si>
    <t>Chinese Academy of Sciences; Institute of Atmospheric Physics, CAS; China Meteorological Administration; Chinese Academy of Meteorological Sciences (CAMS)</t>
  </si>
  <si>
    <t>Dai, XG (corresponding author), Chinese Acad Sci, Inst Atmospher Phys, Key Lab Reg Climate &amp; Environm Temperate East Asi, Beijing 100029, Peoples R China.</t>
  </si>
  <si>
    <t>daixg@tea.ac.cn</t>
  </si>
  <si>
    <t>National Natural Science Foundation of China [40775048]; National Basic Research Program of China [2006CB400504]; Key Projects in the National Science &amp; Technology Pillar Program [2007BAC294]</t>
  </si>
  <si>
    <t>National Natural Science Foundation of China(National Natural Science Foundation of China (NSFC)); National Basic Research Program of China(National Basic Research Program of China); Key Projects in the National Science &amp; Technology Pillar Program</t>
  </si>
  <si>
    <t>The authors extend sincere thanks to the two anonymous reviewers for their valuable suggestions. This study was jointly supported by the National Natural Science Foundation of China (Grant No. 40775048), the National Basic Research Program of China (Grant No. 2006CB400504), and Key Projects in the National Science &amp; Technology Pillar Program during the Eleventh Five-Year Plan Period (Grant No. 2007BAC294).</t>
  </si>
  <si>
    <t>KEAI PUBLISHING LTD</t>
  </si>
  <si>
    <t>16 DONGHUANGCHENGGEN NORTH ST, BEIJING, DONGCHENG DISTRICT 100717, PEOPLES R CHINA</t>
  </si>
  <si>
    <t>1674-2834</t>
  </si>
  <si>
    <t>2376-6123</t>
  </si>
  <si>
    <t>ATMOS OCEAN SCI LETT</t>
  </si>
  <si>
    <t>Atmos. Ocean. Sci. Lett.</t>
  </si>
  <si>
    <t>10.1080/16742834.2010.11446835</t>
  </si>
  <si>
    <t>VC3JT</t>
  </si>
  <si>
    <t>WOS:000433682400009</t>
  </si>
  <si>
    <t>Wang, HJ; Zhang, Y</t>
  </si>
  <si>
    <t>Wang Hui-Jun; Zhang Ying</t>
  </si>
  <si>
    <t>Model Projections of East Asian Summer Climate under the 'Free Arctic' Scenario</t>
  </si>
  <si>
    <t>ice-free Arctic; East Asian monsoon; global warming; projections</t>
  </si>
  <si>
    <t>VARIABILITY; TELECONNECTIONS; MECHANISM</t>
  </si>
  <si>
    <t>This paper addresses the 'ice-free Arctic' issue under the future global warming scenario. Four coupled climate models used in the third phase of the Coupled Model Intercomparison Project (CMIP3) were selected to project summer climate conditions over East Asia once the Arctic becomes ice-free. The models project that an ice-free Arctic summer will begin in the 2060s under the SRESA1B (according to IPCC Special Reports on Emissions Scenarios) simulations. Our results show that the East Asian summer monsoons will tend to be stronger and that the water vapor transport to central northern China will be strengthened, leading to increased summer precipitation in central northern China. The models also project an intensified Antarctic Oscillation, a condition which favors increased precipitation in South China's Yangtze River Valley. The overall precipitation in Northwest China is projected to increase under ice-free Arctic summer conditions.</t>
  </si>
  <si>
    <t>[Wang Hui-Jun; Zhang Ying] Chinese Acad Sci, Inst Atmospher Phys, Nansen Zhu Int Res Ctr, Beijing 100029, Peoples R China; [Wang Hui-Jun; Zhang Ying] Chinese Acad Sci, Inst Atmospher Phys, Climate Change Res Ctr, Beijing 100029, Peoples R China</t>
  </si>
  <si>
    <t>Chinese Academy of Sciences; Institute of Atmospheric Physics, CAS; Chinese Academy of Sciences; Institute of Atmospheric Physics, CAS</t>
  </si>
  <si>
    <t>Wang, HJ (corresponding author), Chinese Acad Sci, Inst Atmospher Phys, Nansen Zhu Int Res Ctr, Beijing 100029, Peoples R China.</t>
  </si>
  <si>
    <t>wanghj@mail.iap.ac.cn</t>
  </si>
  <si>
    <t>National Basic Research Program of China (973 Program) [2009CB421406]; National Natural Science Foundation of China [40821092]; Chinese Academy of Sciences [KZCX2-YW-Q1-02, KZCX2-YW-Q11]</t>
  </si>
  <si>
    <t>National Basic Research Program of China (973 Program)(National Basic Research Program of China); National Natural Science Foundation of China(National Natural Science Foundation of China (NSFC)); Chinese Academy of Sciences(Chinese Academy of Sciences)</t>
  </si>
  <si>
    <t>This research was supported by the National Basic Research Program of China (973 Program) under Grant No. 2009CB421406, the National Natural Science Foundation of China under Grant 40821092, and the Chinese Academy of Sciences under Grants KZCX2-YW-Q1-02 and KZCX2-YW-Q11.</t>
  </si>
  <si>
    <t>16 DONGHUANGCHENGGEN NORTH ST, Building 5, Room 411, BEIJING, DONGCHENG DISTRICT 100009, PEOPLES R CHINA</t>
  </si>
  <si>
    <t>10.1080/16742834.2010.11446865</t>
  </si>
  <si>
    <t>VC3KC</t>
  </si>
  <si>
    <t>WOS:000433683400010</t>
  </si>
  <si>
    <t>Sun, JQ</t>
  </si>
  <si>
    <t>Sun Jian-Qi</t>
  </si>
  <si>
    <t>Possible Impact of the Boreal Spring Antarctic Oscillation on the North American Summer Monsoon</t>
  </si>
  <si>
    <t>Antarctic Oscillation; North American summer monsoon; tropical Atlantic sea surface temperature; prediction; Bermuda High</t>
  </si>
  <si>
    <t>This study examined the relationship between the boreal spring (April-May) Antarctic Oscillation (AAO) and the North American summer monsoon (NASM) (July-September) for the period of 1979-2008. The results show that these two systems are closely related. When the spring AAO was stronger than normal, the NASM tended to be weaker, and there was less rainfall over the monsoon region. The opposite NASM situation corresponded to a weaker spring AAO. Further analysis explored the possible mechanism for the delayed impact of the boreal spring AAO on the NASM. It was found that the tropical Atlantic sea surface temperature (SST) plays an important role in the connection between the two phenomena. The variability of the boreal spring AAO can produce anomalous SSTs over the tropical Atlantic. These SST anomalies can persist from spring to summer and can influence the Bermuda High, affecting water vapor transportation to the monsoon region. Through these processes, the boreal spring AAO exerts a significantly delayed impact on the amount of NASM precipitation. Thus, information about the boreal spring AAO is valuable for the prediction of the NASM.</t>
  </si>
  <si>
    <t>[Sun Jian-Qi] Chinese Acad Sci, Inst Atmospher Phys, Nansen Zhu Int Res Ctr, Beijing 100029, Peoples R China</t>
  </si>
  <si>
    <t>Sun, JQ (corresponding author), Chinese Acad Sci, Inst Atmospher Phys, Nansen Zhu Int Res Ctr, Beijing 100029, Peoples R China.</t>
  </si>
  <si>
    <t>Key Program of the Chinese Academy of Sciences [KZCX2-YW-Q03-3]; Special Scientific Research Fund of Meteorological Public Welfare Profession of China [GYHY200906018]; National Basic Research Program of China [2009CB421406]</t>
  </si>
  <si>
    <t>Key Program of the Chinese Academy of Sciences(Chinese Academy of Sciences); Special Scientific Research Fund of Meteorological Public Welfare Profession of China; National Basic Research Program of China(National Basic Research Program of China)</t>
  </si>
  <si>
    <t>NCEP-DOE_Reanalysis and OLR data were provided by the NOAA/OAR/ESRL PSD, Boulder, Colorado, USA, from their website at http://www.esrl.noaa.gov/psd/. The HadISST1 data were obtained from the website at www.metoffice.gov.uk/hadobs. This work was jointly supported by the Key Program of the Chinese Academy of Sciences (Grant No. KZCX2-YW-Q03-3), the Special Scientific Research Fund of Meteorological Public Welfare Profession of China (Grant No. GYHY200906018), and the National Basic Research Program of China (Grant No. 2009CB421406).</t>
  </si>
  <si>
    <t>10.1080/16742834.2010.11446870</t>
  </si>
  <si>
    <t>VC3KF</t>
  </si>
  <si>
    <t>WOS:000433683700009</t>
  </si>
  <si>
    <t>Zhang, ZY; Gong, DY; He, XZ; Lei, YN; Feng, SH</t>
  </si>
  <si>
    <t>Zhang Zi-Yin; Gong Dao-Yi; He Xue-Zhao; Lei Yang-Na; Feng Sheng-Hui</t>
  </si>
  <si>
    <t>Statistical Reconstruction of the Antarctic Oscillation Index Based on Multiple Proxies</t>
  </si>
  <si>
    <t>Antarctic Oscillation; reconstruction; proxy; interannual and interdecadal variability</t>
  </si>
  <si>
    <t>SOUTHERN ANNULAR MODE; SEA-LEVEL PRESSURE; RIVER VALLEY; PART I; VARIABILITY; HEMISPHERE; PRECIPITATION; CIRCULATION; TRENDS; YANGTZE</t>
  </si>
  <si>
    <t>Based on multiple proxies from the Southern Hemisphere, an austral summer (December-JanuaryFebruary: DJF) Antarctic Oscillation Index (AAO) since 1500 A. D. was reconstructed with a focus on interannual to interdecadal variability (&lt;50 a). By applying a multivariate regression method, the observational AAO-proxy relations were calibrated and cross-validated for the period of 1957. 89. The regressions were employed to compute the DJF-AAO index for 1500. 1956. To verify the results, the authors checked the explained variance (r(2)), the reduction of error (RE), and the standard error (SE). Cross-validation was performed by applying a leave-one-out validation method. Over the entire reconstruction period, the mean values of r(2), RE, and SE are 59.9%, 0.47, and 0.67, respectively. These statistics indicate that the DJF-AAO reconstruction is relatively skillful and reliable for the last similar to 460 years. The reconstructed AAO variations on the interannual and interdecadal time-scales compare favorably with those of several shorter sea level pressure (SLP)-based AAO indices. The leading periods of the DJF-AAO index over the last 500 years are similar to 2.4, similar to 2.6, similar to 6.3, similar to 24.1, and similar to 37.6 years, all of which are significant at the 95% level as estimated by power spectral analysis.</t>
  </si>
  <si>
    <t>[Zhang Zi-Yin; Gong Dao-Yi; He Xue-Zhao; Feng Sheng-Hui] Beijing Normal Univ, State Key Lab Earth Surface Proc &amp; Resource Ecol, Beijing 100875, Peoples R China; [Zhang Zi-Yin] Beijing Climate Ctr, Beijing 100089, Peoples R China; [Lei Yang-Na] Shaanxi Prov Climate Ctr, Xian 710014, Shaanxi, Peoples R China</t>
  </si>
  <si>
    <t>Beijing Normal University</t>
  </si>
  <si>
    <t>Zhang, ZY (corresponding author), Beijing Normal Univ, State Key Lab Earth Surface Proc &amp; Resource Ecol, Beijing 100875, Peoples R China.</t>
  </si>
  <si>
    <t>zzy_ahgeo@mail.bnu.edu.cn</t>
  </si>
  <si>
    <t>National Natural Science Foundation of China [40675035]; National High Technology Research and Development Program of China [2008AA121704]; National Key Technologies R&amp;D Program of China [2009BAC51B05]</t>
  </si>
  <si>
    <t>National Natural Science Foundation of China(National Natural Science Foundation of China (NSFC)); National High Technology Research and Development Program of China(National High Technology Research and Development Program of China); National Key Technologies R&amp;D Program of China(National Key Technology R&amp;D Program)</t>
  </si>
  <si>
    <t>This work was supported by the National Natural Science Foundation of China (Grant No. 40675035), the National High Technology Research and Development Program of China (Grant No. 2008AA121704), and the National Key Technologies R&amp;D Program of China (Grant No. 2009BAC51B05).</t>
  </si>
  <si>
    <t>10.1080/16742834.2010.11446883</t>
  </si>
  <si>
    <t>VC3KK</t>
  </si>
  <si>
    <t>WOS:000433684200008</t>
  </si>
  <si>
    <t>Lüers, J</t>
  </si>
  <si>
    <t>Lueers, J.</t>
  </si>
  <si>
    <t>The effect of misleading surface temperature estimations on the sensible heat fluxes at a high Arctic site - the Arctic Turbulence Experiment 2006 on Svalbard (ARCTEX-2006)</t>
  </si>
  <si>
    <t>ATMOSPHERIC CHEMISTRY AND PHYSICS</t>
  </si>
  <si>
    <t>ATMOSPHERIC BOUNDARY-LAYER; EXTENDED SIMILARITY THEORY; RECENT CLIMATE-CHANGE; ANTARCTIC ICE SHELF; SEA-ICE; ENERGY EXCHANGE; TRANSFER-COEFFICIENTS; PROFILE RELATIONSHIPS; THERMODYNAMIC MODEL; SCALAR ROUGHNESS</t>
  </si>
  <si>
    <t>The observed rapid climate warming in the Arctic requires improvements in permafrost and carbon cycle monitoring, accomplished by setting up long-term observation sites with high-quality in-situ measurements of turbulent heat, water and carbon fluxes as well as soil physical parameters in Arctic landscapes. But accurate quantification and well adapted parameterizations of turbulent fluxes in polar environments presents fundamental problems in soils-now-ice-vegetation-atmosphere interaction studies. One of these problems is the accurate estimation of the surface or aerodynamic temperature T-(0) required to force most of the bulk aerodynamic formulae currently used. Results from the Arctic-Turbulence-Experiment (ARCTEX-2006) performed on Svalbard during the winter/spring transition 2006 helped to better understand the physical exchange and transport processes of energy. The existence of an atypical temperature profile close to the surface in the Arctic spring at Svalbard could be proven to be one of the major issues hindering estimation of the appropriate surface temperature. Thus, it is essential to adjust the set-up of measurement systems carefully when applying flux-gradient methods that are commonly used to force atmosphere-ocean/land-ice models. The results of a comparison of different sensible heat-flux parameterizations with direct measurements indicate that the use of a hydrodynamic three-layer temperature-profile model achieves the best fit and reproduces the temporal variability of the surface temperature better than other approaches.</t>
  </si>
  <si>
    <t>Univ Bayreuth, Dept Micrometeorol, D-95440 Bayreuth, Germany</t>
  </si>
  <si>
    <t>University of Bayreuth</t>
  </si>
  <si>
    <t>Lüers, J (corresponding author), Univ Bayreuth, Dept Micrometeorol, D-95440 Bayreuth, Germany.</t>
  </si>
  <si>
    <t>johannes.lueers@uni-bayreuth.de</t>
  </si>
  <si>
    <t>Deutsche Forschungsgemeinschaft [DFG-FO 226/11-1]</t>
  </si>
  <si>
    <t>Deutsche Forschungsgemeinschaft(German Research Foundation (DFG))</t>
  </si>
  <si>
    <t>The authors thank all of those from the French-German Arctic Research Base led by the Alfred Wegener Institute for Polar and Marine Research (AWI) and the Institut polaire franais Paul mile Victor (IPEV) for their efforts to succeed with the ARCTEX-2006 campaign, especially the station leader Rainer Vockenroth. We also appreciated the logistic support of the staff of the Kingsbay Company at Ny-A lesund. Very welcome was the major support and wise counsel of Thomas Foken, head of the Dept. of Micrometeorology, Univ. of Bayreuth. Many thanks go also to Jo Olesch ( technical support) and to Alfred Helbig. This study was funded by the Deutsche Forschungsgemeinschaft under reference number DFG-FO 226/11-1.</t>
  </si>
  <si>
    <t>1680-7316</t>
  </si>
  <si>
    <t>1680-7324</t>
  </si>
  <si>
    <t>ATMOS CHEM PHYS</t>
  </si>
  <si>
    <t>Atmos. Chem. Phys.</t>
  </si>
  <si>
    <t>551QR</t>
  </si>
  <si>
    <t>WOS:000274224600013</t>
  </si>
  <si>
    <t>Alexander, SP; Shepherd, MG</t>
  </si>
  <si>
    <t>Alexander, S. P.; Shepherd, M. G.</t>
  </si>
  <si>
    <t>Planetary wave activity in the polar lower stratosphere</t>
  </si>
  <si>
    <t>MODE ROSSBY WAVES; SOUTHERN-HEMISPHERE STRATOSPHERE; SYMMETRIC MODES; NORTHERN; TEMPERATURE; VARIABILITY; DISTURBANCES; ATMOSPHERE; SABER</t>
  </si>
  <si>
    <t>Temperature data from the COSMIC GPS-RO satellite constellation are used to study the distribution and variability of planetary wave activity in the low to mid- stratosphere (15-40 km) of the Arctic and Antarctic from September 2006 until March 2009. Stationary waves are separated from travelling waves and their amplitudes, periods and small-scale vertical distribution then examined. COSMIC observed short lived (less than two weeks and less than 5 km vertically) but large enhancements in planetary wave amplitudes occurring regularly throughout all winters in both hemispheres. In contrast to recent Arctic winters, eastward wave activity during 2008-2009 was significantly reduced during the early part of the winter and immediately prior to the major SSW. The eastward waves which did exist had similar periods to the two preceding winters (similar to 16-20 days). A westward wave with zonal wavenumber two, with distinct peaks at 22 km and 35 km and period around 16-24 days, as well as a stationary wave two were associated with the 2009 major SSW. In the Southern Hemisphere, the height structure of planetary wave amplitudes also exhibited fluctuations on short time and vertical scales superimposed upon the broader seasonal cycle. Significant inter-annual variability in planetary wave amplitude and period are noticed, with the times of cessation of significant activity also varying.</t>
  </si>
  <si>
    <t>[Alexander, S. P.] Australian Antarctic Div, Kingston, Tas, Australia; [Shepherd, M. G.] York Univ, Ctr Res Earth &amp; Space Sci, Toronto, ON M3J 2R7, Canada</t>
  </si>
  <si>
    <t>Australian Antarctic Division; York University - Canada</t>
  </si>
  <si>
    <t>Alexander, SP (corresponding author), Australian Antarctic Div, Kingston, Tas, Australia.</t>
  </si>
  <si>
    <t>simon.alexander@aad.gov.au</t>
  </si>
  <si>
    <t>Shepherd, Marianna/0000-0003-2731-8513; Alexander, Simon/0000-0001-6823-8857</t>
  </si>
  <si>
    <t>Australian Antarctic programme [3140]</t>
  </si>
  <si>
    <t>Australian Antarctic programme</t>
  </si>
  <si>
    <t>COSMIC data were obtained from the COSMIC Data Analysis and Archive Center (CDAAC). We thank the COSMIC/FORMOSAT-3 Science Team for making the data available. We would like to thank T. Tsuda, Y. Kawatani, A. Klekociuk, and C. Meek for valuable discussions and advice throughout the course of this research. We thank three anonymous reviewers whose helpful comments improved the original manuscript. This research was conducted for project 3140 of the Australian Antarctic programme.</t>
  </si>
  <si>
    <t>10.5194/acp-10-707-2010</t>
  </si>
  <si>
    <t>548IK</t>
  </si>
  <si>
    <t>WOS:000273954200026</t>
  </si>
  <si>
    <t>Karpechko, AY; Gillett, NP; Hassler, B; Rosenlof, KH; Rozanov, E</t>
  </si>
  <si>
    <t>Karpechko, A. Yu.; Gillett, N. P.; Hassler, B.; Rosenlof, K. H.; Rozanov, E.</t>
  </si>
  <si>
    <t>Quantitative assessment of Southern Hemisphere ozone in chemistry-climate model simulations</t>
  </si>
  <si>
    <t>TRANSIENT SIMULATION; MIDDLE ATMOSPHERE; TECHNICAL NOTE; WAVE ACTIVITY; IMPACT; STRATOSPHERE; VARIABILITY; AEROSOLS; DATABASE; TRENDS</t>
  </si>
  <si>
    <t>Stratospheric ozone recovery in the Southern Hemisphere is expected to drive pronounced trends in atmospheric temperature and circulation from the stratosphere to the troposphere in the 21st century; therefore ozone changes need to be accounted for in future climate simulations. Many climate models do not have interactive ozone chemistry and rely on prescribed ozone fields, which may be obtained from coupled chemistry-climate model (CCM) simulations. However CCMs vary widely in their predictions of ozone evolution, complicating the selection of ozone boundary conditions for future climate simulations. In order to assess which models might be expected to better simulate future ozone evolution, and thus provide more realistic ozone boundary conditions, we assess the ability of twelve CCMs to simulate observed ozone climatology and trends and rank the models according to their errors averaged across the individual diagnostics chosen. According to our analysis no one model performs better than the others in all the diagnostics; however, combining errors in individual diagnostics into one metric of model performance allows us to objectively rank the models. The multi-model average shows better overall agreement with the observations than any individual model. Based on this analysis we conclude that the multi-model average ozone projection presents the best estimate of future ozone evolution and recommend it for use as a boundary condition in future climate simulations. Our results also demonstrate a sensitivity of the analysis to the choice of reference data set for vertical ozone distribution over the Antarctic, highlighting the constraints that large observational uncertainty imposes on such model verification.</t>
  </si>
  <si>
    <t>[Karpechko, A. Yu.] Univ E Anglia, Sch Environm Sci, Climat Res Unit, Norwich NR4 7TJ, Norfolk, England; [Hassler, B.] Natl Inst Water &amp; Atmospher Res, Lauder, New Zealand; [Hassler, B.; Rosenlof, K. H.] NOAA, Earth Syst Res Lab, Boulder, CO USA; [Hassler, B.] Univ Colorado, Cooperat Inst Res Environm Sci, Boulder, CO 80309 USA; [Rozanov, E.] Swiss Fed Inst Technol, Inst Atmospher &amp; Climate Sci, Zurich, Switzerland; [Rozanov, E.] World Radiat Ctr, Phys Meteorol Observ, Davos, Switzerland</t>
  </si>
  <si>
    <t>University of East Anglia; National Institute of Water &amp; Atmospheric Research (NIWA) - New Zealand; National Oceanic Atmospheric Admin (NOAA) - USA; University of Colorado System; University of Colorado Boulder; Swiss Federal Institutes of Technology Domain; ETH Zurich</t>
  </si>
  <si>
    <t>Karpechko, AY (corresponding author), Univ E Anglia, Sch Environm Sci, Climat Res Unit, Norwich NR4 7TJ, Norfolk, England.</t>
  </si>
  <si>
    <t>alexey.karpechko@fmi.fi</t>
  </si>
  <si>
    <t>Karpechko, Alexey/JVN-9414-2024; Rozanov, Eugene/A-9857-2012; Rosenlof, Karen H/B-5652-2008; Rozanov, Eugene/V-1881-2018; Hassler, Birgit/E-8987-2010</t>
  </si>
  <si>
    <t>Karpechko, Alexey/0000-0003-0902-0414; Rozanov, Eugene/0000-0003-0479-4488; Rosenlof, Karen H/0000-0002-0903-8270; Rozanov, Eugene/0000-0003-0479-4488; Hassler, Birgit/0000-0003-2724-709X</t>
  </si>
  <si>
    <t>NERC [NE/E006787/1]; SPARC (Stratospheric Processes and their Role in Climate); NERC [NE/E006787/1] Funding Source: UKRI; Natural Environment Research Council [NE/E006787/1] Funding Source: researchfish</t>
  </si>
  <si>
    <t>NERC(UK Research &amp; Innovation (UKRI)Natural Environment Research Council (NERC)); SPARC (Stratospheric Processes and their Role in Climate); NERC(UK Research &amp; Innovation (UKRI)Natural Environment Research Council (NERC)); Natural Environment Research Council(UK Research &amp; Innovation (UKRI)Natural Environment Research Council (NERC))</t>
  </si>
  <si>
    <t>This work is supported by NERC Project NE/E006787/1. We acknowledge the modeling groups for making their simulations available for this analysis, the Chemistry-Climate Model Validation Activity (CCMVal) for WCRP's (World Climate Research Programme) SPARC (Stratospheric Processes and their Role in Climate) project for organizing and coordinating the model data analysis activity, and the British Atmospheric Data Center (BADC) for collecting and archiving the CCMVal model output. We thank TOMS/SBUV team and W. Randel for making their data sets publicly available and also V. Eyring, M. Dameris, J. Scinocca, T. Reichler, and an anonymous reviewer for useful comments.</t>
  </si>
  <si>
    <t>10.5194/acp-10-1385-2010</t>
  </si>
  <si>
    <t>554BH</t>
  </si>
  <si>
    <t>WOS:000274410000034</t>
  </si>
  <si>
    <t>The 16-day wave in the Arctic and Antarctic mesosphere and lower thermosphere</t>
  </si>
  <si>
    <t>NONUNIFORM BACKGROUND CONFIGURATIONS; ROSSBY NORMAL-MODES; GRAVITY-WAVES; PLANETARY WAVE; METEOR RADAR; SASKATOON 52-DEGREES-N; MESOPAUSE-REGION; DIURNAL TIDE; 2-DAY WAVE; OSCILLATION</t>
  </si>
  <si>
    <t>The 16-day planetary wave in the polar mesosphere and lower thermosphere has been investigated using meteor radars at Esrange (68 degrees N, 21 degrees E) in the Arctic and Rothera (68 degrees S, 68 degrees W) in the Antarctic. The measurements span the 10-year interval from October 1999 to July 2009 and the 5-year interval February 2005 to July 2009, respectively. The height range covered is about 80-100 km. In both polar regions the wave is seen to occur in intermittent bursts, where wave amplitudes typically reach a maximum of about 15 m s(-1), and never more than about 20 m s(-1). Horizontal wind variance within a wave-period range of 12 to 20 days is used as a proxy for the activity of the 16-day wave. Wave activity is strong for 3 to 4 months in winter, where it is present across the entire height range observed and monthly wave variance reaches about 65 m(2) s(-2). Some weak and intermittent activity is observed throughout the other seasons including summer. However, there is a high degree of inter-annual variability and in some individual years wave activity is almost absent. The data are used to construct a representative climatology for the Arctic and Antarctic. The seasonal cycle of the 16-day wave is found to be very similar in both polar regions. The 16-day wave has slightly greater amplitudes in the zonal component of the winds than in the meridional. Mesospheric temperatures measured by the radars were used to further investigate the 16-day wave. The temperatures reveal a clear signature of the 16-day wave. Temperature amplitudes are generally only a few Kelvin but occasional bursts of up to 10 K have been observed. Observations of the wave in summer are sometimes consistent with the suggestion of ducting from the winter hemisphere.</t>
  </si>
  <si>
    <t>NERC [NE/E007384/1] Funding Source: UKRI; STFC [PP/E002218/1] Funding Source: UKRI; Natural Environment Research Council [NER/G/S/2003/00014, NE/E007384/1] Funding Source: researchfish; Science and Technology Facilities Council [PP/E002218/1] Funding Source: researchfish</t>
  </si>
  <si>
    <t>10.5194/acp-10-1461-2010</t>
  </si>
  <si>
    <t>WOS:000274410000040</t>
  </si>
  <si>
    <t>Robichaud, A; Ménard, R; Chabrillat, S; de Grandpré, J; Rochon, YJ; Yang, Y; Charette, C</t>
  </si>
  <si>
    <t>Robichaud, A.; Menard, R.; Chabrillat, S.; de Grandpre, J.; Rochon, Y. J.; Yang, Y.; Charette, C.</t>
  </si>
  <si>
    <t>Impact of energetic particle precipitation on stratospheric polar constituents: an assessment using monitoring and assimilation of operational MIPAS data</t>
  </si>
  <si>
    <t>GEOPHYSICAL VALIDATION; DOWNWARD TRANSPORT; OZONE; MODEL; HNO3; ENHANCEMENTS; NITROGEN; NOX</t>
  </si>
  <si>
    <t>In 2003, strong energetic particle precipitation (EPP) events occurred producing massive amounts of ionization which affected the polar region significantly perturbing its chemical state down to the middle stratosphere. These events and their effects are generally left unaccounted for in current models of stratospheric chemistry and large differences between observations and models are then noted. In this study, we use a coupled 3-D stratospheric dynamical-chemical model and assimilation system to ingest MIPAS temperature and chemical observations. The goal is to gain further understanding of assimilation and monitoring processes during EPP events and their impacts on the stratospheric polar chemistry. Moreover, we investigate the feasibility of assimilating valid outlier observations associated with such events. We use OmF (Observation minus Forecast) residuals as they filter out phenomena well reproduced by the model (such as gas phase chemistry, transport, diurnal and seasonal cycles) thus revealing a clear trace of the EPP. Inspection of OmF statistics in both passive (without chemical assimilation) and active (with chemical assimilation) cases altogether provides a powerful diagnostic tool to assess the model and assimilation system. We also show that passive OmF can permit a satisfactory evaluation of the ozone partial column loss due to EPP effects. Results suggest a small but significant loss of 5-6 DU (Dobson Units) during an EPP-IE (EPP Indirect Effects) event in the Antarctic winter of 2003, and about only 1DU for the SPE (Solar Proton Event) of October/November 2003. Despite large differences between the model and MIPAS chemical observations (NO2, HNO3, CH4 and O-3), we demonstrate that a careful assimilation with only gas phase chemistry included in the model (i.e. no provision for EPP) and with relaxed quality control nearly eliminated the short-term bias and significantly reduced the standard deviation error of the constituents below 1 hPa.</t>
  </si>
  <si>
    <t>[Robichaud, A.; Menard, R.; de Grandpre, J.; Charette, C.] Environm Canada, Atmospher Sci &amp; Technol Directorate, Dorval, PQ H9P 1J3, Canada; [Chabrillat, S.] Belgium Inst Space Aeron, B-1180 Brussels, Belgium; [Rochon, Y. J.; Yang, Y.] Environm Canada, Atmospher Sci &amp; Technol Directorate, Toronto, ON M3H 5T4, Canada</t>
  </si>
  <si>
    <t>Environment &amp; Climate Change Canada; Environment &amp; Climate Change Canada</t>
  </si>
  <si>
    <t>Robichaud, A (corresponding author), Environm Canada, Atmospher Sci &amp; Technol Directorate, 2121 Trans Canada Highway, Dorval, PQ H9P 1J3, Canada.</t>
  </si>
  <si>
    <t>alain.robichaud@ec.gc.ca</t>
  </si>
  <si>
    <t>Chabrillat, Simon/AAM-7850-2020</t>
  </si>
  <si>
    <t>Chabrillat, Simon/0000-0003-4378-1567</t>
  </si>
  <si>
    <t>ESA</t>
  </si>
  <si>
    <t>ESA(European Space Agency)</t>
  </si>
  <si>
    <t>The authors wish to thank ESA contract officer Tobias Weir for his direction and encouragements during our early work on this paper (through an European Space Agency contract), Paul-Andre Beaulieu for converting MIPAS observations in the appropriate format, Alexander Kallaur and Vivian Lee for their work on the chemistry interface of the GEM-BACH model, Frederick Chosson for his assistance with the graphs and two anonymous referees for their valuable comments.</t>
  </si>
  <si>
    <t>10.5194/acp-10-1739-2010</t>
  </si>
  <si>
    <t>559TS</t>
  </si>
  <si>
    <t>WOS:000274851500016</t>
  </si>
  <si>
    <t>Friess, U; Deutschmann, T; Gilfedder, BS; Weller, R; Platt, U</t>
  </si>
  <si>
    <t>Friess, U.; Deutschmann, T.; Gilfedder, B. S.; Weller, R.; Platt, U.</t>
  </si>
  <si>
    <t>Iodine monoxide in the Antarctic snowpack</t>
  </si>
  <si>
    <t>OPTICAL-ABSORPTION SPECTROSCOPY; MARINE BOUNDARY-LAYER; DRONNING-MAUD-LAND; MAX-DOAS; COASTAL ANTARCTICA; RADIATIVE-TRANSFER; CROSS-SECTION; HALOGENS; CHEMISTRY; SURFACE</t>
  </si>
  <si>
    <t>Recent ground-based and space borne observations suggest the presence of significant amounts of iodine monoxide in the boundary layer of Antarctica, which are expected to have an impact on the ozone budget and might contribute to the formation of new airborne particles. So far, the source of these iodine radicals has been unknown. This paper presents long-term measurements of iodine monoxide at the German Antarctic research station Neumayer, which indicate that high IO concentrations in the order of 50 ppb are present in the snow interstitial air. The measurements have been performed using multi-axis differential optical absorption spectroscopy (MAX-DOAS). Using a coupled atmosphere - snowpack radiative transfer model, the comparison of the signals observed from scattered skylight and from light reflected by the snowpack yields several ppb of iodine monoxide in the upper layers of the sunlit snowpack throughout the year. Snow pit samples from Neumayer Station contain up to 700 ng/l of total iodine, representing a sufficient reservoir for these extraordinarily high IO concentrations.</t>
  </si>
  <si>
    <t>[Friess, U.; Deutschmann, T.; Platt, U.] Univ Heidelberg, Inst Environm Phys, Heidelberg, Germany; [Gilfedder, B. S.] TU Braunschweig, Inst Umweltgeol, Braunschweig, Germany; [Weller, R.] Alfred Wegener Inst Polar &amp; Marine Res, Bremerhaven, Germany</t>
  </si>
  <si>
    <t>Ruprecht Karls University Heidelberg; Braunschweig University of Technology; Helmholtz Association; Alfred Wegener Institute, Helmholtz Centre for Polar &amp; Marine Research</t>
  </si>
  <si>
    <t>Friess, U (corresponding author), Univ Heidelberg, Inst Environm Phys, Heidelberg, Germany.</t>
  </si>
  <si>
    <t>udo.friess@iup.uni-heidelberg.de</t>
  </si>
  <si>
    <t>Platt, Ulrich/HZM-2289-2023; Frieß, Udo/B-1696-2012; Gilfedder, Benjamin/G-5462-2018</t>
  </si>
  <si>
    <t>Friess, Udo/0000-0001-7176-7936; Gilfedder, Benjamin/0000-0002-6169-5198</t>
  </si>
  <si>
    <t>German Research Association [FR2497/2-1]; AWI; BIRA</t>
  </si>
  <si>
    <t>German Research Association(German Research Foundation (DFG)); AWI(Helmholtz Association); BIRA</t>
  </si>
  <si>
    <t>This work has been financially supported by the German Research Association (DFG, project FR2497/2-1). Hans Oerter and Gert Konig- Langlo from AWI are gratefully acknowledged for providing the snow pit oxygen isotope data and meteorological data, respectively. Many thanks to the Neumayer over-winterer crews for operating and maintaining the long-term measurements at Neumayer for more than 10 years. Michel van Roozendael and Caroline Fayt from BIRA are gratefully acknowledged for providing the Windoas analysis program.</t>
  </si>
  <si>
    <t>10.5194/acp-10-2439-2010</t>
  </si>
  <si>
    <t>568ER</t>
  </si>
  <si>
    <t>WOS:000275505500023</t>
  </si>
  <si>
    <t>Graf, HF; Shirsat, SV; Oppenheimer, C; Jarvis, MJ; Podzun, R; Jacob, D</t>
  </si>
  <si>
    <t>Graf, H. -F.; Shirsat, S. V.; Oppenheimer, C.; Jarvis, M. J.; Podzun, R.; Jacob, D.</t>
  </si>
  <si>
    <t>Continental scale Antarctic deposition of sulphur and black carbon from anthropogenic and volcanic sources</t>
  </si>
  <si>
    <t>EREBUS VOLCANO; ANTCI 2003; SULFATE; EMISSIONS; AEROSOL; ENVIRONMENT; ATMOSPHERE; OXIDATION; DIOXIDE; STATION</t>
  </si>
  <si>
    <t>While Antarctica is often described as a pristine environment, there is an increasing awareness of the potential threats from local pollution sources including tourist ships and emissions associated with scientific activities. However, to date there has been no systematic attempt to model the impacts of such pollutants at the continental scale. Indeed, until very recently there was not even a sulphur emission budget available for Antarctica. Here we present the first comprehensive study of atmospheric pollution in Antarctica using a limited area chemistry climate model, and a monthly emissions inventory for sulphur from maintenance of research stations, ground and air traffic, shipping and the active Erebus volcano. We find that ship emissions, both sulphurous and black carbon, dominate anthropogenic pollution near the ground. Their prevalence is likely to rise dramatically if recent trends in tourism continue.</t>
  </si>
  <si>
    <t>[Graf, H. -F.; Shirsat, S. V.; Oppenheimer, C.] Univ Cambridge, Dept Geog, Cambridge CB2 3EN, England; [Jarvis, M. J.] British Antarctic Survey, Cambridge CB3 0ET, England; [Podzun, R.; Jacob, D.] Max Planck Inst Meteorol, Hamburg, Germany</t>
  </si>
  <si>
    <t>University of Cambridge; UK Research &amp; Innovation (UKRI); Natural Environment Research Council (NERC); NERC British Antarctic Survey; Max Planck Society</t>
  </si>
  <si>
    <t>Graf, HF (corresponding author), Univ Cambridge, Dept Geog, Downing Pl, Cambridge CB2 3EN, England.</t>
  </si>
  <si>
    <t>hfg21@cam.ac.uk</t>
  </si>
  <si>
    <t>Graf, Hans/GQQ-2206-2022; Oppenheimer, Clive/G-9881-2013</t>
  </si>
  <si>
    <t>NERC [bas0100023] Funding Source: UKRI; Natural Environment Research Council [bas0100023] Funding Source: researchfish</t>
  </si>
  <si>
    <t>10.5194/acp-10-2457-2010</t>
  </si>
  <si>
    <t>Green Accepted, gold, Green Submitted</t>
  </si>
  <si>
    <t>WOS:000275505500024</t>
  </si>
  <si>
    <t>Dommergue, A; Sprovieri, F; Pirrone, N; Ebinghaus, R; Brooks, S; Courteaud, J; Ferrari, CP</t>
  </si>
  <si>
    <t>Dommergue, A.; Sprovieri, F.; Pirrone, N.; Ebinghaus, R.; Brooks, S.; Courteaud, J.; Ferrari, C. P.</t>
  </si>
  <si>
    <t>Overview of mercury measurements in the Antarctic troposphere</t>
  </si>
  <si>
    <t>BOUNDARY-LAYER HALOGENS; ATMOSPHERIC MERCURY; SPRINGTIME DEPLETION; GASEOUS MERCURY; SOUTH-POLE; MACE HEAD; SNOW; CHEMISTRY; DEPOSITION; MECHANISM</t>
  </si>
  <si>
    <t>Polar ecosystems are considered to be the last pristine environments of the earth relatively uninfluenced by human activities. Antarctica in particular, compared to the Arctic is considered to be even less affected by any kind of anthropogenic influences. Once contaminants reach the Polar Regions, their lifetime in the troposphere depends on local removal processes. Atmospheric mercury, in particular, has unique characteristics that include long-range transport to Polar Regions and the transformation to more toxic and water-soluble compounds that may potentially become bioavailable. These chemical-physical properties have placed mercury on the priority list of an increasing number of International, European and National conventions, and agreements, aimed at the protection of the ecosystems including human health (i.e. GEO, UNEP, AMAP, UNECE, HELCOM, OSPAR). This interest, in turn, stimulates a significant amount of research including measurements of gaseous elemental mercury reaction rate constant with atmospheric oxidants, experimental and modelling studies in order to understand the cycling of mercury in Polar Regions, and its impact to these ecosystems. Special attention in terms of contamination of Polar Regions is paid to the consequences of the springtime phenomena, referred to as Atmospheric Mercury Depletion Events (AMDEs), during which elemental mercury through a series of photochemically-initiated reactions involving halogens, may be converted to a reactive form that may accumulate in polar coastal, or sea ice, ecosystems. The discovery of the AMDEs, first noted in the Arctic, has also been observed at both poles and was initially considered to result in an important net input of atmospheric mercury into the polar surfaces. However, recent studies point out that complex processes take place after deposition that may result in less significant net-inputs from the atmosphere since a fraction, sometimes significant, of deposited mercury may be recycled. Therefore, the contribution of this unique reactivity occurring in polar atmospheres to the global budget of atmospheric mercury, and the role played by snow and ice surfaces of these regions, are important issues. This paper presents a review of atmospheric mercury studies conducted in the Antarctic troposphere, both at coastal locations and on the Antarctic Plateau since 1985. Our current understanding of atmospheric reactivity in this region is also presented.</t>
  </si>
  <si>
    <t>[Dommergue, A.; Courteaud, J.; Ferrari, C. P.] Univ Joseph Fourier Grenoble, Lab Glaciol &amp; Geophys Environm, CNRS, UMR 5183, F-38400 St Martin Dheres, France; [Sprovieri, F.; Pirrone, N.] CNR, Inst Atmospher Pollut Res, Div Rende, I-00185 Rome, Italy; [Ebinghaus, R.] GKSS Forschungszentrum Geesthacht GmbH, Inst Coastal Res, D-21502 Geesthacht, Germany; [Brooks, S.] NOAA, Atmospher Turbulence &amp; Diffus Div, Air Resources Lab, Oak Ridge, TN USA</t>
  </si>
  <si>
    <t>Communaute Universite Grenoble Alpes; Universite Grenoble Alpes (UGA); Centre National de la Recherche Scientifique (CNRS); Consiglio Nazionale delle Ricerche (CNR); Istituto Sull'inquinamento Atmosferico (IIA-CNR); Helmholtz Association; Helmholtz-Zentrum Hereon; National Oceanic Atmospheric Admin (NOAA) - USA</t>
  </si>
  <si>
    <t>Dommergue, A (corresponding author), Univ Joseph Fourier Grenoble, Lab Glaciol &amp; Geophys Environm, CNRS, UMR 5183, 54 Rue Moliere, F-38400 St Martin Dheres, France.</t>
  </si>
  <si>
    <t>dommergue@lgge.obs.ujf-grenoble.fr</t>
  </si>
  <si>
    <t>dommergue, aurelien/HLP-6539-2023; Dommergue, Aurelien/A-2829-2009; Pirrone, Nicola/IXD-5019-2023</t>
  </si>
  <si>
    <t>dommergue, aurelien/0000-0002-8185-9604; Dommergue, Aurelien/0000-0002-8185-9604;</t>
  </si>
  <si>
    <t>ANR VMC</t>
  </si>
  <si>
    <t>ANR VMC(Agence Nationale de la Recherche (ANR))</t>
  </si>
  <si>
    <t>AD, JC, CF want to acknowledge the French Polar Institute IPEV (program Glaciologie 902) for logistical supports and the ANR VMC (VANISH) for funding.</t>
  </si>
  <si>
    <t>10.5194/acp-10-3309-2010</t>
  </si>
  <si>
    <t>583HD</t>
  </si>
  <si>
    <t>WOS:000276663600011</t>
  </si>
  <si>
    <t>Mbatha, N; Sivakumar, V; Malinga, SB; Bencherif, H; Pillay, SR</t>
  </si>
  <si>
    <t>Mbatha, N.; Sivakumar, V.; Malinga, S. B.; Bencherif, H.; Pillay, S. R.</t>
  </si>
  <si>
    <t>Study on the impact of sudden stratosphere warming in the upper mesosphere-lower thermosphere regions using satellite and HF radar measurements</t>
  </si>
  <si>
    <t>MIDDLE ATMOSPHERE; QUASI-2-DAY WAVE; VARIABILITY; SUPERDARN; TEMPERATURE; CIRCULATION; NETWORK; EVENT; MODEL; WINDS</t>
  </si>
  <si>
    <t>The occurrence of a sudden stratospheric warming (SSW) excites disturbances in the mesosphere-lower thermospheric (MLT) wind and temperature. Here, we have examined the high frequency (HF) radar wind data from the South African National Antarctic Expedition, SANAE (72 degrees S, 3 degrees W), a radar which is part of the Super Dual Auroral Radar Network (SuperDARN). Sounding of the Atmosphere using Broadband Emission Radiometry (SABER) on board the Thermosphere-Ionosphere-Mesosphere-Energetics and Dynamics (TIMED) satellite temperature data and National Centre for Environmental Prediction (NCEP) temperature and wind data are used to investigate the dynamical effects of the unprecedented September 2002 SSW in the Antarctica stratosphere and MLT. The mean zonal wind (from SANAE HF radar) at the MLT shows reversal approximately 7 days before the reversal at 10 hPa (from NCEP). This indicates that there was a downwards propagation of circulation disturbance. Westerly zonal winds dominate the winter MLT, but during the 2002 winter there are many periods of westward winds observed compared to other years. The normalised power spectrums of both meridional and zonal winds show presence of planetary waves (of similar to 14-day period) before the occurrence of the SSW. The SABER vertical temperature profiles indicated the cooling of the MLT region before the SSW event.</t>
  </si>
  <si>
    <t>[Mbatha, N.; Pillay, S. R.] Univ KwaZulu Natal, Sch Phys, ZA-4000 Durban, South Africa; [Mbatha, N.; Malinga, S. B.] Hermanus Magnet Observ, ZA-7200 Hermanus, South Africa; [Sivakumar, V.] CSIR, Natl Laser Ctr, ZA-0001 Pretoria, South Africa; [Sivakumar, V.] Univ Pretoria, Dept Geog Geoinformat &amp; Meteorol, ZA-0002 Pretoria, South Africa; [Sivakumar, V.; Bencherif, H.] Univ La Reunion, Lab Atmosphere &amp; Cyclones, CNRS, UMR 8105, F-97715 St Denis 9, France</t>
  </si>
  <si>
    <t>University of Kwazulu Natal; Council for Scientific &amp; Industrial Research (CSIR) - South Africa; Council for Scientific &amp; Industrial Research (CSIR) - South Africa; University of Pretoria; Centre National de la Recherche Scientifique (CNRS); CNRS - National Institute for Earth Sciences &amp; Astronomy (INSU); University of La Reunion</t>
  </si>
  <si>
    <t>Mbatha, N (corresponding author), Univ KwaZulu Natal, Sch Phys, ZA-4000 Durban, South Africa.</t>
  </si>
  <si>
    <t>nmbatha@hmo.ac.za</t>
  </si>
  <si>
    <t>Bencherif, Hassan/F-1671-2010; Sivakumar, V/B-4570-2009</t>
  </si>
  <si>
    <t>Sivakumar, V/0000-0003-2462-681X</t>
  </si>
  <si>
    <t>National Research Foundation (NRF) of South Africa; South African Antarctica Program (SANAP); French Embassy</t>
  </si>
  <si>
    <t>National Research Foundation (NRF) of South Africa(National Research Foundation - South Africa); South African Antarctica Program (SANAP); French Embassy</t>
  </si>
  <si>
    <t>This work has been supported by National Research Foundation (NRF) of South Africa, South African Antarctica Program (SANAP) and French Embassy. The authors wish to acknowledge National Centre for Environmental Prediction (NCEP), Sounding of the Atmosphere using Broadband Emission Radiometry (SABER) on board the Thermosphere-Ionosphere-Mesosphere-Energetics and Dynamics (TIMED) satellite and Data Access and Browsing System (DABS) for providing data.</t>
  </si>
  <si>
    <t>10.5194/acp-10-3397-2010</t>
  </si>
  <si>
    <t>WOS:000276663600018</t>
  </si>
  <si>
    <t>Asmi, E; Frey, A; Virkkula, A; Ehn, M; Manninen, HE; Timonen, H; Tolonen-Kivimäki, O; Aurela, M; Hillamo, R; Kulmala, M</t>
  </si>
  <si>
    <t>Asmi, E.; Frey, A.; Virkkula, A.; Ehn, M.; Manninen, H. E.; Timonen, H.; Tolonen-Kivimaki, O.; Aurela, M.; Hillamo, R.; Kulmala, M.</t>
  </si>
  <si>
    <t>Hygroscopicity and chemical composition of Antarctic sub-micrometre aerosol particles and observations of new particle formation</t>
  </si>
  <si>
    <t>SECONDARY ORGANIC AEROSOL; NUCLEATION MODE PARTICLES; CLOUD CONDENSATION NUCLEI; BOUNDARY-LAYER AEROSOL; AIR ION SPECTROMETER; SIZE DISTRIBUTIONS; BOREAL FOREST; ATMOSPHERIC PARTICLES; FORMATION EVENTS; SULFURIC-ACID</t>
  </si>
  <si>
    <t>The Antarctic near-coastal sub-micrometre aerosol particle features in summer were characterised based on measured data on aerosol hygroscopicity, size distributions, volatility and chemical ion and organic carbon mass concentrations. Hysplit model was used to calculate the history of the air masses to predict the particle origin. Additional measurements of meteorological parameters were utilised. The hygroscopic properties of particles mostly resembled those of marine aerosols. The measurements took place at 130 km from the Southern Ocean, which was the most significant factor affecting the particle properties. This is explained by the lack of additional sources on the continent of Antarctica. The Southern Ocean was thus a likely source of the particles and nucleating and condensing vapours. The particles were very hygroscopic (HGF 1.75 at 90 nm) and very volatile. Most of the sub-100 nm particle volume volatilised below 100 degrees C. Based on chemical data, particle hygroscopic and volatile properties were explained by a large fraction of non-neutralised sulphuric acid together with organic material. The hygroscopic growth factors assessed from chemical data were similar to measured. Hygroscopicity was higher in dry continental air masses compared with the moist marine air masses. This was explained by the aging of the marine organic species and lower methanesulphonic acid volume fraction together with the changes in the inorganic aerosol chemistry as the aerosol had travelled long time over the continental Antarctica. Special focus was directed in detailed examination of the observed new particle formation events. Indications of the preference of negative over positive ions in nucleation could be detected. However, in a detailed case study, the neutral particles dominated the particle formation process. Freshly nucleated particles had the smallest hygroscopic growth factors, which increased subsequent to particle aging.</t>
  </si>
  <si>
    <t>[Asmi, E.; Frey, A.; Virkkula, A.; Timonen, H.; Tolonen-Kivimaki, O.; Aurela, M.; Hillamo, R.] Finnish Meteorol Inst, FIN-00101 Helsinki, Finland; [Asmi, E.; Virkkula, A.; Ehn, M.; Manninen, H. E.; Kulmala, M.] Univ Helsinki, Dept Phys, Helsinki 00014, Finland</t>
  </si>
  <si>
    <t>Finnish Meteorological Institute; University of Helsinki</t>
  </si>
  <si>
    <t>Asmi, E (corresponding author), Finnish Meteorol Inst, POB 503, FIN-00101 Helsinki, Finland.</t>
  </si>
  <si>
    <t>eija.asmi@fmi.fi</t>
  </si>
  <si>
    <t>Aurela, Mika/L-4724-2014; Timonen, Hilkka/Y-6958-2019; Virkkula, Aki/B-8575-2014; Ehn, Mikael/N-2571-2016; Kulmala, Markku/I-7671-2016</t>
  </si>
  <si>
    <t>Aurela, Mika/0000-0002-4046-7225; Timonen, Hilkka/0000-0002-7987-7985; Virkkula, Aki/0000-0003-4874-7552; Ehn, Mikael/0000-0002-0215-4893; Kulmala, Markku/0000-0003-3464-7825; Asmi, Eija/0000-0002-9226-2360</t>
  </si>
  <si>
    <t>Academy of Finland [210998O, 1118615]</t>
  </si>
  <si>
    <t>Academy of Finland(Research Council of Finland)</t>
  </si>
  <si>
    <t>The authors want to acknowledge laboratory personnel in the University of Helsinki and in the Finnish Meteorological Institute. Especially Pasi Aalto, Erkki Siivola and Timo Makela are acknowledged for their help in the instrumental field and in technical questions. Kimmo Teinila is acknowledged for sharing his scientific expertise in aerosol chemistry. The logistical support of FINNARP is greatly acknowledged. This study was funded by the Academy of Finland (Finnish Antarctic Research Program, no. 210998O, Dynamics, seasonal variation and chemistry of the Antarctic aerosol). The financial support by the Academy of Finland Centre of Excellence program (project no. 1118615) is also gratefully acknowledged.</t>
  </si>
  <si>
    <t>10.5194/acp-10-4253-2010</t>
  </si>
  <si>
    <t>595HQ</t>
  </si>
  <si>
    <t>WOS:000277601700011</t>
  </si>
  <si>
    <t>Lyapustin, A; Gatebe, CK; Kahn, R; Brandt, R; Redemann, J; Russell, P; King, MD; Pedersen, CA; Gerland, S; Poudyal, R; Marshak, A; Wang, Y; Schaaf, C; Hall, D; Kokhanovsky, A</t>
  </si>
  <si>
    <t>Lyapustin, A.; Gatebe, C. K.; Kahn, R.; Brandt, R.; Redemann, J.; Russell, P.; King, M. D.; Pedersen, C. A.; Gerland, S.; Poudyal, R.; Marshak, A.; Wang, Y.; Schaaf, C.; Hall, D.; Kokhanovsky, A.</t>
  </si>
  <si>
    <t>Analysis of snow bidirectional reflectance from ARCTAS Spring-2008 Campaign</t>
  </si>
  <si>
    <t>AIRBORNE SUN PHOTOMETER; SOLAR SPECTRAL IRRADIANCE; IN-SITU MEASUREMENTS; GRAIN-SIZE; RADIATIVE-TRANSFER; OPTICAL-PROPERTIES; SURFACE-ROUGHNESS; NADIR REFLECTANCE; ANTARCTIC SNOW; WATER-VAPOR</t>
  </si>
  <si>
    <t>The spring 2008 Arctic Research of the Composition of the Troposphere from Aircraft and Satellites (ARCTAS) experiment was one of major intensive field campaigns of the International Polar Year aimed at detailed characterization of atmospheric physical and chemical processes in the Arctic region. A part of this campaign was a unique snow bidirectional reflectance experiment on the NASA P-3B aircraft conducted on 7 and 15 April by the Cloud Absorption Radiometer (CAR) jointly with airborne Ames Airborne Tracking Sunphotometer (AATS) and ground-based Aerosol Robotic Network (AERONET) sunphotometers. The CAR data were atmospherically corrected to derive snow bidirectional reflectance at high 1 degrees angular resolution in view zenith and azimuthal angles along with surface albedo. The derived albedo was generally in good agreement with ground albedo measurements collected on 15 April. The CAR snow bidirectional reflectance factor (BRF) was used to study the accuracy of analytical Ross-Thick Li-Sparse (RTLS), Modified Rahman-Pinty-Verstraete (MRPV) and Asymptotic Analytical Radiative Transfer (AART) BRF models. Except for the glint region (azimuthal angles phi &lt; 40A degrees), the best fit MRPV and RTLS models fit snow BRF to within +/- 0.05. The plane-parallel radiative transfer (PPRT) solution was also analyzed with the models of spheres, spheroids, randomly oriented fractal crystals, and with a synthetic phase function. The latter merged the model of spheroids for the forward scattering angles with the fractal model in the backscattering direction. The PPRT solution with synthetic phase function provided the best fit to measured BRF in the full range of angles. Regardless of the snow grain shape, the PPRT model significantly over-/underestimated snow BRF in the glint/backscattering regions, respectively, which agrees with other studies. To improve agreement with experiment, we introduced a model of macroscopic snow surface roughness by averaging the PPRT solution over the slope distribution function and by adding a simple model of shadows. With macroscopic roughness described by two parameters, the AART model achieved an accuracy of about +/- 0.05 with a possible bias of +/- 0.03 in the spectral range 0.4-2.2 mu m. This high accuracy holds at view zenith angles below 55-60 degrees covering the practically important range for remote sensing applications, and includes both glint and backscattering directions.</t>
  </si>
  <si>
    <t>[Lyapustin, A.; Gatebe, C. K.; Wang, Y.] Univ Maryland Baltimore Cty, Baltimore, MD 21228 USA; [Lyapustin, A.; Gatebe, C. K.; Kahn, R.; Poudyal, R.; Marshak, A.; Wang, Y.; Hall, D.] NASA, Goddard Space Flight Ctr, Greenbelt, MD 20771 USA; [Brandt, R.] Univ Washington, Seattle, WA 98195 USA; [Redemann, J.] BAERI, Sonoma, CA USA; [Russell, P.] NASA, Ames Res Ctr, Moffett Field, CA 94035 USA; [King, M. D.] Univ Colorado, Boulder, CO 80309 USA; [Pedersen, C. A.; Gerland, S.] Norwegian Polar Res Inst, N-9296 Tromso, Norway; [Poudyal, R.] Sci Syst &amp; Applicat Inc, Lanham, MD USA; [Schaaf, C.] Boston Univ, Dept Geog, Boston, MA 02215 USA; [Kokhanovsky, A.] Univ Bremen, Inst Environm Phys, D-28359 Bremen, Germany</t>
  </si>
  <si>
    <t>University System of Maryland; University of Maryland Baltimore County; National Aeronautics &amp; Space Administration (NASA); NASA Goddard Space Flight Center; University of Washington; University of Washington Seattle; National Aeronautics &amp; Space Administration (NASA); NASA Ames Research Center; University of Colorado System; University of Colorado Boulder; Norwegian Polar Institute; Science Systems and Applications Inc; Boston University; University of Bremen</t>
  </si>
  <si>
    <t>Lyapustin, A (corresponding author), Univ Maryland Baltimore Cty, Baltimore, MD 21228 USA.</t>
  </si>
  <si>
    <t>alexei.i.lyapustin@nasa.gov</t>
  </si>
  <si>
    <t>Marshak, Alexander/D-5671-2012; King, Michael/JJE-6777-2023; Hall, Dorothy K./D-5562-2012; King, Michael D/C-7153-2011; Gatebe, CK/HJG-4677-2022; Redemann, Jens/B-5423-2019; Kokhanovsky, Alexander/X-1930-2019; Gatebe, Charles/G-7094-2011; Kokhanovsky, Alexander/C-6234-2016; Kahn, Ralph A/D-5371-2012; Kokhanovsky, Alexander/HIR-2688-2022; Kokhanovsky, Alexander/IXN-7034-2023; Lyapustin, Alexei/H-9924-2014</t>
  </si>
  <si>
    <t>King, Michael D/0000-0003-2645-7298; Redemann, Jens/0000-0002-2404-7984; Kokhanovsky, Alexander/0000-0001-7370-1164; Kahn, Ralph A/0000-0002-5234-6359; Kokhanovsky, Alexander/0000-0001-7110-223X; Kokhanovsky, Alexander/0000-0001-7110-223X; Schaaf, Crystal/0000-0002-9150-2975; Lyapustin, Alexei/0000-0003-1105-5739</t>
  </si>
  <si>
    <t>NASA Terrestrial Ecology Program; NASA's Radiation Sciences Program [NNX08AF89G]; NASA ARCTAS Field Campaign Program; NASA [NNX08AE94A]; NASA Cryosphere Program; ESA; NSF [ARC-06-12636]; Norwegian Research Council</t>
  </si>
  <si>
    <t>NASA Terrestrial Ecology Program(National Aeronautics &amp; Space Administration (NASA)); NASA's Radiation Sciences Program(National Aeronautics &amp; Space Administration (NASA)); NASA ARCTAS Field Campaign Program; NASA(National Aeronautics &amp; Space Administration (NASA)); NASA Cryosphere Program; ESA(European Space Agency); NSF(National Science Foundation (NSF)); Norwegian Research Council(Research Council of Norway)</t>
  </si>
  <si>
    <t>The research of A. Lyapustin and Y. Wang was funded by the NASA Terrestrial Ecology Program (D. Wickland). Research by C. K. Gatebe and R. Poudyal was sponsored by NASA's Radiation Sciences Program through Grant NNX08AF89G. The contribution of R. Kahn to this work is supported in part by the NASA ARCTAS Field Campaign Program, under J. Crawford, and the NASA Radiation Sciences Program (H. Maring). J. Redemann and P. Russell were supported by the NASA Radiation Sciences Program (H. Maring). C. Schaaf was funded by the NASA grant NNX08AE94A. A. Marshak was supported by the NASA Cryosphere Program (T. Wagner) as part of ICESat-2 Science Definition Team. A. Kokhanovsky was supported by the ESA Snow Radiance Project. The surface measurements were supported by funding from NSF Grant ARC-06-12636 and by Norwegian Research Council through the project Measurements of black carbon aerosols in Arctic snow- interpretation of effect on snow reflectance. Terje Berntsen and Borgar Aamaas assisted with the surface measurements at Barrow. We thank Glen Sheehan of the Barrow Arctic Science Consortium (BASC) for logistical support. We also thank the site managers of the AERONET and AEROCan sun photometer stations at Barrow and Eureka, respectively, for providing data for the snow BRF/albedo experiment. We appreciate the assistance of many individuals who made ARCTAS a success, particularly NASA P-3B pilots and supporting crew, and other members of the ARCTAS Science Team. S. Warren is particularly thanked for reading the manuscript and providing valuable discussion and suggestions.</t>
  </si>
  <si>
    <t>10.5194/acp-10-4359-2010</t>
  </si>
  <si>
    <t>WOS:000277601700018</t>
  </si>
  <si>
    <t>Aydin, M; Montzka, SA; Battle, MO; Williams, MB; De Bruyn, WJ; Butler, JH; Verhulst, KR; Tatum, C; Gun, BK; Plotkin, DA; Hall, BD; Saltzman, ES</t>
  </si>
  <si>
    <t>Aydin, M.; Montzka, S. A.; Battle, M. O.; Williams, M. B.; De Bruyn, W. J.; Butler, J. H.; Verhulst, K. R.; Tatum, C.; Gun, B. K.; Plotkin, D. A.; Hall, B. D.; Saltzman, E. S.</t>
  </si>
  <si>
    <t>Post-coring entrapment of modern air in some shallow ice cores collected near the firn-ice transition: evidence from CFC-12 measurements in Antarctic firn air and ice cores</t>
  </si>
  <si>
    <t>ATMOSPHERIC METHANE; CARBONYL SULFIDE; SOUTH-POLE; RECORD; HALOCARBONS; GASES; O-2; CO2; ACCUMULATION; HISTORIES</t>
  </si>
  <si>
    <t>In this study, we report measurements of CFC-12 (CCl2F2) in firn air and in air extracted from shallow ice cores from three Antarctic sites. The firn air data are consistent with the known atmospheric history of CFC-12. In contrast, some of the ice core samples collected near the firn-ice transition exhibit anomalously high CFC-12 levels. Together, the ice core and firn air data provide evidence for the presence of modern air entrapped in the shallow ice core samples that likely contained open pores at the time of collection. We propose that this is due to closure of the open pores after drilling, entrapping modern air and resulting in elevated CFC-12 mixing ratios. Our results reveal that open porosity can exist below the maximum depth at which firn air samples can be collected, particularly at sites with lower accumulation rates. CFC-12 measurements demonstrate that post-drilling closure of open pores can lead to a change in the composition of bubble air in shallow ice cores through purely physical processes. The results have implications for investigations involving trace gas composition of bubbles in shallow ice cores collected near the firn-ice transition.</t>
  </si>
  <si>
    <t>[Aydin, M.; Verhulst, K. R.; Gun, B. K.; Saltzman, E. S.] Univ Calif Irvine, Dept Earth Syst Sci, Irvine, CA 92717 USA; [Montzka, S. A.; Butler, J. H.; Hall, B. D.] NOAA, Earth Syst Res Labs, Global Monitoring Div, Boulder, CO USA; [Battle, M. O.; Plotkin, D. A.] Bowdoin Coll, Dept Phys &amp; Astron, Brunswick, ME 04011 USA; [De Bruyn, W. J.] Chapman Univ, Schmid Coll Sci, Orange, CA USA; [Tatum, C.] Univ Miami, Rosenstiel Sch Marine &amp; Atmospher Sci, Miami, FL 33149 USA; [Williams, M. B.] ICF Int, San Francisco, CA USA</t>
  </si>
  <si>
    <t>University of California System; University of California Irvine; National Oceanic Atmospheric Admin (NOAA) - USA; Bowdoin College; Chapman University System; Chapman University; University of Miami</t>
  </si>
  <si>
    <t>Aydin, M (corresponding author), Univ Calif Irvine, Dept Earth Syst Sci, Irvine, CA 92717 USA.</t>
  </si>
  <si>
    <t>maydin@uci.edu</t>
  </si>
  <si>
    <t>Hall, Bradley/HZH-3492-2023; montzka, stephen/V-6162-2019; Plotkin, David/M-3921-2013</t>
  </si>
  <si>
    <t>Hall, Bradley/0000-0002-2451-8416; montzka, stephen/0000-0002-9396-0400; Plotkin, David/0000-0002-8574-9111</t>
  </si>
  <si>
    <t>National Science Foundation's Office of Polar Programs [OPP-0440602, OPP-0338359, OPP-0636953, OPP-0440509]; Directorate For Geosciences; Office of Polar Programs (OPP) [0944348] Funding Source: National Science Foundation; Division Of Computer and Network Systems; Direct For Computer &amp; Info Scie &amp; Enginr [0832788] Funding Source: National Science Foundation</t>
  </si>
  <si>
    <t>National Science Foundation's Office of Polar Programs(National Science Foundation (NSF)); Directorate For Geosciences; Office of Polar Programs (OPP)(National Science Foundation (NSF)NSF - Directorate for Geosciences (GEO)); Division Of Computer and Network Systems; Direct For Computer &amp; Info Scie &amp; Enginr(National Science Foundation (NSF)NSF - Directorate for Computer &amp; Information Science &amp; Engineering (CISE))</t>
  </si>
  <si>
    <t>This work was supported by National Science Foundation's Office of Polar Programs (OPP-0440602, OPP-0338359, OPP-0636953, and OPP-0440509). We thank Todd Sowers and Mark Drier for the density data from WAIS-D, Andy Clarke and Jay Kyne for the density data from SPO'01, and Greg Lamorey for the density data from Siple Dome. We thank Mary Albert for discussions during the preparation of the manuscript. We also thank ICDS and drillers for their assistance in recovery of ice cores, as well as Kent Anderson for the SPRESSO core, Siple Dome SCO for SDM-C core.</t>
  </si>
  <si>
    <t>10.5194/acp-10-5135-2010</t>
  </si>
  <si>
    <t>610PI</t>
  </si>
  <si>
    <t>WOS:000278745300010</t>
  </si>
  <si>
    <t>Mühle, J; Ganesan, AL; Miller, BR; Salameh, PK; Harth, CM; Greally, BR; Rigby, M; Porter, LW; Steele, LP; Trudinger, CM; Krummel, PB; O'Doherty, S; Fraser, PJ; Simmonds, PG; Prinn, RG; Weiss, RF</t>
  </si>
  <si>
    <t>Muehle, J.; Ganesan, A. L.; Miller, B. R.; Salameh, P. K.; Harth, C. M.; Greally, B. R.; Rigby, M.; Porter, L. W.; Steele, L. P.; Trudinger, C. M.; Krummel, P. B.; O'Doherty, S.; Fraser, P. J.; Simmonds, P. G.; Prinn, R. G.; Weiss, R. F.</t>
  </si>
  <si>
    <t>Perfluorocarbons in the global atmosphere: tetrafluoromethane, hexafluoroethane, and octafluoropropane</t>
  </si>
  <si>
    <t>CARBON TETRAFLUORIDE; CF3-CONTAINING COMPOUNDS; TROPOSPHERIC TRENDS; SULFUR-HEXAFLUORIDE; CF4; AIR; ICE; GASES; FIRN; C2F6</t>
  </si>
  <si>
    <t>We present atmospheric baseline growth rates from the 1970s to the present for the long-lived, strongly infrared-absorbing perfluorocarbons (PFCs) tetrafluoromethane (CF4), hexafluoroethane (C2F6), and octafluoropropane (C3F8) in both hemispheres, measured with improved accuracies (similar to 1-2%) and precisions (&lt;0.3%, or &lt;0.2 ppt (parts per trillion dry air mole fraction), for CF4; &lt;1.5%, or &lt;0.06 ppt, for C2F6; &lt;4.5%, or &lt;0.02 ppt, for C3F8) within the Advanced Global Atmospheric Gases Experiment (AGAGE). Pre-industrial background values of 34.7 +/- 0.2 ppt CF4 and 0.1 +/- 0.02 ppt C2F6 were measured in air extracted from Greenland ice and Antarctic firn. Anthropogenic sources are thought to be primary aluminum production (CF4, C2F6, C3F8), semiconductor production (C2F6, CF4, C3F8) and refrigeration use (C3F8). Global emissions calculated with the AGAGE 2-D 12-box model are significantly higher than most previous emission estimates. The sum of CF4 and C2F6 emissions estimated from aluminum production and non-metal production are lower than observed global top-down emissions, with gaps of similar to 6 Gg/yr CF4 in recent years. The significant discrepancies between previous CF4, C2F6, and C3F8 emission estimates and observed global top-down emissions estimated from AGAGE measurements emphasize the need for more accurate, transparent, and complete emission reporting, and for verification with atmospheric measurements to assess the emission sources of these long-lived and potent greenhouse gases, which alter the radiative budget of the atmosphere, essentially permanently, once emitted.</t>
  </si>
  <si>
    <t>[Muehle, J.; Miller, B. R.; Salameh, P. K.; Harth, C. M.; Weiss, R. F.] Univ Calif San Diego, Scripps Inst Oceanog, La Jolla, CA 92093 USA; [Ganesan, A. L.; Rigby, M.; Prinn, R. G.] MIT, Ctr Global Change Sci, Cambridge, MA 02139 USA; [Greally, B. R.; O'Doherty, S.; Simmonds, P. G.] Univ Bristol, Sch Chem, Bristol BS8 1TS, Avon, England; [Steele, L. P.; Trudinger, C. M.; Krummel, P. B.; Fraser, P. J.] CSIRO Light Met Flagship, CSIRO Marine &amp; Atmospher Research, Ctr Australian Weather &amp; Climate Research, Aspendale, Vic 3195, Australia; [Porter, L. W.] Australian Govt Bur Meteorol, Ctr Australian Weather &amp; Climate Research, Melbourne, Vic 3001, Australia</t>
  </si>
  <si>
    <t>University of California System; University of California San Diego; Scripps Institution of Oceanography; Massachusetts Institute of Technology (MIT); University of Bristol; Commonwealth Scientific &amp; Industrial Research Organisation (CSIRO); Bureau of Meteorology - Australia</t>
  </si>
  <si>
    <t>Mühle, J (corresponding author), Univ Calif San Diego, Scripps Inst Oceanog, 9500 Gilman Dr, La Jolla, CA 92093 USA.</t>
  </si>
  <si>
    <t>jens@gaslab.ucsd.edu</t>
  </si>
  <si>
    <t>Miller, Benjamin R/X-7691-2019; Steele, Paul/B-3185-2009; Krummel, Paul B/A-4293-2013; Muhle, Jens/GPX-3244-2022; Fraser, Paul J. B./D-1755-2012; Trudinger, Cathy/A-2532-2008; Ganesan, Anita/D-6230-2016; Rigby, Matthew/A-5555-2012</t>
  </si>
  <si>
    <t>Miller, Benjamin R/0000-0001-9988-9687; Krummel, Paul B/0000-0002-4884-3678; Muhle, Jens/0000-0001-9776-3642; Miller, Benjamin/0000-0003-1647-0122; Trudinger, Cathy/0000-0002-4844-2153; Ganesan, Anita/0000-0001-5715-8923; Rigby, Matthew/0000-0002-2020-9253</t>
  </si>
  <si>
    <t>NASA [NNX07AE89G, NNX07AF09G, NNX07AE87G]</t>
  </si>
  <si>
    <t>Development of the Medusa GC/MS systems, calibrations, and measurements were carried out as part of the international AGAGE research program and supported by the NASA Upper Atmospheric Research Program in the US with grants NNX07AE89G to MIT, NNX07AF09G and NNX07AE87G to SIO, Defra and NOAA in the UK, CSIRO and the Australian Government Bureau of Meteorology in Australia. We thank J. P. Severinghaus (SIO) for the Megadunes firn samples from Antarctica, J. E. Shields (SIO) for an air-age estimate of the deepest and oldest Megadunes firn air samples used in this work, V. V. Petrenko and J. P. Severinghaus (SIO) for the ancient NH ice samples from the Pakitsoq site in Greenland. We especially thank E. J. Dlugokencky, J. W. Elkins, B. D. Hall, and S. A. Montzka (NOAA/GMD), C. D. Keeling (deceased) and R. F. Keeling (SIO), N. Schmidbauer, O. Hermansen, C. R. Lunder (NILU), and R. C. Rhew (UCB) for air samples. We thank R. A. Rasmussen and the Oregon Graduate Institute (OGI) for originally collecting the Cape Meares Northern Hemispheric samples which were provided by NOAA/GMD, NILU, and CSIRO. We are indebted to the staff at the AGAGE sites for their continuing contributions to produce high quality measurements of atmospheric trace gases. In particular, we thank G. Spain (Mace Head), R. Dickau (Trinidad Head), P. Sealy (Ragged Point), M. C. Cunningham (Cape Matatula), C. G. Rickard, and J. Z. Ward (Cape Grim). In addition, we thank M. Leist (CSIRO) for his excellent technical support of the Cape Grim Medusa system. We are especially thankful to R. Knapp, J. Marks, and C. Bayliss (International Aluminium Institute, IAI), M. Ison (Australian Aluminium Council, AAC) and the two anonymous reviewers for their insightful comments and reviews which contributed to the improvement of this manuscript.</t>
  </si>
  <si>
    <t>10.5194/acp-10-5145-2010</t>
  </si>
  <si>
    <t>WOS:000278745300011</t>
  </si>
  <si>
    <t>Begoin, M; Richter, A; Weber, M; Kaleschke, L; Tian-Kunze, X; Stohl, A; Theys, N; Burrows, JP</t>
  </si>
  <si>
    <t>Begoin, M.; Richter, A.; Weber, M.; Kaleschke, L.; Tian-Kunze, X.; Stohl, A.; Theys, N.; Burrows, J. P.</t>
  </si>
  <si>
    <t>Satellite observations of long range transport of a large BrO plume in the Arctic</t>
  </si>
  <si>
    <t>TROPOSPHERIC OZONE DEPLETION; DISPERSION MODEL FLEXPART; BOUNDARY-LAYER; SEA-ICE; POLAR SUNRISE; FROST FLOWERS; DOAS; ANTARCTICA; RETRIEVAL; CHEMISTRY</t>
  </si>
  <si>
    <t>Ozone Depletion Events (ODE) during polar springtime are a well known phenomenon in the Arctic and Antarctic boundary layer. They are caused by the catalytic destruction of ozone by halogens producing reactive halogen oxides like bromine monoxide (BrO). The key halogen bromine can be rapidly transferred into the gas phase in an autocatalytic process - the so called Bromine Explosion. However, the exact mechanism, which leads to an initial bromine release as well as the influence of transport and chemical processes on BrO, is still not clearly understood. In this study, BrO measurements from the satellite instrument GOME-2 are used together with model calculations with the dispersion model FLEXPART to study an arctic BrO event in March 2007, which could be tracked over several days and a large area. Full BrO activation was observed within one day east of Siberia with subsequent transport to Hudson Bay. The event was linked to a cyclone with very high surface wind speeds, which could have been involved in the production and lifting of aerosols or blowing snow. Considering the short life time of BrO, transported aerosols or snow can also provide the surface for BrO recycling within the plume for several days. The evolution of the BrO plume could be reproduced by FLEXPART simulations of a passive tracer indicating that the activated air mass was transported all the way from Siberia to Hudson Bay. To localise the most probable transport height, model runs initialised in different heights have been performed showing similar transport patterns throughout the troposphere but best agreement with the measurements between the surface and 3 km. The influence of changes in tropopause height on measured BrO values has been considered, but cannot completely explain the observed high BrO values. Backward trajectories from the area of BrO initialisation show upward lifting from the surface up to 3 km and no indication for intrusion of stratospheric air. These observations are consistent with a scenario in which bromine in the air mass was activated on the surface within the cyclone, lifted upwards and transported over several thousand kilometres to Hudson Bay.</t>
  </si>
  <si>
    <t>[Begoin, M.; Richter, A.; Weber, M.; Burrows, J. P.] Univ Bremen, Inst Environm Phys, Bremen, Germany; [Kaleschke, L.; Tian-Kunze, X.] Univ Hamburg, Inst Oceanog, Hamburg, Germany; [Stohl, A.] Norwegian Inst Air Res, Kjeller, Norway; [Theys, N.] Belgian Inst Space Aeron, Brussels, Belgium</t>
  </si>
  <si>
    <t>University of Bremen; University of Hamburg; NILU</t>
  </si>
  <si>
    <t>Begoin, M (corresponding author), Univ Bremen, Inst Environm Phys, Bremen, Germany.</t>
  </si>
  <si>
    <t>begoin@iup.physik.uni-bremen.de</t>
  </si>
  <si>
    <t>Stohl, Andreas/A-7535-2008; Burrows, John Philip/AAF-8468-2019; Weber, Mark/F-1409-2011; Richter, Andreas/C-4971-2008</t>
  </si>
  <si>
    <t>Stohl, Andreas/0000-0002-2524-5755; Burrows, John Philip/0000-0002-6821-5580; Weber, Mark/0000-0001-8217-5450; Begoin, Mathias/0000-0003-3922-8638; Richter, Andreas/0000-0003-3339-212X; Kaleschke, Lars/0000-0001-7086-3299; Tian-Kunze, Xiangshan/0000-0001-8270-1924</t>
  </si>
  <si>
    <t>10.5194/acp-10-6515-2010</t>
  </si>
  <si>
    <t>633PL</t>
  </si>
  <si>
    <t>WOS:000280515600006</t>
  </si>
  <si>
    <t>Kuttippurath, J; Goutail, F; Pommereau, JP; Lefèvre, F; Roscoe, HK; Pazmiño, A; Feng, W; Chipperfield, MP; Godin-Beekmann, S</t>
  </si>
  <si>
    <t>Kuttippurath, J.; Goutail, F.; Pommereau, J. -P.; Lefevre, F.; Roscoe, H. K.; Pazmino, A.; Feng, W.; Chipperfield, M. P.; Godin-Beekmann, S.</t>
  </si>
  <si>
    <t>Estimation of Antarctic ozone loss from ground-based total column measurements</t>
  </si>
  <si>
    <t>3-DIMENSIONAL MODEL SIMULATIONS; CHEMICAL-TRANSPORT MODEL; POTENTIAL VORTICITY; HOLE; DEPLETION; DOBSON; TRENDS; NO2; WINTER</t>
  </si>
  <si>
    <t>The passive tracer method is used to estimate ozone loss from ground-based measurements in the Antarctic. A sensitivity study shows that the ozone depletion can be estimated within an accuracy of similar to 4%. The method is then applied to the ground-based observations from Arrival Heights, Belgrano, Concordia, Dumont d'Urville, Faraday, Halley, Marambio, Neumayer, Rothera, South Pole, Syowa, and Zhongshan for the diagnosis of ozone loss in the Antarctic. On average, the ten-day boxcar average of the vortex mean ozone column loss deduced from the ground-based stations was about 55 +/- 5% in 2005-2009. The ozone loss computed from the ground-based measurements is in very good agreement with those derived from satellite measurements (OMI and SCIAMACHY) and model simulations (REPROBUS and SLIMCAT), where the differences are within +/- 3-5%. The historical ground-based total ozone observations in October show that the depletion started in the late 1970s, reached a maximum in the early 1990s and stabilised afterwards due to saturation. There is no indication of ozone recovery yet. At southern mid-latitudes, a reduction of 20-50% is observed for a few days in October-November at the newly installed Rio Gallegos station. Similar depletion of ozone is also observed episodically during the vortex overpasses at Kerguelen in October-November and at Macquarie Island in July-August of the recent winters. This illustrates the significance of measurements at the edges of Antarctica.</t>
  </si>
  <si>
    <t>[Kuttippurath, J.; Goutail, F.; Pommereau, J. -P.; Lefevre, F.; Pazmino, A.; Godin-Beekmann, S.] Univ Paris 06, Univ Versailles St Quentin, CNRS INSU, UMR LATMOS IPSL 8190, Paris, France; [Roscoe, H. K.] British Antarctic Survey, Cambridge CB3 0ET, England; [Feng, W.; Chipperfield, M. P.] Univ Leeds, Sch Earth &amp; Environm, Leeds, W Yorkshire, England</t>
  </si>
  <si>
    <t>Centre National de la Recherche Scientifique (CNRS); CNRS - National Institute for Earth Sciences &amp; Astronomy (INSU); Universite Paris Saclay; Sorbonne Universite; UK Research &amp; Innovation (UKRI); Natural Environment Research Council (NERC); NERC British Antarctic Survey; University of Leeds</t>
  </si>
  <si>
    <t>Kuttippurath, J (corresponding author), Univ Paris 06, Univ Versailles St Quentin, CNRS INSU, UMR LATMOS IPSL 8190, Paris, France.</t>
  </si>
  <si>
    <t>jayan@aero.jussieu.fr</t>
  </si>
  <si>
    <t>Kuttippurath, Jayanarayanan/M-2878-2019; FENG, WUHU/B-8327-2008; Chipperfield, Martyn/H-6359-2013; Kuttippurath, Jayanarayanan/E-6441-2017</t>
  </si>
  <si>
    <t>Kuttippurath, Jayanarayanan/0000-0003-4073-8918; FENG, WUHU/0000-0002-9907-9120; Chipperfield, Martyn/0000-0002-6803-4149; Kuttippurath, Jayanarayanan/0000-0003-4073-8918</t>
  </si>
  <si>
    <t>NERC [bas010011, bas0100023, ncas10006] Funding Source: UKRI; Natural Environment Research Council [ncas10006, bas010011, bas0100023] Funding Source: researchfish</t>
  </si>
  <si>
    <t>10.5194/acp-10-6569-2010</t>
  </si>
  <si>
    <t>Green Submitted, gold, Green Accepted</t>
  </si>
  <si>
    <t>WOS:000280515600010</t>
  </si>
  <si>
    <t>Yang, X; Pyle, JA; Cox, RA; Theys, N; Van Roozendael, M</t>
  </si>
  <si>
    <t>Yang, X.; Pyle, J. A.; Cox, R. A.; Theys, N.; Van Roozendael, M.</t>
  </si>
  <si>
    <t>Snow-sourced bromine and its implications for polar tropospheric ozone</t>
  </si>
  <si>
    <t>MARINE BOUNDARY-LAYER; BLOWING SNOW; MONITORING EXPERIMENT; DEPLETION EVENTS; TRANSPORT MODEL; SEA-ICE; CHEMISTRY; GOME; HALOGENS; BRO</t>
  </si>
  <si>
    <t>In the last two decades, significant depletion of boundary layer ozone (ozone depletion events, ODEs) has been observed in both Arctic and Antarctic spring. ODEs are attributed to catalytic destruction by bromine radicals (Br plus BrO), especially during bromine explosion events (BEs), when high concentrations of BrO periodically occur. However, neither the exact source of bromine nor the mechanism for sustaining the observed high BrO concentrations is completely understood. Here, by considering the production of sea salt aerosol from snow lying on sea ice during blowing snow events and the subsequent release of bromine, we successfully simulate the BEs using a global chemistry transport model. We find that heterogeneous reactions play an important role in sustaining a high fraction of the total inorganic bromine as BrO. We also find that emissions of bromine associated with blowing snow contribute significantly to BrO at mid-latitudes. Modeled tropospheric BrO columns generally compare well with the tropospheric BrO columns retrieved from the GOME satellite instrument (Global Ozone Monitoring Experiment). The additional blowing snow bromine source, identified here, reduces modeled high latitude lower tropospheric ozone amounts by up to an average 8% in polar spring.</t>
  </si>
  <si>
    <t>[Yang, X.; Pyle, J. A.; Cox, R. A.] Natl Ctr Atmospher Sci, Cambridge CB2 1EW, England; [Yang, X.; Pyle, J. A.] Univ Cambridge, Dept Chem, Ctr Atmospher Sci, Cambridge CB2 1EW, England; [Theys, N.; Van Roozendael, M.] Inst Aeron Spatiale Belgique IASB BIRA, Brussels, Belgium</t>
  </si>
  <si>
    <t>University of Cambridge; UK Research &amp; Innovation (UKRI); Natural Environment Research Council (NERC); NERC National Centre for Atmospheric Science; University of Cambridge</t>
  </si>
  <si>
    <t>Yang, X (corresponding author), Natl Ctr Atmospher Sci, Cambridge CB2 1EW, England.</t>
  </si>
  <si>
    <t>xin.yang@atm.ch.cam.ac.uk</t>
  </si>
  <si>
    <t>Yang, Xin/AGB-3514-2022</t>
  </si>
  <si>
    <t>Yang, Xin/0000-0002-3838-9758</t>
  </si>
  <si>
    <t>NCAS; NERC through the AMMA-UK; ESA DUE TEMIS; Belgian Science Policy Office; NERC [ncas10006] Funding Source: UKRI; Natural Environment Research Council [ncas10006, ncas10009] Funding Source: researchfish</t>
  </si>
  <si>
    <t>NCAS; NERC through the AMMA-UK; ESA DUE TEMIS; Belgian Science Policy Office(Belgian Federal Science Policy Office); NERC(UK Research &amp; Innovation (UKRI)Natural Environment Research Council (NERC)); Natural Environment Research Council(UK Research &amp; Innovation (UKRI)Natural Environment Research Council (NERC))</t>
  </si>
  <si>
    <t>This work was supported by NCAS and NERC through the AMMA-UK project. BrO product is from BIRA-IASB and has been financially supported by the ESA DUE TEMIS project and the Belgian Science Policy Office through the Prodex program. We thank R. Kwok for supplying Arctic multi-year sea ice data. We acknowledge the National Snow and Ice Data Center (NSIDC) for the data set of DMSP SSM/I Daily and Monthly Polar Gridded Sea Ice Concentrations.</t>
  </si>
  <si>
    <t>10.5194/acp-10-7763-2010</t>
  </si>
  <si>
    <t>645ED</t>
  </si>
  <si>
    <t>gold, Green Published, Green Submitted</t>
  </si>
  <si>
    <t>WOS:000281432800017</t>
  </si>
  <si>
    <t>Jones, AE; Anderson, PS; Wolff, EW; Roscoe, HK; Marshall, GJ; Richter, A; Brough, N; Colwell, SR</t>
  </si>
  <si>
    <t>Jones, A. E.; Anderson, P. S.; Wolff, E. W.; Roscoe, H. K.; Marshall, G. J.; Richter, A.; Brough, N.; Colwell, S. R.</t>
  </si>
  <si>
    <t>Vertical structure of Antarctic tropospheric ozone depletion events: characteristics and broader implications</t>
  </si>
  <si>
    <t>ATMOSPHERIC BOUNDARY-LAYER; SURFACE OZONE; ARCTIC-OCEAN; BRO; SNOW; TRANSPORT; HALOGENS; BROMINE; SEA; CHEMISTRY</t>
  </si>
  <si>
    <t>The majority of tropospheric ozone depletion event (ODE) studies have focussed on time-series measurements, with comparatively few studies of the vertical component. Those that exist have almost exclusively used free-flying balloon-borne ozonesondes and almost all have been conducted in the Arctic. Here we use measurements from two separate Antarctic field experiments to examine the vertical profile of ozone during Antarctic ODEs. We use tethersonde data to probe details in the lowest few hundred meters and find considerable structure in the profiles associated with complex atmospheric layering. The profiles were all measured at wind speeds less than 7 ms(-1), and on each occasion the lowest inversion height lay between 10 m and 40 m. We also use data from a free-flying ozonesonde study to select events where ozone depletion was recorded at altitudes &gt; 1 km above ground level. Using ERA-40 meteorological charts, we find that on every occasion the high altitude depletion was preceded by an atmospheric low pressure system. An examination of limited published ozonesonde data from other Antarctic stations shows this to be a consistent feature. Given the link between BrO and ODEs, we also examine ground-based and satellite BrO measurements and find a strong association between atmospheric low pressure systems and enhanced BrO that must arise in the troposphere. The results suggest that, in Antarctica, such depressions are responsible for driving high altitude ODEs and for generating the large-scale BrO clouds observed from satellites. In the Arctic, the prevailing meteorology differs from that in Antarctica, but, while a less common effect, major low pressure systems in the Arctic can also generate BrO clouds. Such depressions thus appear to be fundamental when considering the broader influence of ODEs, certainly in Antarctica, such as halogen export and the radiative influence of ozone-depleted air masses.</t>
  </si>
  <si>
    <t>[Jones, A. E.; Anderson, P. S.; Wolff, E. W.; Roscoe, H. K.; Marshall, G. J.; Brough, N.; Colwell, S. R.] British Antarctic Survey, Nat Environm Res Council, Cambridge CB3 0ET, England; [Richter, A.] Univ Bremen, Inst Environm Phys, D-28359 Bremen, Germany</t>
  </si>
  <si>
    <t>UK Research &amp; Innovation (UKRI); Natural Environment Research Council (NERC); NERC British Antarctic Survey; University of Bremen</t>
  </si>
  <si>
    <t>Jones, AE (corresponding author), British Antarctic Survey, Nat Environm Res Council, Madingley Rd, Cambridge CB3 0ET, England.</t>
  </si>
  <si>
    <t>aejo@bas.ac.uk</t>
  </si>
  <si>
    <t>brough, neil/AAG-8550-2019; Wolff, Eric W/D-7925-2014; Richter, Andreas/C-4971-2008</t>
  </si>
  <si>
    <t>brough, neil/0000-0002-2316-5292; Wolff, Eric W/0000-0002-5914-8531; Richter, Andreas/0000-0003-3339-212X</t>
  </si>
  <si>
    <t>Natural Environment Research Council; Natural Environment Research Council [bas0100024] Funding Source: researchfish; NERC [bas0100024] Funding Source: UKRI</t>
  </si>
  <si>
    <t>The authors would like to thank the 1987 and 2007 Halley overwintering teams who made the sonde measurements and Russ Ladkin (BAS) for providing the meteorological sonde and its Labview logging software. We thank B. G. Gardiner for providing the 1987 balloon-borne ozone sonde data, J. D. Shanklin for discussions regarding the 1987 measurement methodology, and Tom Brooke for processing potential temperature data. We are very grateful to John Turner for his input to the section about polar low pressure systems, and also to Nicolas Theys for discussions and calculations regarding the tropospheric BrO column for case studies considered in this paper. This study is part of the British Antarctic Survey Polar Science for Planet Earth Programme. It was funded by the Natural Environment Research Council.</t>
  </si>
  <si>
    <t>10.5194/acp-10-7775-2010</t>
  </si>
  <si>
    <t>gold, Green Accepted, Green Submitted</t>
  </si>
  <si>
    <t>WOS:000281432800018</t>
  </si>
  <si>
    <t>Gassó, S; Stein, A; Marino, F; Castellano, E; Udisti, R; Ceratto, J</t>
  </si>
  <si>
    <t>Gasso, S.; Stein, A.; Marino, F.; Castellano, E.; Udisti, R.; Ceratto, J.</t>
  </si>
  <si>
    <t>A combined observational and modeling approach to study modern dust transport from the Patagonia desert to East Antarctica</t>
  </si>
  <si>
    <t>SAN-SEBASTIAN BAY; TIERRA-DEL-FUEGO; DOME-C; MINERAL DUST; ICE CORES; ATLANTIC-OCEAN; AEROSOL; CLIMATE; MODIS; IRON</t>
  </si>
  <si>
    <t>The understanding of present atmospheric transport processes from Southern Hemisphere (SH) landmasses to Antarctica can improve the interpretation of stratigraphic data in Antarctic ice cores. In addition, long range transport can deliver key nutrients normally not available to marine ecosystems in the Southern Ocean and may trigger or enhance primary productivity. However, there is a dearth of observational based studies of dust transport in the SH. This work aims to improve current understanding of dust transport in the SH by showing a characterization of two dust events originating in the Patagonia desert (south end of South America). The approach is based on a combined and complementary use of satellite retrievals (detectors MISR, MODIS, GLAS, POLDER, OMI), transport model simulation (HYSPLIT) and surface observations near the sources and aerosol measurements in Antarctica (Neumayer and Concordia sites). Satellite imagery and visibility observations confirm dust emission in a stretch of dry lakes along the coast of the Tierra del Fuego (TdF) island (similar to 54A degrees S) and from the shores of the Colihue Huapi lake in Central Patagonia (similar to 46A degrees S) in February 2005. Model simulations initialized by these observations reproduce the timing of an observed increase in dust concentration at the Concordia Station and some of the observed increases in atmospheric aerosol absorption (here used as a dust proxy) in the Neumayer station. The TdF sources were the largest contributors of dust at both sites. The transit times from TdF to the Neumayer and Concordia sites are 6-7 and 9-10 days respectively. Lidar observations and model outputs coincide in placing most of the dust cloud in the boundary layer and suggest significant deposition over the ocean immediately downwind. Boundary layer dust was detected as far as 1800 km from the source and similar to 800 km north of the South Georgia Island over the central sub-Antarctic Atlantic Ocean. Although the analysis suggests the presence of dust at similar to 1500 km SW of South Africa five days after, the limited capabilities of existing satellite platforms to differentiate between aerosol types do not permit a definitive conclusion. In addition, the model simulations show dust lifting to the free troposphere as it travels south but it could not be confirmed by the satellite observations due to cloudiness. This work demonstrates that complementary information from existing transport models, satellite and surface data can yield a consistent picture of the dust transport from the Patagonia desert to Antarctica. It also illustrates the limitation of using any of these approaches individually to characterize the transport of dust in a heavily cloudy area.</t>
  </si>
  <si>
    <t>[Gasso, S.] Univ Maryland Baltimore Cty, Greenbelt, MD USA; [Gasso, S.] NASA, Greenbelt, MD USA; [Stein, A.] NOAA, Earth Resources Technol &amp; Air Resource Lab, Silver Spring, MD USA; [Marino, F.; Castellano, E.; Udisti, R.] Univ Florence, Dept Chem, I-50121 Florence, Italy; [Ceratto, J.] NASA, Summer Inst, Greenbelt, MD USA</t>
  </si>
  <si>
    <t>University System of Maryland; University of Maryland Baltimore County; National Aeronautics &amp; Space Administration (NASA); National Oceanic Atmospheric Admin (NOAA) - USA; University of Florence; National Aeronautics &amp; Space Administration (NASA)</t>
  </si>
  <si>
    <t>Gassó, S (corresponding author), Univ Maryland Baltimore Cty, Greenbelt, MD USA.</t>
  </si>
  <si>
    <t>santiago.gasso@nasa.gov</t>
  </si>
  <si>
    <t>Stein, Ariel F/L-9724-2014; Stein, Ariel/G-1330-2012; Udisti, Roberto/M-7966-2015; Gasso, Santiago/H-9571-2014</t>
  </si>
  <si>
    <t>Stein, Ariel F/0000-0002-9560-9198; Udisti, Roberto/0000-0003-4440-8238; Gasso, Santiago/0000-0002-6872-0018; Becagli, Silvia/0000-0003-3633-4849</t>
  </si>
  <si>
    <t>10.5194/acp-10-8287-2010</t>
  </si>
  <si>
    <t>650JS</t>
  </si>
  <si>
    <t>WOS:000281845800011</t>
  </si>
  <si>
    <t>Harris, NRP; Lehmann, R; Rex, M; von der Gathen, P</t>
  </si>
  <si>
    <t>Harris, N. R. P.; Lehmann, R.; Rex, M.; von der Gathen, P.</t>
  </si>
  <si>
    <t>A closer look at Arctic ozone loss and polar stratospheric clouds</t>
  </si>
  <si>
    <t>ANTARCTIC SPRING STRATOSPHERE; ABSORPTION CROSS-SECTIONS; CHEMISTRY-CLIMATE MODELS; 3-DIMENSIONAL MODEL; CHLORINE MONOXIDE; LOW ALTITUDES; WINTER; DEPLETION; DENITRIFICATION; VORTEX</t>
  </si>
  <si>
    <t>The empirical relationship found between column-integrated Arctic ozone loss and the potential volume of polar stratospheric clouds inferred from meteorological analyses is recalculated in a self-consistent manner using the ERA Interim reanalyses. The relationship is found to hold at different altitudes as well as in the column. The use of a PSC formation threshold based on temperature dependent cold aerosol formation makes little difference to the original, empirical relationship. Analysis of the photochemistry leading to the ozone loss shows that activation is limited by the photolysis of nitric acid. This step produces nitrogen dioxide which is converted to chlorine nitrate which in turn reacts with hydrogen chloride on any polar stratospheric clouds to form active chlorine. The rate-limiting step is the photolysis of nitric acid: this occurs at the same rate every year and so the interannual variation in the ozone loss is caused by the extent and persistence of the polar stratospheric clouds. In early spring the ozone loss rate increases as the solar insolation increases the photolysis of the chlorine monoxide dimer in the near ultraviolet. However the length of the ozone loss period is determined by the photolysis of nitric acid which also occurs in the near ultraviolet. As a result of these compensating effects, the amount of the ozone loss is principally limited by the extent of original activation rather than its timing. In addition a number of factors, including the vertical changes in pressure and total inorganic chlorine as well as denitrification and renitrification, offset each other. As a result the extent of original activation is the most important factor influencing ozone loss. These results indicate that relatively simple parameterisations of Arctic ozone loss could be developed for use in coupled chemistry climate models.</t>
  </si>
  <si>
    <t>[Harris, N. R. P.] Univ Cambridge, Dept Chem, European Ozone Res Coordinating Unit, Cambridge CB2 1HE, England; [Lehmann, R.; Rex, M.; von der Gathen, P.] Alfred Wegener Inst, Potsdam, Germany</t>
  </si>
  <si>
    <t>University of Cambridge; Helmholtz Association; Alfred Wegener Institute, Helmholtz Centre for Polar &amp; Marine Research</t>
  </si>
  <si>
    <t>Harris, NRP (corresponding author), Univ Cambridge, Dept Chem, European Ozone Res Coordinating Unit, Lensfield Rd, Cambridge CB2 1HE, England.</t>
  </si>
  <si>
    <t>neil.harris@ozone-sec.ch.cam.ac.uk</t>
  </si>
  <si>
    <t>Rex, Markus/A-6054-2009; von der Gathen, Peter/B-8515-2009</t>
  </si>
  <si>
    <t>Rex, Markus/0000-0001-7847-8221; von der Gathen, Peter/0000-0001-7409-1556; Harris, Neil/0000-0003-1256-3006</t>
  </si>
  <si>
    <t>EU [505390-GOCE-CT-2004]; BMBF [FKZ07ATC08]; NERC; Canadian Space Agency; NASA; Natural Environment Research Council [NE/G014655/1] Funding Source: researchfish; NERC [NE/G014655/1] Funding Source: UKRI</t>
  </si>
  <si>
    <t>EU(European Union (EU)); BMBF(Federal Ministry of Education &amp; Research (BMBF)); NERC(UK Research &amp; Innovation (UKRI)Natural Environment Research Council (NERC)); Canadian Space Agency(Canadian Space Agency); NASA(National Aeronautics &amp; Space Administration (NASA)); Natural Environment Research Council(UK Research &amp; Innovation (UKRI)Natural Environment Research Council (NERC)); NERC(UK Research &amp; Innovation (UKRI)Natural Environment Research Council (NERC))</t>
  </si>
  <si>
    <t>This work was supported by the EU Integrated Project SCOUT-O3 (505390-GOCE-CT-2004) and by the BMBF DYCHO project (FKZ07ATC08). NRPH thanks NERC for an Advanced Research Fellowship. We thank the many ozonesonde personnel who have launched the ozonesondes used in this analysis. Michelle Santee and Peter Bernath provided useful and helpful advice. Meteorological data were provided by ECMWF and FU-Berlin. The ACE mission is supported primarily by the Canadian Space Agency. EOS Aura MLS is supported by NASA.</t>
  </si>
  <si>
    <t>10.5194/acp-10-8499-2010</t>
  </si>
  <si>
    <t>WOS:000281845800024</t>
  </si>
  <si>
    <t>Eyring, V; Cionni, I; Bodeker, GE; Charlton-Perez, AJ; Kinnison, DE; Scinocca, JF; Waugh, DW; Akiyoshi, H; Bekki, S; Chipperfield, MP; Dameris, M; Dhomse, S; Frith, SM; Garny, H; Gettelman, A; Kubin, A; Langematz, U; Mancini, E; Marchand, M; Nakamura, T; Oman, LD; Pawson, S; Pitari, G; Plummer, DA; Rozanov, E; Shepherd, TG; Shibata, K; Tian, W; Braesicke, P; Hardiman, SC; Lamarque, JF; Morgenstern, O; Pyle, JA; Smale, D; Yamashita, Y</t>
  </si>
  <si>
    <t>Eyring, V.; Cionni, I.; Bodeker, G. E.; Charlton-Perez, A. J.; Kinnison, D. E.; Scinocca, J. F.; Waugh, D. W.; Akiyoshi, H.; Bekki, S.; Chipperfield, M. P.; Dameris, M.; Dhomse, S.; Frith, S. M.; Garny, H.; Gettelman, A.; Kubin, A.; Langematz, U.; Mancini, E.; Marchand, M.; Nakamura, T.; Oman, L. D.; Pawson, S.; Pitari, G.; Plummer, D. A.; Rozanov, E.; Shepherd, T. G.; Shibata, K.; Tian, W.; Braesicke, P.; Hardiman, S. C.; Lamarque, J. F.; Morgenstern, O.; Pyle, J. A.; Smale, D.; Yamashita, Y.</t>
  </si>
  <si>
    <t>Multi-model assessment of stratospheric ozone return dates and ozone recovery in CCMVal-2 models</t>
  </si>
  <si>
    <t>CHEMISTRY-CLIMATE MODEL; BREWER-DOBSON CIRCULATION; GASES NITROUS-OXIDE; MIDDLE ATMOSPHERE; FUTURE CONCENTRATIONS; CARBON-DIOXIDE; TECHNICAL NOTE; SIMULATION; TRANSPORT; METHANE</t>
  </si>
  <si>
    <t>Projections of stratospheric ozone from a suite of chemistry-climate models (CCMs) have been analyzed. In addition to a reference simulation where anthropogenic halogenated ozone depleting substances (ODSs) and greenhouse gases (GHGs) vary with time, sensitivity simulations with either ODS or GHG concentrations fixed at 1960 levels were performed to disaggregate the drivers of projected ozone changes. These simulations were also used to assess the two distinct milestones of ozone returning to historical values (ozone return dates) and ozone no longer being influenced by ODSs (full ozone recovery). The date of ozone returning to historical values does not indicate complete recovery from ODSs in most cases, because GHG-induced changes accelerate or decelerate ozone changes in many regions. In the upper stratosphere where CO2-induced stratospheric cooling increases ozone, full ozone recovery is projected to not likely have occurred by 2100 even though ozone returns to its 1980 or even 1960 levels well before (similar to 2025 and 2040, respectively). In contrast, in the tropical lower stratosphere ozone decreases continuously from 1960 to 2100 due to projected increases in tropical upwelling, while by around 2040 it is already very likely that full recovery from the effects of ODSs has occurred, although ODS concentrations are still elevated by this date. In the midlatitude lower stratosphere the evolution differs from that in the tropics, and rather than a steady decrease in ozone, first a decrease in ozone is simulated from 1960 to 2000, which is then followed by a steady increase through the 21st century. Ozone in the midlatitude lower stratosphere returns to 1980 levels by similar to 2045 in the Northern Hemisphere (NH) and by similar to 2055 in the Southern Hemisphere (SH), and full ozone recovery is likely reached by 2100 in both hemispheres. Overall, in all regions except the tropical lower stratosphere, full ozone recovery from ODSs occurs significantly later than the return of total column ozone to its 1980 level. The latest return of total column ozone is projected to occur over Antarctica (similar to 2045-2060) whereas it is not likely that full ozone recovery is reached by the end of the 21st century in this region. Arctic total column ozone is projected to return to 1980 levels well before polar stratospheric halogen loading does so (similar to 2025-2030 for total column ozone, cf. 2050-2070 for Cl-y+60xBr(y)) and it is likely that full recovery of total column ozone from the effects of ODSs has occurred by similar to 2035. In contrast to the Antarctic, by 2100 Arctic total column ozone is projected to be above 1960 levels, but not in the fixed GHG simulation, indicating that climate change plays a significant role.</t>
  </si>
  <si>
    <t>[Eyring, V.; Cionni, I.; Dameris, M.; Garny, H.] Deutsch Zentrum Luft &amp; Raumfahrt, Inst Atmospher Phys, Oberpfaffenhofen, Germany; [Bodeker, G. E.] Bodeker Sci, Alexandra, South Africa; [Charlton-Perez, A. J.] Univ Reading, Dept Meteorol, Reading, Berks, England; [Kinnison, D. E.; Gettelman, A.] Natl Ctr Atmospher Res, Boulder, CO 80307 USA; [Scinocca, J. F.; Plummer, D. A.] Environm Canada, Victoria, BC, Canada; [Waugh, D. W.; Oman, L. D.] Johns Hopkins Univ, Dept Earth &amp; Planetary Sci, Baltimore, MD 21218 USA; [Akiyoshi, H.; Nakamura, T.; Yamashita, Y.] Natl Inst Environm Studies, Tsukuba, Ibaraki, Japan; [Bekki, S.; Marchand, M.] Serv Aeron, Inst Pierre Simone Laplace, Paris, France; [Chipperfield, M. P.; Dhomse, S.; Tian, W.] Univ Leeds, Inst Climate &amp; Atmospher Sci, Leeds LS2 9JT, W Yorkshire, England; [Frith, S. M.] Sci Syst &amp; Applicat Inc, Lanham, MD 20706 USA; [Kubin, A.; Langematz, U.] Freie Univ ,Berlin, Inst Meteorol, Berlin, Germany; [Mancini, E.; Pitari, G.] Univ Aquila, Dipartimento Fis, I-67100 Laquila, Italy; [Oman, L. D.; Pawson, S.] NASA, Goddard Space Flight Ctr, Greenbelt, MD 20771 USA; [Rozanov, E.] World Radiat Ctr, Phys Meteorol Observatorium Davos, Davos, Switzerland; [Rozanov, E.] Inst Atmospher &amp; Climate Sci ETH, Zurich, Switzerland; [Shepherd, T. G.] Univ Toronto, Dept Phys, Toronto, ON M5S 1A1, Canada; [Shibata, K.] Meteorol Res Inst, Tsukuba, Ibaraki 305, Japan; [Braesicke, P.; Morgenstern, O.; Pyle, J. A.] Univ Cambridge, Dept Chem, Cambridge CB2 1EW, England; [Hardiman, S. C.] Met Off, Exeter, Devon, England; [Morgenstern, O.; Smale, D.] Natl Inst Water &amp; Atmospher Res, Lauder, New Zealand; [Yamashita, Y.] Univ Tokyo, Ctr Climate Syst Res, Tokyo 1138654, Japan</t>
  </si>
  <si>
    <t>Helmholtz Association; German Aerospace Centre (DLR); University of Reading; National Center Atmospheric Research (NCAR) - USA; Environment &amp; Climate Change Canada; Johns Hopkins University; National Institute for Environmental Studies - Japan; University of Leeds; Science Systems and Applications Inc; Free University of Berlin; University of L'Aquila; National Aeronautics &amp; Space Administration (NASA); NASA Goddard Space Flight Center; Swiss Federal Institutes of Technology Domain; ETH Zurich; University of Toronto; Meteorological Research Institute - Japan; University of Cambridge; Met Office - UK; National Institute of Water &amp; Atmospheric Research (NIWA) - New Zealand; University of Tokyo</t>
  </si>
  <si>
    <t>Eyring, V (corresponding author), Deutsch Zentrum Luft &amp; Raumfahrt, Inst Atmospher Phys, Oberpfaffenhofen, Germany.</t>
  </si>
  <si>
    <t>veronika.eyring@dlr.de</t>
  </si>
  <si>
    <t>Rozanov, Eugene/V-1881-2018; Bodeker, Greg E/A-8870-2008; Rozanov, Eugene/A-9857-2012; Dhomse, Sandip/C-8198-2011; Akiyoshi, Hideharu/H-8170-2018; CIONNI, Irene/E-8204-2017; Yamashita, Yousuke/AAB-4754-2019; Gettelman, Andrew/AAY-2312-2021; Frith, Stacey/HMD-9437-2023; Eyring, Veronika/O-9999-2016; Chipperfield, Martyn/H-6359-2013; Smale, Daniel/Y-2909-2019; Lamarque, Jean-Francois/L-2313-2014; , John/IQU-7911-2023; Pawson, Steven/I-1865-2014; Charlton-Perez, Andrew/F-4079-2010; bekki, slimane/J-7221-2015; Smale, Dan A/B-3240-2011; Hardiman, Steven/HDO-0165-2022; Braesicke, Peter/D-8330-2016; Waugh, Darryn/K-3688-2016; Oman, Luke/C-2778-2009; Nakamura, Tetsu/M-7914-2015; Pitari, Giovanni/O-7458-2016</t>
  </si>
  <si>
    <t>Rozanov, Eugene/0000-0003-0479-4488; Rozanov, Eugene/0000-0003-0479-4488; Dhomse, Sandip/0000-0003-3854-5383; CIONNI, Irene/0000-0002-0591-9193; Yamashita, Yousuke/0000-0002-6813-4668; Frith, Stacey/0000-0001-6894-0574; Eyring, Veronika/0000-0002-6887-4885; Chipperfield, Martyn/0000-0002-6803-4149; Smale, Daniel/0000-0003-4157-541X; Charlton-Perez, Andrew/0000-0001-8179-6220; bekki, slimane/0000-0002-5538-0800; Braesicke, Peter/0000-0003-1423-0619; Garny, Hella/0000-0003-4960-2304; Waugh, Darryn/0000-0001-7692-2798; Oman, Luke/0000-0002-5487-2598; Mancini, Eva/0000-0001-7071-0292; Nakamura, Tetsu/0000-0002-2056-7392; Pitari, Giovanni/0000-0001-7051-9578; Bodeker, Gregory/0000-0003-1094-5852; Dameris, Martin/0000-0001-6700-0628; Morgenstern, Olaf/0000-0002-9967-9740</t>
  </si>
  <si>
    <t>Ministry of the Environment of Japan [A-071]; DECC/Defra [GA01101]; National Science Foundation; NERC [jwcrp01001] Funding Source: UKRI; Natural Environment Research Council [jwcrp01001, ncas10009, NE/C003969/1] Funding Source: researchfish; Div Atmospheric &amp; Geospace Sciences; Directorate For Geosciences [0905863] Funding Source: National Science Foundation</t>
  </si>
  <si>
    <t>Ministry of the Environment of Japan(Ministry of the Environment, Japan); DECC/Defra(Department for Environment, Food &amp; Rural Affairs (DEFRA)); National Science Foundation(National Science Foundation (NSF));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</si>
  <si>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We acknowledge the Chemistry-Climate Model Validation (CCMVal) Activity for WCRP's (World Climate Research Programme) SPARC (Stratospheric Processes and their Role in Climate) project for organizing and coordinating the model data analysis activity, and the British Atmospheric Data Center (BADC) for collecting and archiving the CCMVal model output. We thank John Austin (AMTRAC3, NOAA GFDL, USA), Martine Michou and Hubert Teyssedre (CNRM-ACM, Meteo-France, France) for supplying model data from the REF-B2 reference simulations. We thank David B. Stephenson (Mathematics Research Institute, University of Exeter, UK) for his work on the TSAM method. CCSRNIES research was supported by the Global Environmental Research Found of the Ministry of the Environment of Japan (A-071) and the simulations were completed with the super computer at CGER, NIES. The MRI simulation was made with the supercomputer at the National Institute for Environmental Studies, Japan. The MetOffice simulation was supported by the Joint DECC and Defra Integrated Climate Programme, DECC/Defra (GA01101). NCAR is operated by the University Corporation for Atmospheric Research under sponsorship of the National Science Foundation.</t>
  </si>
  <si>
    <t>10.5194/acp-10-9451-2010</t>
  </si>
  <si>
    <t>665WG</t>
  </si>
  <si>
    <t>Green Accepted, Green Published, Green Submitted, gold</t>
  </si>
  <si>
    <t>WOS:000283066300015</t>
  </si>
  <si>
    <t>Benton, AK; Langridge, JM; Ball, SM; Bloss, WJ; Dall'Osto, M; Nemitz, E; Harrison, RM; Jones, RL</t>
  </si>
  <si>
    <t>Benton, A. K.; Langridge, J. M.; Ball, S. M.; Bloss, W. J.; Dall'Osto, M.; Nemitz, E.; Harrison, R. M.; Jones, R. L.</t>
  </si>
  <si>
    <t>Night-time chemistry above London: measurements of NO3 and N2O5 from the BT Tower</t>
  </si>
  <si>
    <t>ENHANCED ABSORPTION-SPECTROSCOPY; MARINE BOUNDARY-LAYER; IN-SITU MEASUREMENTS; NOCTURNAL NITROGEN-OXIDES; DINITROGEN PENTOXIDE; REACTIVE HALOGENS; NITRATE; APPLICABILITY; O-3; DISTRIBUTIONS</t>
  </si>
  <si>
    <t>Broadband cavity enhanced absorption spectroscopy (BBCEAS) has been used to measure the sum of concentrations of NO3 and N2O5 from the BT (telecommunications) Tower 160 m above street level in central London during the REPARTEE II campaign in October and November 2007. Substantial variability was observed in these night-time nitrogen compounds: peak NO3+N2O5 mixing ratios reached 800 pptv, whereas the mean night-time NO3+N2O5 was approximately 30 pptv. Additionally, [NO3+N2O5] showed negative correlations with [NO] and [NO2] and a positive correlation with [O-3]. Co-measurements of temperature and NO2 from the BT Tower were used to calculate the equilibrium partitioning between NO3 and N2O5 which was always found to strongly favour N2O5 (NO3/N2O5=0.01 to 0.04). Two methods are used to calculate the lifetimes for NO3 and N2O5, the results being compared and discussed in terms of the implications for the night-time oxidation of nitrogen oxides and the night-time sinks for NOy.</t>
  </si>
  <si>
    <t>[Benton, A. K.; Langridge, J. M.; Jones, R. L.] Univ Cambridge, Dept Chem, Ctr Atmospher Sci, Cambridge CB2 1EW, England; [Ball, S. M.] Univ Leicester, Dept Chem, Leicester LE1 7RH, Leics, England; [Bloss, W. J.; Dall'Osto, M.; Harrison, R. M.] Univ Birmingham, Sch Geog Earth &amp; Environm Sci, Natl Ctr Atmospher Sci, Birmingham B15 2TT, W Midlands, England; [Nemitz, E.] Ctr Ecol &amp; Hydrol Edinburgh, Penicuik EH26 0QB, Midlothian, Scotland</t>
  </si>
  <si>
    <t>University of Cambridge; University of Leicester; UK Research &amp; Innovation (UKRI); Natural Environment Research Council (NERC); NERC National Centre for Atmospheric Science; University of Birmingham; UK Centre for Ecology &amp; Hydrology (UKCEH)</t>
  </si>
  <si>
    <t>Benton, AK (corresponding author), British Antarctic Survey, Nat Environm Res Council, Madingley Rd, Cambridge CB3 0ET, England.</t>
  </si>
  <si>
    <t>aibe@bas.ac.uk</t>
  </si>
  <si>
    <t>Nemitz, Eiko/I-6121-2012; Harrison, Roy Michael/A-2256-2008; Bloss, William/N-1305-2014; dallosto, manuel/G-3584-2016</t>
  </si>
  <si>
    <t>Bloss, William/0000-0002-3017-4461; Jones, Roderic/0000-0002-6761-3966; dallosto, manuel/0000-0003-4203-894X</t>
  </si>
  <si>
    <t>BOC Science Foundation; NERC [NER/S/A/2006/14097]; NERC [ncas10008, ncas10006, NE/F005466/1] Funding Source: UKRI; Natural Environment Research Council [NE/B504865/1, NE/C511599/1, NE/F005466/1, ncas10006, ncas10008, ceh010023] Funding Source: researchfish</t>
  </si>
  <si>
    <t>BOC Science Foundation;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</si>
  <si>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J. F. Barlow; T. M. Dunbar, and C. R. Wood, University of Reading and F. Davies, University of Salford for access to the Doppler lidar and sonic anemometer measurements. Lidar data courtesy of the NCAS Facility for Ground-based Atmospheric Measurement (FGAM). Thanks to D. Beddows, University of Birmingham and all REPARTEE co-workers for helpful discussion. We are grateful to the BOC Science Foundation for funding REPARTEE, to BT for use of the tower, and to D. E. Heard, University of Leeds for loan of the NOx analyser. NERC Studentship awarded to A. K. Benton ref: NER/S/A/2006/14097. We thank the referees for their helpful comments.</t>
  </si>
  <si>
    <t>10.5194/acp-10-9781-2010</t>
  </si>
  <si>
    <t>673LH</t>
  </si>
  <si>
    <t>WOS:000283663000005</t>
  </si>
  <si>
    <t>Bloss, WJ; Camredon, M; Lee, JD; Heard, DE; Plane, JMC; Saiz-Lopez, A; Bauguitte, SJB; Salmon, RA; Jones, AE</t>
  </si>
  <si>
    <t>Bloss, W. J.; Camredon, M.; Lee, J. D.; Heard, D. E.; Plane, J. M. C.; Saiz-Lopez, A.; Bauguitte, S. J. -B.; Salmon, R. A.; Jones, A. E.</t>
  </si>
  <si>
    <t>Coupling of HOx, NOx and halogen chemistry in the antarctic boundary layer</t>
  </si>
  <si>
    <t>LASER-INDUCED FLUORESCENCE; ABSORPTION CROSS-SECTION; METHANE SULFONIC-ACID; SOUTH-POLE; PHOTOCHEMICAL PRODUCTION; ATMOSPHERIC CHEMISTRY; IODINE CHEMISTRY; OH REACTIVITY; ANTCI 2003; SEA-SALT</t>
  </si>
  <si>
    <t>A modelling study of radical chemistry in the coastal Antarctic boundary layer, based upon observations performed in the course of the CHABLIS (Chemistry of the Antarctic Boundary Layer and the Interface with Snow) campaign at Halley Research Station in coastal Antarctica during the austral summer 2004/2005, is described: a detailed zero-dimensional photochemical box model was used, employing inorganic and organic reaction schemes drawn from the Master Chemical Mechanism, with additional halogen (iodine and bromine) reactions added. The model was constrained to observations of long-lived chemical species, measured photolysis frequencies and meteorological parameters, and the simulated levels of HOx, NOx and XO compared with those observed. The model was able to replicate the mean levels and diurnal variation in the halogen oxides IO and BrO, and to reproduce NOx levels and speciation very well. The NOx source term implemented compared well with that directly measured in the course of the CHABLIS experiments. The model systematically overestimated OH and HO2 levels, likely a consequence of the combined effects of (a) estimated physical parameters and (b) uncertainties within the halogen, particularly iodine, chemical scheme. The principal sources of HOx radicals were the photolysis and bromine-initiated oxidation of HCHO, together with O(D-1) + H2O. The main sinks for HOx were peroxy radical self-and cross-reactions, with the sum of all halogen-mediated HOx loss processes accounting for 40% of the total sink. Reactions with the halogen monoxides dominated CH3O2-HO2-OH interconversion, with associated local chemical ozone destruction in place of the ozone production which is associated with radical cycling driven by the analogous NO reactions. The analysis highlights the need for observations of physical parameters such as aerosol surface area and boundary layer structure to constrain such calculations, and the dependence of simulated radical levels and ozone loss rates upon a number of uncertain kinetic and photochemical parameters for iodine species.</t>
  </si>
  <si>
    <t>[Bloss, W. J.; Camredon, M.] Univ Birmingham, Sch Geog Earth &amp; Environm Sci, Birmingham B15 2TT, W Midlands, England; [Lee, J. D.] Univ York, Dept Chem, York YO10 5DD, N Yorkshire, England; [Heard, D. E.; Plane, J. M. C.] Univ Leeds, Sch Chem, Natl Ctr Atmospher Sci, Leeds LS2 9JT, W Yorkshire, England; [Saiz-Lopez, A.] CSIC, Lab Atmospher &amp; Climate Sci, Toledo, Spain; [Bauguitte, S. J. -B.; Salmon, R. A.; Jones, A. E.] British Antarctic Survey, NERC, Cambridge CB3 0ET, England</t>
  </si>
  <si>
    <t>University of Birmingham; University of York - UK; University of Leeds; UK Research &amp; Innovation (UKRI); Natural Environment Research Council (NERC); NERC National Centre for Atmospheric Science; Consejo Superior de Investigaciones Cientificas (CSIC); UK Research &amp; Innovation (UKRI); Natural Environment Research Council (NERC); NERC British Antarctic Survey</t>
  </si>
  <si>
    <t>Bloss, WJ (corresponding author), Univ Birmingham, Sch Geog Earth &amp; Environm Sci, Birmingham B15 2TT, W Midlands, England.</t>
  </si>
  <si>
    <t>w.j.bloss@bham.ac.uk</t>
  </si>
  <si>
    <t>Plane, John M C/C-7444-2015; Bloss, William/N-1305-2014; Saiz-Lopez, Alfonso/B-3759-2015; lee, sooyoon/JEP-0415-2023; Heard, Dwayne/M-3624-2017</t>
  </si>
  <si>
    <t>Bloss, William/0000-0002-3017-4461; Saiz-Lopez, Alfonso/0000-0002-0060-1581; Camredon, Marie/0000-0002-6691-4978; Lee, James D/0000-0001-5397-2872; Heard, Dwayne/0000-0002-0357-6238</t>
  </si>
  <si>
    <t>UK Natural Environment Research Council Antarctic Funding Initiative [NER/G/S/2001/00010]; Natural Environment Research Council [ncas10007, ncas10006, bas0100024, ncas10008, NER/G/S/2001/00010] Funding Source: researchfish; NERC [ncas10008, ncas10006, ncas10007, bas0100024] Funding Source: UKRI</t>
  </si>
  <si>
    <t>UK Natural Environment Research Council Antarctic Funding Initiative; Natural Environment Research Council(UK Research &amp; Innovation (UKRI)Natural Environment Research Council (NERC)); NERC(UK Research &amp; Innovation (UKRI)Natural Environment Research Council (NERC))</t>
  </si>
  <si>
    <t>The CHABLIS project was funded by the UK Natural Environment Research Council Antarctic Funding Initiative, Grant Ref. NER/G/S/2001/00010. We thank Ally Lewis and Katie Read (University of York) for provision of the hydrocarbon data, Steve Colwell (BAS) for the meteorological measurements, and the workshop staff at the University of Leeds for help in preparing the instrument for deployment. The support and assistance of Graham Mills, Zoe Fleming and the BAS Technical Services, Operations and Logistics staff in Antarctica is gratefully acknowledged.</t>
  </si>
  <si>
    <t>10.5194/acp-10-10187-2010</t>
  </si>
  <si>
    <t>680CQ</t>
  </si>
  <si>
    <t>WOS:000284210400003</t>
  </si>
  <si>
    <t>Sandford, DJ; Beldon, CL; Hibbins, RE; Mitchell, NJ</t>
  </si>
  <si>
    <t>Sandford, D. J.; Beldon, C. L.; Hibbins, R. E.; Mitchell, N. J.</t>
  </si>
  <si>
    <t>Dynamics of the Antarctic and Arctic mesosphere and lower thermosphere - Part 1: Mean winds</t>
  </si>
  <si>
    <t>STATIONARY PLANETARY-WAVES; MIDDLE ATMOSPHERE; PREVAILING WINDS; MESOPAUSE REGION; METEOR RADAR; TIDES; NORTHERN; MLT; MF; CLIMATOLOGY</t>
  </si>
  <si>
    <t>Zonal and meridional winds have been measured in the upper mesosphere and lower thermosphere at polar latitudes using two ground-based meteor radars. One radar is located at Rothera (68 degrees S, 68 degrees W) in the Antarctic and has been operational since February 2005. The second radar is located at Esrange (68 degrees N, 21 degrees E) in the Arctic and has been operational since October 1999. Both radars have produced relatively continuous measurements. Here we consider measurements made up to the end of 2009. Both radars are of similar design and at conjugate geographical latitudes, making the results directly comparable and thus allowing investigation of the differences in the mean winds of the Antarctic and Arctic regions. The data from each radar have been used to construct climatologies of monthly-mean zonal and meridional winds at heights between 80 and 100 km. Both Antarctic and Arctic data sets reveal seasonally varying zonal and meridional winds in which the broad pattern repeats from year to year. In particular, the zonal winds display a strong shear in summer associated with the upper part of the westward summertime zonal jet. The winds generally reverse to eastward flow at heights of similar to 90 km. The zonal winds are eastward throughout the rest of the year. The meridional winds are generally equatorward over both sites, although brief episodes of poleward flow are often evident near the equinoxes and during winter. The strongest equatorward flows occur at heights of similar to 90 km during summer. There are significant differences between the mean winds observed in the Antarctic and Arctic. In particular, the westward winds in summer are stronger and occur earlier in the season in the Antarctic compared with the Arctic. The eastward winds evident above the summertime zonal wind reversal are significantly stronger in the Arctic. The summertime equatorward flow in the Antarctic is slightly weaker, but occurs over a greater depth than is the case in the Arctic. Comparisons of these observations with those of the URAP and HWM-07 empirical models reveal a number of significant differences. In particular, the zonal winds observed in the Antarctic during wintertime are significantly weaker than those of URAP. However, the URAP zonal winds are a good match to the observations of the Arctic. Significant differences are evident between the observations and HWM-07. In particular, the strong wintertime zonal winds of the Arctic in HWM-07 are not evident in the observations and the summertime zonal winds in HWM-07 are systematically stronger than observed. The agreement with meridional winds is generally poor. There is a significant amount of inter-annual variability in the observed zonal and meridional winds. Particularly high variability is observed in the Arctic zonal winds in spring and is probably associated with stratospheric warmings.</t>
  </si>
  <si>
    <t>[Sandford, D. J.; Beldon, C. L.; Mitchell, N. J.] Univ Bath, Dept Elect &amp; Elect Engn, Bath BA2 7AY, Avon, England; [Hibbins, R. E.] British Antarctic Survey, Cambridge CB3 0ET, England</t>
  </si>
  <si>
    <t>University of Bath; UK Research &amp; Innovation (UKRI); Natural Environment Research Council (NERC); NERC British Antarctic Survey</t>
  </si>
  <si>
    <t>Sandford, DJ (corresponding author), Univ Bath, Dept Elect &amp; Elect Engn, Bath BA2 7AY, Avon, England.</t>
  </si>
  <si>
    <t>d.j.sandford@bath.ac.uk</t>
  </si>
  <si>
    <t>Sandford, David J/A-4501-2008</t>
  </si>
  <si>
    <t>Hibbins, Robert/0000-0002-6867-2255</t>
  </si>
  <si>
    <t>Science and Technology Facilities Council (STFC) of the UK; Natural Environment Research Council (NERC) Antarctic Funding Initiative (AFI) [AF15/38]; NERC [NE/E007384/1, bas0100023] Funding Source: UKRI; STFC [PP/E002218/1] Funding Source: UKRI; Natural Environment Research Council [NER/G/S/2003/00014, bas0100023, NE/E007384/1] Funding Source: researchfish; Science and Technology Facilities Council [PP/E002218/1] Funding Source: researchfish</t>
  </si>
  <si>
    <t>Science and Technology Facilities Council (STFC) of the UK(UK Research &amp; Innovation (UKRI)Science &amp; Technology Facilities Council (STFC)); Natural Environment Research Council (NERC) Antarctic Funding Initiative (AFI)(UK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</si>
  <si>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authors would like to thank the teams who have working on the URAP and HWM models. This study was supported by the Science and Technology Facilities Council (STFC) of the UK. The Rothera Meteor Radar was funded under a Natural Environment Research Council (NERC) Antarctic Funding Initiative (AFI) Grant: AF15/38.</t>
  </si>
  <si>
    <t>10.5194/acp-10-10273-2010</t>
  </si>
  <si>
    <t>gold, Green Accepted</t>
  </si>
  <si>
    <t>WOS:000284210400008</t>
  </si>
  <si>
    <t>Mahowald, NM; Kloster, S; Engelstaedter, S; Moore, JK; Mukhopadhyay, S; McConnell, JR; Albani, S; Doney, SC; Bhattacharya, A; Curran, MAJ; Flanner, MG; Hoffman, FM; Lawrence, DM; Lindsay, K; Mayewski, PA; Neff, J; Rothenberg, D; Thomas, E; Thornton, PE; Zender, CS</t>
  </si>
  <si>
    <t>Mahowald, N. M.; Kloster, S.; Engelstaedter, S.; Moore, J. K.; Mukhopadhyay, S.; McConnell, J. R.; Albani, S.; Doney, S. C.; Bhattacharya, A.; Curran, M. A. J.; Flanner, M. G.; Hoffman, F. M.; Lawrence, D. M.; Lindsay, K.; Mayewski, P. A.; Neff, J.; Rothenberg, D.; Thomas, E.; Thornton, P. E.; Zender, C. S.</t>
  </si>
  <si>
    <t>Observed 20th century desert dust variability: impact on climate and biogeochemistry</t>
  </si>
  <si>
    <t>ATMOSPHERIC MINERAL AEROSOLS; ICE CORE RECORDS; INTERANNUAL VARIABILITY; RELATIVE IMPORTANCE; CARBON-DIOXIDE; AFRICAN DUST; LAND-USE; MODEL; SURFACE; DEPOSITION</t>
  </si>
  <si>
    <t>Desert dust perturbs climate by directly and indirectly interacting with incoming solar and outgoing long wave radiation, thereby changing precipitation and temperature, in addition to modifying ocean and land biogeochemistry. While we know that desert dust is sensitive to perturbations in climate and human land use, previous studies have been unable to determine whether humans were increasing or decreasing desert dust in the global average. Here we present observational estimates of desert dust based on paleodata proxies showing a doubling of desert dust during the 20th century over much, but not all the globe. Large uncertainties remain in estimates of desert dust variability over 20th century due to limited data. Using these observational estimates of desert dust change in combination with ocean, atmosphere and land models, we calculate the net radiative effect of these observed changes (top of atmosphere) over the 20th century to be -0.14 +/- 0.11 W/m(2) (1990-1999 vs. 1905-1914). The estimated radiative change due to dust is especially strong between the heavily loaded 1980-1989 and the less heavily loaded 1955-1964 time periods (-0.57 +/- 0.46 W/m(2)), which model simulations suggest may have reduced the rate of temperature increase between these time periods by 0.11 degrees C. Model simulations also indicate strong regional shifts in precipitation and temperature from desert dust changes, causing 6 ppm (12 PgC) reduction in model carbon uptake by the terrestrial biosphere over the 20th century. Desert dust carries iron, an important micronutrient for ocean biogeochemistry that can modulate ocean carbon storage; here we show that dust deposition trends increase ocean productivity by an estimated 6% over the 20th century, drawing down an additional 4 ppm (8 PgC) of carbon dioxide into the oceans. Thus, perturbations to desert dust over the 20th century inferred from observations are potentially important for climate and biogeochemistry, and our understanding of these changes and their impacts should continue to be refined.</t>
  </si>
  <si>
    <t>[Mahowald, N. M.; Kloster, S.; Engelstaedter, S.; Albani, S.; Rothenberg, D.] Cornell Univ, Dept Earth &amp; Atmospher Sci, Ithaca, NY 14853 USA; [Moore, J. K.; Zender, C. S.] Univ Calif Irvine, Dept Earth Syst Sci, Irvine, CA 92697 USA; [Mukhopadhyay, S.; Bhattacharya, A.] Harvard Univ, Dept Earth &amp; Planetary Sci, Cambridge, MA 02138 USA; [McConnell, J. R.] Desert Res Inst, Div Hydrol Sci, Reno, NV 89512 USA; [Albani, S.] Univ Milano Bicocca, Dept Environm Sci, I-20126 Milan, Italy; [Doney, S. C.] Woods Hole Oceanog Inst, Woods Hole, MA 02543 USA; [Curran, M. A. J.] Australian Antarctic Div, Kingston, Tas 7050, Australia; [Curran, M. A. J.] Antarctic Climate &amp; Ecosyst Cooperat Res Ctr, Hobart, Tas 7001, Australia; [Flanner, M. G.; Thornton, P. E.] Univ Michigan, Dept Atmospher Ocean &amp; Space Sci, Ann Arbor, MI 48109 USA; [Hoffman, F. M.] Oak Ridge Natl Lab, Computat Earth Sci Grp, Oak Ridge, TN 37831 USA; [Lawrence, D. M.; Lindsay, K.] Natl Ctr Atmospher Res, Climate &amp; Global Dynam Div, Boulder, CO 80307 USA; [Mayewski, P. A.] Univ Maine, Climate Change Inst, Orono, ME 04469 USA; [Neff, J.] Univ Colorado, Dept Geosci, Boulder, CO 80301 USA; [Neff, J.] Univ Colorado, Environm Studies Program, Boulder, CO 80301 USA; [Thomas, E.] British Antarctic Survey, Cambridge CB3 0ET, England</t>
  </si>
  <si>
    <t>Cornell University; University of California System; University of California Irvine; Harvard University; Nevada System of Higher Education (NSHE); Desert Research Institute NSHE; University of Milano-Bicocca; Woods Hole Oceanographic Institution; Australian Antarctic Division; Antarctic Climate &amp; Ecosystems Cooperative Research Centre (ACE CRC); University of Michigan System; University of Michigan; United States Department of Energy (DOE); Oak Ridge National Laboratory; National Center Atmospheric Research (NCAR) - USA; University of Maine System; University of Maine Orono; University of Colorado System; University of Colorado Boulder; University of Colorado System; University of Colorado Boulder; UK Research &amp; Innovation (UKRI); Natural Environment Research Council (NERC); NERC British Antarctic Survey</t>
  </si>
  <si>
    <t>Mahowald, NM (corresponding author), Cornell Univ, Dept Earth &amp; Atmospher Sci, Ithaca, NY 14853 USA.</t>
  </si>
  <si>
    <t>mahowald@cornell.edu</t>
  </si>
  <si>
    <t>Albani, Samuel/AAC-5604-2020; Doney, Scott/F-9247-2010; Zender, Charles S/D-4485-2012; Hoffman, Forrest M./B-8667-2012; Thomas, Elizabeth Ruth/ADF-3660-2022; Thornton, Peter E/B-9145-2012; Neff, Jason/A-1211-2012; Mayewski, Paul Andrew/HRD-6969-2023; Albani, Samuel/G-5329-2015; Flanner, Mark/C-6139-2011; Mahowald, Natalie M/D-8388-2013; Lawrence, David M/C-4026-2011; Rothenberg, Daniel/H-1353-2013</t>
  </si>
  <si>
    <t>Albani, Samuel/0000-0001-9736-5134; Doney, Scott/0000-0002-3683-2437; Zender, Charles S/0000-0003-0129-8024; Hoffman, Forrest M./0000-0001-5802-4134; Thomas, Elizabeth Ruth/0000-0002-3010-6493; Thornton, Peter E/0000-0002-4759-5158; Albani, Samuel/0000-0001-9736-5134; Flanner, Mark/0000-0003-4012-174X; Mahowald, Natalie M/0000-0002-2873-997X; Rothenberg, Daniel/0000-0002-8270-4831; Lindsay, Keith/0000-0002-3672-1665</t>
  </si>
  <si>
    <t>NASA [NNG06G127G, NNX07AL80G]; NSF [NSF-0832782, 0932946, 0745961, OPP-0538427]; UK Natural Environment Research Council; Directorate For Geosciences; Div Atmospheric &amp; Geospace Sciences [0758369, 1003509] Funding Source: National Science Foundation; Directorate For Geosciences; Div Atmospheric &amp; Geospace Sciences [0932946] Funding Source: National Science Foundation; Directorate For Geosciences; Division Of Earth Sciences [0745961] Funding Source: National Science Foundation; Directorate For Geosciences; Office of Polar Programs (OPP) [0837883] Funding Source: National Science Foundation; Division Of Ocean Sciences; Directorate For Geosciences [0823486] Funding Source: National Science Foundation; Natural Environment Research Council [bas0100024] Funding Source: researchfish; NERC [bas0100024] Funding Source: UKRI</t>
  </si>
  <si>
    <t>NASA(National Aeronautics &amp; Space Administration (NASA)); NSF(National Science Foundation (NSF)); UK Natural Environment Research Council(UK Research &amp; Innovation (UKRI)Natural Environment Research Council (NERC)); Directorate For Geosciences; Div Atmospheric &amp; Geospace Sciences(National Science Foundation (NSF)NSF - Directorate for Geosciences (GEO)); Directorate For Geosciences; Div Atmospheric &amp; Geospace Sciences(National Science Foundation (NSF)NSF - Directorate for Geosciences (GEO)); Directorate For Geosciences; Division Of Earth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</si>
  <si>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would like to acknowledge NASA grants NNG06G127G and NNX07AL80G, NSF grants NSF-0832782, 0932946, 0745961 and OPP-0538427, and the UK Natural Environment Research Council. These simulations were conducted at the National Center for Atmospheric Research, a National Science Foundation funded facility. Comments by Ron Miller improved the manuscript. We would like to thank three anonymous reviewers for their helpful comments.</t>
  </si>
  <si>
    <t>10.5194/acp-10-10875-2010</t>
  </si>
  <si>
    <t>687EG</t>
  </si>
  <si>
    <t>WOS:000284759500011</t>
  </si>
  <si>
    <t>Hosking, JS; Russo, MR; Braesicke, P; Pyle, JA</t>
  </si>
  <si>
    <t>Hosking, J. S.; Russo, M. R.; Braesicke, P.; Pyle, J. A.</t>
  </si>
  <si>
    <t>Modelling deep convection and its impacts on the tropical tropopause layer</t>
  </si>
  <si>
    <t>MESOSCALE PRESSURE SYSTEMS; SINGLE-COLUMN MODEL; NUMERICAL PREDICTION; LOWER STRATOSPHERE; BOUNDARY-LAYER; PART I; SCHEME; TEMPERATURES; TRANSPORT; REPRESENTATION</t>
  </si>
  <si>
    <t>The UK Met Office's Unified Model is used at a climate resolution (N216, similar to 0.83 degrees x similar to 0.56 degrees, similar to 60 km) to assess the impact of deep tropical convection on the structure of the tropical tropopause layer (TTL). We focus on the potential for rapid transport of short-lived ozone depleting species to the stratosphere by rapid convective uplift. The modelled horizontal structure of organised convection is shown to match closely with signatures found in the OLR satellite data. In the model, deep convective elevators rapidly lift air from 4-5 km up to 12-14 km. The influx of tropospheric air entering the TTL (11-12 km) is similar for all tropical regions with most convection stopping below similar to 14 km. The tropical tropopause is coldest and driest between November and February, coinciding with the greatest upwelling over the tropical warm pool. As this deep convection is co-located with bromine-rich biogenic coastal emissions, this period and location could potentially be the preferential gateway for stratospheric bromine.</t>
  </si>
  <si>
    <t>[Hosking, J. S.] Univ Cambridge, Ctr Atmospher Sci, Cambridge, England; [Russo, M. R.; Braesicke, P.; Pyle, J. A.] Univ Cambridge, NCAS, Cambridge, England</t>
  </si>
  <si>
    <t>University of Cambridge; University of Cambridge</t>
  </si>
  <si>
    <t>Hosking, JS (corresponding author), British Antarctic Survey, Cambridge CB3 0ET, England.</t>
  </si>
  <si>
    <t>scott.hosking@atm.ch.cam.ac.uk</t>
  </si>
  <si>
    <t>Braesicke, Peter/D-8330-2016; Hosking, Scott/D-3437-2013</t>
  </si>
  <si>
    <t>Braesicke, Peter/0000-0003-1423-0619; Hosking, Scott/0000-0002-3646-3504; Russo, Maria/0000-0003-1061-7007</t>
  </si>
  <si>
    <t>NERC [jwcrp01001, earth010004] Funding Source: UKRI; Natural Environment Research Council [NE/C511248/1, ncas10009, jwcrp01001, earth010004] Funding Source: researchfish</t>
  </si>
  <si>
    <t>10.5194/acp-10-11175-2010</t>
  </si>
  <si>
    <t>WOS:000284759500025</t>
  </si>
  <si>
    <t>French, WJR; Mulligan, FJ</t>
  </si>
  <si>
    <t>French, W. J. R.; Mulligan, F. J.</t>
  </si>
  <si>
    <t>Stability of temperatures from TIMED/SABER v1.07 (2002-2009) and Aura/MLS v2.2 (2004-2009) compared with OH(6-2) temperatures observed at Davis Station, Antarctica</t>
  </si>
  <si>
    <t>HYDROXYL ROTATIONAL TEMPERATURES; MESOSPHERIC TEMPERATURES; KINETIC TEMPERATURE; SCALE OSCILLATIONS; SABER; 69-DEGREES-S; MIDLATITUDE; EMISSION; LIDAR</t>
  </si>
  <si>
    <t>Temperature profiles from two satellite instruments - TIMED/SABER and Aura/MLS - have been used to calculate hydroxyl-layer equivalent temperatures for comparison with values measured from OH(6-2) emission lines observed by a ground-based spectrometer located at Davis Station, Antarctica (68 degrees S, 78 degrees E). The profile selection criteria - miss-distance &lt; 500 km from the ground station and solar zenith angles &gt; 97 degrees - yielded a total of 2359 SABER profiles over 8 years (2002-2009) and 7407 MLS profiles over 5.5 years (2004-2009). The availability of simultaneous OH volume emission rate (VER) profiles from the SABER (OH-B channel) enabled an assessment of the impact of several different weighting functions in the calculation of OH-equivalent temperatures. The maximum difference between all derived hydroxyl layer equivalent temperatures was less than 3 K. Restricting the miss-distance and miss-time criteria showed little effect on the bias, suggesting that the OH layer is relatively uniform over the spatial and temporal scales considered. However, a significant trend was found in the bias between SABER and Davis OH of similar to 0.7 K/year over the 8-year period with SABER becoming warmer compared with the Davis OH temperatures. In contrast, Aura/MLS exhibited a cold bias of 9.9 +/- 0.4 K compared with Davis OH, but importantly, the bias remained constant over the 2004-2009 year period examined. The difference in bias behaviour of the two satellites has significant implications for multi-annual and long-term studies using their data.</t>
  </si>
  <si>
    <t>[French, W. J. R.] Australian Antarctic Div, Kingston, Tas, Australia; [Mulligan, F. J.] Natl Univ Ireland Maynooth, Maynooth, Kildare, Ireland</t>
  </si>
  <si>
    <t>Australian Antarctic Division; Maynooth University</t>
  </si>
  <si>
    <t>French, WJR (corresponding author), Australian Antarctic Div, Kingston, Tas, Australia.</t>
  </si>
  <si>
    <t>john.french@aad.gov.au</t>
  </si>
  <si>
    <t>French, John/0000-0001-9305-6190</t>
  </si>
  <si>
    <t>Australian Antarctic science advisory committee</t>
  </si>
  <si>
    <t>The authors gratefully acknowledge the assistance of the Optical Physicists at Davis in collecting the hydroxyl airglow data. This work is supported by the Australian Antarctic science advisory committee. We thank the TIMED/SABER and Aura/MLS science teams for providing data used in this study. We also kindly thank two anonymous referees for insightful comment and helpful suggestions on this manuscript.</t>
  </si>
  <si>
    <t>10.5194/acp-10-11439-2010</t>
  </si>
  <si>
    <t>694XJ</t>
  </si>
  <si>
    <t>WOS:000285334900008</t>
  </si>
  <si>
    <t>Holmes, CD; Jacob, DJ; Corbitt, ES; Mao, J; Yang, X; Talbot, R; Slemr, F</t>
  </si>
  <si>
    <t>Holmes, C. D.; Jacob, D. J.; Corbitt, E. S.; Mao, J.; Yang, X.; Talbot, R.; Slemr, F.</t>
  </si>
  <si>
    <t>Global atmospheric model for mercury including oxidation by bromine atoms</t>
  </si>
  <si>
    <t>MARINE BOUNDARY-LAYER; GASEOUS ELEMENTAL MERCURY; DEPENDENT RATE COEFFICIENTS; AIR-SEA EXCHANGE; WET DEPOSITION; BRO MEASUREMENTS; SCIENTIFIC UNCERTAINTIES; LOWER STRATOSPHERE; OXIDIZED MERCURY; REACTIVE MERCURY</t>
  </si>
  <si>
    <t>Global models of atmospheric mercury generally assume that gas-phase OH and ozone are the main oxidants converting Hg-0 to Hg-II and thus driving mercury deposition to ecosystems. However, thermodynamic considerations argue against the importance of these reactions. We demonstrate here the viability of atomic bromine (Br) as an alternative Hg-0 oxidant. We conduct a global 3-D simulation with the GEOS-Chem model assuming gas-phase Br to be the sole Hg-0 oxidant (Hg + Br model) and compare to the previous version of the model with OH and ozone as the sole oxidants (Hg + OH/O-3 model). We specify global 3-D Br concentration fields based on our best understanding of tropospheric and stratospheric Br chemistry. In both the Hg + Br and Hg + OH/O-3 models, we add an aqueous photochemical reduction of HgII in cloud to impose a tropospheric lifetime for mercury of 6.5 months against deposition, as needed to reconcile observed total gaseous mercury (TGM) concentrations with current estimates of anthropogenic emissions. This added reduction would not be necessary in the Hg + Br model if we adjusted the Br oxidation kinetics downward within their range of uncertainty. We find that the Hg + Br and Hg + OH/O-3 models are equally capable of reproducing the spatial distribution of TGM and its seasonal cycle at northern mid-latitudes. The Hg + Br model shows a steeper decline of TGM concentrations from the tropics to southern mid-latitudes. Only the Hg + Br model can reproduce the springtime depletion and summer rebound of TGM observed at polar sites; the snowpack component of GEOS-Chem suggests that 40% of Hg-II deposited to snow in the Arctic is transferred to the ocean and land reservoirs, amounting to a net deposition flux to the Arctic of 60Mga(-1). Summertime events of depleted Hg-0 at Antarctic sites due to subsidence are much better simulated by the Hg + Br model. Model comparisons to observed wet deposition fluxes of mercury in the US and Europe show general consistency. However the Hg + Br model does not capture the summer maximum over the southeast US because of low subtropical Br concentrations while the Hg + OH/O-3 model does. Vertical profiles measured from aircraft show a decline of Hg-0 above the tropopause that can be captured by both the Hg + Br and Hg + OH/O-3 models, except in Arctic spring where the observed decline is much steeper than simulated by either model; we speculate that oxidation by Cl species might be responsible. The Hg + Br and Hg + OH/O-3 models yield similar global budgets for the cycling of mercury between the atmosphere and surface reservoirs, but the Hg + Br model results in a much larger fraction of mercury deposited to the Southern Hemisphere oceans.</t>
  </si>
  <si>
    <t>[Holmes, C. D.; Jacob, D. J.; Corbitt, E. S.; Mao, J.] Harvard Univ, Dept Earth &amp; Planetary Sci, Cambridge, MA 02138 USA; [Holmes, C. D.; Jacob, D. J.; Corbitt, E. S.; Mao, J.] Harvard Univ, Sch Engn &amp; Appl Sci, Cambridge, MA 02138 USA; [Yang, X.] Univ Cambridge, Dept Chem, Cambridge CB2 1EW, England; [Talbot, R.] Univ New Hampshire, Inst Study Earth Oceans &amp; Space, Durham, NH 03824 USA; [Slemr, F.] Max Planck Inst Chem, Air Chem Div, D-55128 Mainz, Germany</t>
  </si>
  <si>
    <t>Harvard University; Harvard University; University of Cambridge; University System Of New Hampshire; University of New Hampshire; Max Planck Society</t>
  </si>
  <si>
    <t>Holmes, CD (corresponding author), Harvard Univ, Dept Earth &amp; Planetary Sci, 20 Oxford St, Cambridge, MA 02138 USA.</t>
  </si>
  <si>
    <t>cdholmes@post.harvard.edu</t>
  </si>
  <si>
    <t>Yang, Xin/AGB-3514-2022; Holmes, Christopher D/C-9956-2014; Mao, Jingqiu/F-2511-2010</t>
  </si>
  <si>
    <t>Yang, Xin/0000-0002-3838-9758; Holmes, Christopher D/0000-0002-2727-0954; Mao, Jingqiu/0000-0002-4774-9751</t>
  </si>
  <si>
    <t>US National Science Foundation; Electric Power Research Institute (EPRI); US Environmental Protection Agency (EPA); Natural Environment Research Council [ncas10009] Funding Source: researchfish; Div Atmospheric &amp; Geospace Sciences; Directorate For Geosciences [0961357] Funding Source: National Science Foundation</t>
  </si>
  <si>
    <t>US National Science Foundation(National Science Foundation (NSF)); Electric Power Research Institute (EPRI); US Environmental Protection Agency (EPA)(United States Environmental Protection Agency); Natural Environment Research Council(UK Research &amp; Innovation (UKRI)Natural Environment Research Council (NERC)); Div Atmospheric &amp; Geospace Sciences; Directorate For Geosciences(National Science Foundation (NSF)NSF - Directorate for Geosciences (GEO))</t>
  </si>
  <si>
    <t>We thank Oleg Travnikov for providing quality-controled EMEP wet deposition measurements, Ralf Ebinghaus and Hans Kock for CARIBIC support, and Ernst-Gunther Brunke for supporting Cape Point operations. CDH appreciates helpful comments from Elsie Sunderland. This work was supported by the Atmospheric Chemistry Program of the US National Science Foundation, by the Electric Power Research Institute (EPRI) and by a US Environmental Protection Agency (EPA) STAR Graduate Fellowship to CDH. Statements in this publication reflect the author's professional views and opinions and should not be construed to represent any determination or policy of the US EPA.</t>
  </si>
  <si>
    <t>10.5194/acp-10-12037-2010</t>
  </si>
  <si>
    <t>698GC</t>
  </si>
  <si>
    <t>WOS:000285581000004</t>
  </si>
  <si>
    <t>Zhu, RB; Liu, YS; Xu, H; Huang, T; Sun, JJ; Ma, ED; Sun, LG</t>
  </si>
  <si>
    <t>Zhu, Renbin; Liu, Yashu; Xu, Hua; Huang, Tao; Sun, Jianjun; Ma, Erdeng; Sun, Liguang</t>
  </si>
  <si>
    <t>Carbon dioxide and methane fluxes in the littoral zones of two lakes, east Antarctica</t>
  </si>
  <si>
    <t>Carbon dioxide; Methane; Flux; Lake; Antarctica; Littoral zone</t>
  </si>
  <si>
    <t>ICE-COVERED LAKES; SPATIAL VARIATION; NITROUS-OXIDE; NORTHERN WISCONSIN; TUNDRA WETLANDS; ORGANIC-CARBON; BOREAL LAKES; EMISSIONS; DYNAMICS; RESUSPENSION</t>
  </si>
  <si>
    <t>During the summertime of 2007/2008, carbon dioxide (CO2) and methane (CH4) fluxes across air-water interface were investigated in the littoral zones of Lake Mochou and Lake Tuanjie, east Antarctica, using a static chamber technique. The mean fluxes of CO2 and CH4 were -70.8 mgCO(2) m(-2) h(-1) and 144.6 mu gCH(4) m(-2) h(-1), respectively, in the littoral zone of Lake Mochou: The mean fluxes were -36.9 mgCO(2) m(-2) h(-1) and 109.8 mu gCH(4) m(-2) h(-1), respectively, in the littoral zone of Lake Tuanjie. Their fluxes showed large temporal and spatial dynamics. The CO2 fluxes showed a significantly negative correlation with daily total radiation (DTR) and a weakly negative correlation with air temperature and water temperature, indicating that sunlight intensity controlled the magnitude of CO2 fluxes from the open lakes. The CH4 fluxes significantly correlated with local air temperature, water table and total dissolved solids (TDS), indicating that they were the predominant factors influencing CH4 fluxes. Summertime CO2 budgets in the littoral zones of Lake Mochou and Lake Tuanjie were estimated to be -152.9 gCO(2) m(-2) and -79.7 gCO(2) m(-2), respectively, and net CH4 emissions were estimated to be 312.3 mgCH(4) m(-2) and 237.2 mgCH(4) m(-2), respectively. Our results show that shallow, open, alga-rich lakes might be strong summertime CO2 absorbers and small CH4 emitters during the open water in coastal Antarctica. (C) 2009 Elsevier Ltd. All rights reserved.</t>
  </si>
  <si>
    <t>[Zhu, Renbin; Liu, Yashu; Huang, Tao; Sun, Jianjun; Sun, Liguang] Univ Sci &amp; Technol China, Inst Polar Environm, Hefei 230026, Anhui, Peoples R China; [Zhu, Renbin; Xu, Hua; Ma, Erdeng]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</si>
  <si>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</si>
  <si>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Inst Polar Environm, Hefei 230026, Anhui, Peoples R China.</t>
  </si>
  <si>
    <t>zhurb@ustc.edu.cn</t>
  </si>
  <si>
    <t>National Natural Science Foundation of China [40676005]</t>
  </si>
  <si>
    <t>This work was funded by the National Natural Science Foundation of China (Grant No. 40676005). We thank Polar Office of National Ocean Bureau of China and members of the 24th Chinese Antarctic Research Expedition for their support.</t>
  </si>
  <si>
    <t>10.1016/j.atmosenv.2009.10.038</t>
  </si>
  <si>
    <t>553GE</t>
  </si>
  <si>
    <t>WOS:000274353500003</t>
  </si>
  <si>
    <t>Roscoe, HK; Van Roozendael, M; Fayt, C; du Piesanie, A; Abuhassan, N; Adams, C; Akrami, M; Cede, A; Chong, J; Clémer, K; Friess, U; Ojeda, MG; Goutail, F; Graves, R; Griesfeller, A; Grossmann, K; Hemerijckx, G; Hendrick, F; Herman, J; Hermans, C; Irie, H; Johnston, PV; Kanaya, Y; Kreher, K; Leigh, R; Merlaud, A; Mount, GH; Navarro, M; Oetjen, H; Pazmino, A; Perez-Camacho, M; Peters, E; Pinardi, G; Puentedura, O; Richter, A; Schönhardt, A; Shaiganfar, R; Spinei, E; Strong, K; Takashima, H; Vlemmix, T; Vrekoussis, M; Wagner, T; Wittrock, F; Yela, M; Yilmaz, S; Boersma, F; Hains, J; Kroon, M; Piters, A; Kim, YJ</t>
  </si>
  <si>
    <t>Roscoe, H. K.; Van Roozendael, M.; Fayt, C.; du Piesanie, A.; Abuhassan, N.; Adams, C.; Akrami, M.; Cede, A.; Chong, J.; Clemer, K.; Friess, U.; Ojeda, M. Gil; Goutail, F.; Graves, R.; Griesfeller, A.; Grossmann, K.; Hemerijckx, G.; Hendrick, F.; Herman, J.; Hermans, C.; Irie, H.; Johnston, P. V.; Kanaya, Y.; Kreher, K.; Leigh, R.; Merlaud, A.; Mount, G. H.; Navarro, M.; Oetjen, H.; Pazmino, A.; Perez-Camacho, M.; Peters, E.; Pinardi, G.; Puentedura, O.; Richter, A.; Schoenhardt, A.; Shaiganfar, R.; Spinei, E.; Strong, K.; Takashima, H.; Vlemmix, T.; Vrekoussis, M.; Wagner, T.; Wittrock, F.; Yela, M.; Yilmaz, S.; Boersma, F.; Hains, J.; Kroon, M.; Piters, A.; Kim, Y. J.</t>
  </si>
  <si>
    <t>Intercomparison of slant column measurements of NO2 and O4 by MAX-DOAS and zenith-sky UV and visible spectrometers</t>
  </si>
  <si>
    <t>ATMOSPHERIC MEASUREMENT TECHNIQUES</t>
  </si>
  <si>
    <t>DIFFERENTIAL OPTICAL-ABSORPTION; NITROGEN-DIOXIDE; CROSS-SECTIONS; SPECTROSCOPY; BRO; TEMPERATURE; OZONE; RANGE; NM</t>
  </si>
  <si>
    <t>In June 2009, 22 spectrometers from 14 institutes measured tropospheric and stratospheric NO2 from the ground for more than 11 days during the Cabauw Intercomparison Campaign of Nitrogen Dioxide measuring Instruments (CINDI), at Cabauw, NL (51.97 degrees N, 4.93 degrees E). All visible instruments used a common wavelength range and set of cross sections for the spectral analysis. Most of the instruments were of the multi-axis design with analysis by differential spectroscopy software (MAX-DOAS), whose non-zenith slant columns were compared by examining slopes of their least-squares straight line fits to mean values of a selection of instruments, after taking 30-min averages. Zenith slant columns near twilight were compared by fits to interpolated values of a reference instrument, then normalised by the mean of the slopes of the best instruments. For visible MAX-DOAS instruments, the means of the fitted slopes for NO2 and O-4 of all except one instrument were within 10% of unity at almost all non-zenith elevations, and most were within 5%. Values for UV MAX-DOAS instruments were almost as good, being 12% and 7%, respectively. For visible instruments at zenith near twilight, the means of the fitted slopes of all instruments were within 5% of unity. This level of agreement is as good as that of previous intercomparisons, despite the site not being ideal for zenith twilight measurements. It bodes well for the future of measurements of tropospheric NO2, as previous intercomparisons were only for zenith instruments focussing on stratospheric NO2, with their longer heritage.</t>
  </si>
  <si>
    <t>[Roscoe, H. K.] British Antarctic Survey, Cambridge CB3 0ET, England; [Van Roozendael, M.; Fayt, C.; Clemer, K.; Hemerijckx, G.; Hendrick, F.; Hermans, C.; Merlaud, A.; Pinardi, G.] BIRA IASB, Brussels, Belgium; [du Piesanie, A.; Vlemmix, T.; Boersma, F.; Hains, J.; Kroon, M.; Piters, A.] KNMI, De Bilt, Netherlands; [Abuhassan, N.; Cede, A.; Herman, J.] Univ Maryland Baltimore Cty, Baltimore, MD 21228 USA; [Abuhassan, N.; Cede, A.; Herman, J.] NASA, Goddard Space Flight Ctr, Greenbelt, MD 20771 USA; [Adams, C.; Akrami, M.; Strong, K.] Univ Toronto, Dept Phys, Toronto, ON M5S 1A1, Canada; [Ojeda, M. Gil; Navarro, M.; Perez-Camacho, M.; Puentedura, O.; Yela, M.] INTA, Madrid, Spain; [Friess, U.; Grossmann, K.; Yilmaz, S.] Heidelberg Univ, Inst Environm Phys, Heidelberg, Germany; [Goutail, F.; Griesfeller, A.; Pazmino, A.] UPMC, UVSQ, CNRS, LATMOS, Guyancourt, France; [Graves, R.; Leigh, R.] Univ Leicester, Dept Chem, Leicester LE1 7RH, Leics, England; [Irie, H.; Kanaya, Y.; Takashima, H.] JAMSTEC, Res Inst Global Change, Yokohama, Kanagawa, Japan; [Johnston, P. V.; Kreher, K.] NIWA, Lauder, New Zealand; [Mount, G. H.; Spinei, E.] Washington State Univ, Lab Atmospher Res, Pullman, WA 99164 USA; [Oetjen, H.] Univ Leeds, Sch Chem, Leeds LS2 9JT, W Yorkshire, England; [Peters, E.; Richter, A.; Schoenhardt, A.; Vrekoussis, M.; Wittrock, F.] Univ Bremen, Inst Environm Phys, Bremen, Germany; [Shaiganfar, R.; Wagner, T.] Max Planck Inst Chem, D-55128 Mainz, Germany</t>
  </si>
  <si>
    <t>UK Research &amp; Innovation (UKRI); Natural Environment Research Council (NERC); NERC British Antarctic Survey; Royal Netherlands Meteorological Institute; University System of Maryland; University of Maryland Baltimore County; National Aeronautics &amp; Space Administration (NASA); NASA Goddard Space Flight Center; University of Toronto; Consejo Superior de Investigaciones Cientificas (CSIC); CSIC - Centro de Astrobiologia (INTA); Ruprecht Karls University Heidelberg; Universite Paris Cite; Sorbonne Universite; Centre National de la Recherche Scientifique (CNRS); Universite Paris Saclay; University of Leicester; Japan Agency for Marine-Earth Science &amp; Technology (JAMSTEC); National Institute of Water &amp; Atmospheric Research (NIWA) - New Zealand; Washington State University; University of Leeds; University of Bremen; Max Planck Society</t>
  </si>
  <si>
    <t>Roscoe, HK (corresponding author), British Antarctic Survey, Cambridge CB3 0ET, England.</t>
  </si>
  <si>
    <t>h.roscoe@bas.ac.uk</t>
  </si>
  <si>
    <t>Oetjen, Hilke/AAU-5212-2021; Boersma, Klaas Folkert/JAN-9708-2023; Irie, Hitoshi/AAW-6024-2021; Boersma, Klaas/H-4559-2012; Kanaya, Yugo/C-7446-2012; Frieß, Udo/B-1696-2012; Vrekoussis, Mihalis/O-4645-2019; Oetjen, Hilke/H-3708-2016; Boersma, Klaas/Q-8393-2019; Navarro-Comas, Monica/J-6297-2014; Strong, Kimberly/D-2563-2012; Richter, Andreas/C-4971-2008; Yela Gonzalez, Margarita/J-7346-2016; Puentedura, Olga/J-6884-2014; Wittrock, Folkard/B-6959-2008</t>
  </si>
  <si>
    <t>Oetjen, Hilke/0000-0002-3542-1337; Boersma, Klaas Folkert/0000-0002-4591-7635; Boersma, Klaas/0000-0002-4591-7635; Vrekoussis, Mihalis/0000-0001-8292-8352; Oetjen, Hilke/0000-0002-3542-1337; Boersma, Klaas/0000-0002-4591-7635; Navarro-Comas, Monica/0000-0002-6347-8955; Strong, Kimberly/0000-0001-9947-1053; Friess, Udo/0000-0001-7176-7936; Leigh, Rosemarie/0000-0003-3184-5367; Herman, Jay/0000-0002-9146-1632; Richter, Andreas/0000-0003-3339-212X; Yela Gonzalez, Margarita/0000-0003-3775-3156; Puentedura, Olga/0000-0002-4286-1867; Wittrock, Folkard/0000-0002-3024-0211; Irie, Hitoshi/0000-0001-5782-3292; Pinardi, Gaia/0000-0001-5428-916X</t>
  </si>
  <si>
    <t>ESA [22202/09/I-EC]; EU [GOCE-CT-2004-505337, FP6-2005-Global-4-036677, 2006-026140, FP/2007-2011, 212520]; British Antarctic Survey; UK's Natural Environment Research Council; Belgian Federal Science Policy Office [SD/AT/01A, SD/AT/01B]; University of Bremen; ENVIVAL-life project [50EE0839]; French Centre National d'Etudes Spatiales (CNES); Institut des Sciences de l'Univers (INSU); Korean government (MEST) through the Advanced Environmental Monitoring Research Center [2010-0000773]; Ministry of Education, Culture, Sports, Science and Technology (MEXT); Japanese Ministry of the Environment [S-7]; User Support Programme Space Research [EO-091]; Netherlands Space Organisation; Canadian Foundation for Climate and Atmospheric Science; Centre for Global Change Science at the University of Toronto; Natural Sciences and Engineering Research Council; Canadian Foundation for Innovation; Canadian Network for the Detection of Atmospheric Change (CANDAC); National Aeronautics and Space Administration [NNX09AJ28G]; Natural Environment Research Council [bas0100024, earth010004] Funding Source: researchfish; NERC [bas0100024, earth010004] Funding Source: UKRI</t>
  </si>
  <si>
    <t>ESA(European Space Agency); EU(European Union (EU)); British Antarctic Survey; UK's Natural Environment Research Council(UK Research &amp; Innovation (UKRI)Natural Environment Research Council (NERC)); Belgian Federal Science Policy Office(Belgian Federal Science Policy Office); University of Bremen; ENVIVAL-life project; French Centre National d'Etudes Spatiales (CNES)(Centre National D'etudes Spatiales); Institut des Sciences de l'Univers (INSU); Korean government (MEST) through the Advanced Environmental Monitoring Research Center(Ministry of Education, Science &amp; Technology (MEST), Republic of KoreaKorean Government); Ministry of Education, Culture, Sports, Science and Technology (MEXT)(Ministry of Education, Culture, Sports, Science and Technology, Japan (MEXT)); Japanese Ministry of the Environment(Ministry of the Environment, Japan); User Support Programme Space Research; Netherlands Space Organisation; Canadian Foundation for Climate and Atmospheric Science; Centre for Global Change Science at the University of Toronto; Natural Sciences and Engineering Research Council(Natural Sciences and Engineering Research Council of Canada (NSERC)); Canadian Foundation for Innovation(Canada Foundation for Innovation); Canadian Network for the Detection of Atmospheric Change (CANDAC); National Aeronautics and Space Administration(National Aeronautics &amp; Space Administration (NASA)); Natural Environment Research Council(UK Research &amp; Innovation (UKRI)Natural Environment Research Council (NERC)); NERC(UK Research &amp; Innovation (UKRI)Natural Environment Research Council (NERC))</t>
  </si>
  <si>
    <t>We gratefully acknowledge the KNMI staff at Cabauw for their excellent technical and infrastructure support during the campaign. The CINDI Campaign was for a large part funded by the ESA project CEOS Intercalibration of ground-based spectrometers and lidars (ESRIN contract 22202/09/I-EC) and the EU project ACCENT-AT2 (GOCE-CT-2004-505337). We further acknowledge the support of the EU via the GEOMON Integrated Project (contract FP6-2005-Global-4-036677). The participation of Roscoe is partly funded by the British Antarctic Survey's Polar Science for Planet Earth programme, which is funded by the UK's Natural Environment Research Council. The work of Clemer was supported by the Belgian Federal Science Policy Office through the AGACC project (contract SD/AT/01A and SD/AT/01B). The Bremen instruments are partly funded by the University of Bremen and the ENVIVAL-life project (50EE0839); their operation is supported by GEOMON and MULTI-TASTE. The participation of the CNRS team was supported by the French Centre National d'Etudes Spatiales (CNES) and the instruments were funded by Institut des Sciences de l'Univers (INSU). University of Heidelberg were partly funded by the EU FP6 Project EUSAAR (2006-026140). The work of GIST was supported by a grant from the National Research Foundation of Korea (NRF) funded by the Korean government (MEST) (2010-0000773) through the Advanced Environmental Monitoring Research Center. The Heidelberg team were partly funded by the EU FP6 Project EUSAAR (2006-026140). JAMSTEC were supported by the Japan EOS Promotion Program of the Ministry of Education, Culture, Sports, Science and Technology (MEXT), and by the Global Environment Research Fund (S-7) of the Japanese Ministry of the Environment. The work of Vlemmix and Piters is financed by the User Support Programme Space Research via the project Atmospheric chemistry instrumentation to strengthen satellite validation of CESA (EO-091). The work of Piters, Kroon, Hains, Boersma and du Piesanie is partly financed by the Netherlands Space Organisation via the SCIAVISIE and OMI Science projects. MPI were partly funded by EU Seventh Framework Programme FP/2007-2011 under grant 212520, and would like to thank Bastian Jacker for logistical support. The participation of the Toronto team was supported by the Canadian Foundation for Climate and Atmospheric Science and the Centre for Global Change Science at the University of Toronto; the instrument was funded by the Natural Sciences and Engineering Research Council and the Canadian Foundation for Innovation, and is usually operated at the Polar Environment Atmospheric Research Laboratory (PEARL) by the Canadian Network for the Detection of Atmospheric Change (CANDAC). Washington State University acknowledges funding support from the National Aeronautics and Space Administration, grant NNX09AJ28G.</t>
  </si>
  <si>
    <t>1867-1381</t>
  </si>
  <si>
    <t>ATMOS MEAS TECH</t>
  </si>
  <si>
    <t>Atmos. Meas. Tech.</t>
  </si>
  <si>
    <t>10.5194/amt-3-1629-2010</t>
  </si>
  <si>
    <t>698DV</t>
  </si>
  <si>
    <t>WOS:000285573200011</t>
  </si>
  <si>
    <t>Vasconcellos, FC; Cavalcanti, IFA</t>
  </si>
  <si>
    <t>Vasconcellos, Fernanda Cerqueira; Cavalcanti, Iracema F. A.</t>
  </si>
  <si>
    <t>Extreme precipitation over Southeastern Brazil in the austral summer and relations with the Southern Hemisphere annular mode</t>
  </si>
  <si>
    <t>ATMOSPHERIC SCIENCE LETTERS</t>
  </si>
  <si>
    <t>Extreme precipitation; PSA pattern; S. H. annular mode; Southeastern Brazil</t>
  </si>
  <si>
    <t>ATLANTIC CONVERGENCE ZONE; AMERICAN MONSOON SYSTEM; ANTARCTIC OSCILLATION; TEMPERATURE ANOMALIES; INTERANNUAL ACTIVITY; VARIABILITY; CIRCULATION; CLIMATOLOGY; RAINFALL; PHASES</t>
  </si>
  <si>
    <t>Southeastern Brazil is a highly industrialized and populated region which largely contributes to the country's economy. Extreme precipitation over this region can cause floods and landslides occurrences or lack of precipitation that can affect many sectors of economy. The objective of this work is to identify atmospheric characteristics associated with austral summer extreme precipitation over part of Southeastern Brazil. The atmospheric characteristics obtained from wet and dry composites suggest that extreme precipitation was associated with anomalous circulation over the region, forced by a PSA-like wavetrain intensified by the Southern Annular Mode. Copyright (C) 2010 Royal Meteorological Society</t>
  </si>
  <si>
    <t>[Vasconcellos, Fernanda Cerqueira; Cavalcanti, Iracema F. A.] Natl Inst Space Res, Ctr Weather Forecasting &amp; Climate Studies, BR-12227010 Sao Jose Dos Campos, SP, Brazil</t>
  </si>
  <si>
    <t>Instituto Nacional de Pesquisas Espaciais (INPE)</t>
  </si>
  <si>
    <t>Vasconcellos, FC (corresponding author), Natl Inst Space Res, Ctr Weather Forecasting &amp; Climate Studies, Ave Astronautas 1758, BR-12227010 Sao Jose Dos Campos, SP, Brazil.</t>
  </si>
  <si>
    <t>fernanda.cerqueira@cptec.inpe.br</t>
  </si>
  <si>
    <t>Cavalcanti, Iracema/C-5243-2009; de albuquerque cavalcanti, iracema fonseca/AAB-1259-2021; Vasconcellos, Fernanda/AAB-9015-2021</t>
  </si>
  <si>
    <t>Vasconcellos, Fernanda/0000-0002-5931-1503</t>
  </si>
  <si>
    <t>National Institute for Space Research (INPE); National Counsel of Technological and Scientific Development (CNPq); State of Sao Paulo Research Foundation [FAPESP] [04/09469-0]</t>
  </si>
  <si>
    <t>National Institute for Space Research (INPE); National Counsel of Technological and Scientific Development (CNPq)(Conselho Nacional de Desenvolvimento Cientifico e Tecnologico (CNPQ)); State of Sao Paulo Research Foundation [FAPESP](Fundacao de Amparo a Pesquisa do Estado de Sao Paulo (FAPESP))</t>
  </si>
  <si>
    <t>We wish to acknowledge the National Institute for Space Research (INPE), the National Counsel of Technological and Scientific Development (CNPq) and The State of Sao Paulo Research Foundation [FAPESP - Serra do Mar Project (04/09469-0)] for the research support. The first author acknowledges also FAPESP for a post-graduate scholarship.</t>
  </si>
  <si>
    <t>WILEY-V C H VERLAG GMBH</t>
  </si>
  <si>
    <t>WEINHEIM</t>
  </si>
  <si>
    <t>PO BOX 10 11 61, D-69451 WEINHEIM, GERMANY</t>
  </si>
  <si>
    <t>1530-261X</t>
  </si>
  <si>
    <t>ATMOS SCI LETT</t>
  </si>
  <si>
    <t>Atmos. Sci. Lett.</t>
  </si>
  <si>
    <t>10.1002/asl.247</t>
  </si>
  <si>
    <t>566TE</t>
  </si>
  <si>
    <t>WOS:000275395300004</t>
  </si>
  <si>
    <t>Pezza, AB; Veiga, JAP; Simmonds, I; Keay, K; Mesquita, MD</t>
  </si>
  <si>
    <t>Pezza, Alexandre Bernardes; Paixao Veiga, Jose Augusto; Simmonds, Ian; Keay, Kevin; Mesquita, Michel dos Santos</t>
  </si>
  <si>
    <t>Environmental energetics of an exceptional high-latitude storm</t>
  </si>
  <si>
    <t>extratropical cyclone; blocking; Lorenz energetics</t>
  </si>
  <si>
    <t>SEA-ICE; VARIABILITY; CYCLE</t>
  </si>
  <si>
    <t>This study presents the Lorenz energetics of an exceptional baroclinic storm propagating to Nome (Alaska) in October 1992, where it caused severe flooding. The storm track was greatly influenced by the interaction with a blocking high a week before the cyclone was formed. The energetics gives new insights into this dramatic storm, suggesting that the large-scale environment was responsible for its long trajectory and intensification. The blocking high also provided the dynamic steering that facilitated the wave propagation and baroclinic growth. Our results show that the environmental energy transfers can be used as an informative metric for severe storms. Copyright (C) 2010 Royal Meteorological Society</t>
  </si>
  <si>
    <t>[Pezza, Alexandre Bernardes; Simmonds, Ian; Keay, Kevin] Univ Melbourne, Sch Earth Sci, Melbourne, Vic 3010, Australia; [Paixao Veiga, Jose Augusto] Univ Estado Amazonas, Inst Technol, Manaus, Amazonas, Brazil; [Mesquita, Michel dos Santos] Bjerknes Ctr Climate Res, Bergen, Norway</t>
  </si>
  <si>
    <t>University of Melbourne; Melbourne Bioinformatics; Universidade do Estado do Amazonas; Bjerknes Centre for Climate Research</t>
  </si>
  <si>
    <t>Pezza, AB (corresponding author), Univ Melbourne, Sch Earth Sci, Melbourne, Vic 3010, Australia.</t>
  </si>
  <si>
    <t>apezza@unimelb.edu.au</t>
  </si>
  <si>
    <t>Veiga, José/AAV-1687-2020; Mesquita, Michel d. S./C-3414-2009; Mesquita, Michel D. S./J-9342-2019; VEIGA, JOSE AUGUSTO/AAJ-6263-2020</t>
  </si>
  <si>
    <t>Mesquita, Michel d. S./0000-0002-4556-5414; Mesquita, Michel D. S./0000-0002-4556-5414; Simmonds, Ian/0000-0002-4479-3255</t>
  </si>
  <si>
    <t>Australian Research Council; Australian Antarctic Science Advisory Committee</t>
  </si>
  <si>
    <t>Australian Research Council(Australian Research Council); Australian Antarctic Science Advisory Committee</t>
  </si>
  <si>
    <t>A. B. P. and I. S. would like to thank the Australian Research Council and the Australian Antarctic Science Advisory Committee for funding parts of this work. We are indebted to Petteri Uotila for thoroughly reading an earlier version of this manuscript. We also thank three anonymous reviewers for the additional comments and suggestions provided.</t>
  </si>
  <si>
    <t>10.1002/asl.253</t>
  </si>
  <si>
    <t>WOS:000275395300007</t>
  </si>
  <si>
    <t>Thalmann, SJ; Lea, MA; Hindell, M; Priddel, D; Carlile, N</t>
  </si>
  <si>
    <t>Thalmann, Sam J.; Lea, Mary-Anne; Hindell, Mark; Priddel, David; Carlile, Nicholas</t>
  </si>
  <si>
    <t>PROVISIONING IN FLESH-FOOTED SHEARWATERS (PUFFINUS CARNEIPES): PLASTIC FORAGING BEHAVIOR AND THE IMPLICATIONS FOR INCREASED FISHERY INTERACTIONS</t>
  </si>
  <si>
    <t>AUK</t>
  </si>
  <si>
    <t>chick provisioning; Flesh-footed Shearwater; growth rates; Puffinus carneipes; resource allocation; seabird foraging</t>
  </si>
  <si>
    <t>CHICK BODY CONDITION; PELAGIC SEABIRD; STORM-PETREL; CALONECTRIS-DIOMEDEA; FEEDING FREQUENCY; EASTERN AUSTRALIA; CORYS SHEARWATER; MEAL SIZE; TAILED SHEARWATERS; NESTLING OBESITY</t>
  </si>
  <si>
    <t>Offspring provisioning constrains the foraging behavior of breeding seabirds temporally and spatially. In species whose foraging grounds overlap with commercial fisheries, quantifying the provisioning behavior of breeding adults throughout the season can illuminate the nature of interactions with the fisheries and, where seabird bycatch exists, contribute to development of mitigation measures. In 2004-2005, we studied the provisioning behavior of Flesh-footed Shearwaters (Puffinus carneipes) on Lord Howe Island, Australia, using the repeated-weighing technique. Specifically, we determined (1) meal size, feeding frequency, and chick growth rates; (2) attendance behavior of adults; and (3) estimated food consumption at the individual and colony levels. Incubation shift duration averaged 95 +/- 1.6 (SD) days. Foraging-trip duration was bimodal, with both short trips (&lt;= 3 days) and long trips (&gt;3 days) recorded. Average meal mass was greater during the late chick-rearing period and was not influenced by the time interval between meals. Developing chicks had a food conversion efficiency of 27%, with a total individual food requirement of 2,337 g to fledge successfully. An increase in the interval between provisioning events from the early to the late chick-rearing period was associated with significantly more long foraging trips by parent birds; however, there was no variation in the proportion of study birds that returned each night. Received 2 September 2008, accepted 19 May 2009.</t>
  </si>
  <si>
    <t>[Thalmann, Sam J.; Lea, Mary-Anne; Hindell, Mark] Univ Tasmania, Sch Zool, Antarctic Wildlife Res Unit, Hobart, Tas 7001, Australia; [Priddel, David; Carlile, Nicholas] Dept Environm &amp; Climate Change, Hurstville, NSW 2220, Australia</t>
  </si>
  <si>
    <t>Thalmann, SJ (corresponding author), Univ Tasmania, Sch Zool, Antarctic Wildlife Res Unit, GPO Box 252-05, Hobart, Tas 7001, Australia.</t>
  </si>
  <si>
    <t>samthalmann@gmail.com</t>
  </si>
  <si>
    <t>Hindell, Mark A/K-1131-2013; Lea, Mary-Anne/E-9054-2013</t>
  </si>
  <si>
    <t>Lea, Mary-Anne/0000-0001-8318-9299; Hindell, Mark/0000-0002-7823-7185</t>
  </si>
  <si>
    <t>Australian Natural Heritage Trust; Commonwealth Scientific and Industrial Research Organisation</t>
  </si>
  <si>
    <t>Australian Natural Heritage Trust; Commonwealth Scientific and Industrial Research Organisation(Commonwealth Scientific &amp; Industrial Research Organisation (CSIRO))</t>
  </si>
  <si>
    <t>Research funding was provided by the Australian Natural Heritage Trust and the Commonwealth Scientific and Industrial Research Organisation. This project was approved by the Lord Howe Island Board and conducted with University of Tasmania animal ethics approval, under New South Wales National Parks and Wildlife Service Scientific Investigation Licence A2635. I. Hutton kindly assisted with field work and provided valuable local knowledge on the island shearwater Population. We thank B. Baker I, or assistance in the field and manuscript preparation. We thank two anonymous reviewers for comments on an earlier draft of our manuscript.</t>
  </si>
  <si>
    <t>AMER ORNITHOLOGISTS UNION</t>
  </si>
  <si>
    <t>ORNITHOLOGICAL SOC NORTH AMER PO BOX 1897, LAWRENCE, KS 66044-8897 USA</t>
  </si>
  <si>
    <t>0004-8038</t>
  </si>
  <si>
    <t>10.1525/auk.2009.09158</t>
  </si>
  <si>
    <t>Ornithology</t>
  </si>
  <si>
    <t>554RQ</t>
  </si>
  <si>
    <t>WOS:000274452500016</t>
  </si>
  <si>
    <t>Synthesis and Structure Reassessment of Psammopemmin A</t>
  </si>
  <si>
    <t>AUSTRALIAN JOURNAL OF CHEMISTRY</t>
  </si>
  <si>
    <t>ALKALOIDS</t>
  </si>
  <si>
    <t>We have isolated meridianins A, B, C, and E from the Antarctic tunicate Synoicum sp. In the process of verifying the structure of these compounds it was noted that the physical data reported for meridianins bore a striking resemblance to that of psammopemmins. The psammopemmins are alkaloids bearing similar structures to the meridianins, but reported from the Antarctic sponge Psammopemma sp. To verify the structure originally proposed for psammopemmin A, the compound was synthesized. By comparing the H-1 and C-13 NMR data of reported and synthetic psammopemmin A with that of meridianin A, we infer that the correct structure of psammopemmin A isolated from Psammopemma sp. is actually that of meridianin A.</t>
  </si>
  <si>
    <t>[Lebar, Matthew D.; Baker, Bill J.] Univ S Florida, Dept Chem, Tampa, FL 33620 USA; [Lebar, Matthew D.; Baker, Bill J.] Univ S Florida, Ctr Mol Divers Drug Design Discovery &amp; Delivery, Tampa, FL 33620 USA</t>
  </si>
  <si>
    <t>State University System of Florida; University of South Florida; State University System of Florida; University of South Florida</t>
  </si>
  <si>
    <t>National Science Foundation [OPP-0442857, ANT-0838776]; Office of Polar Programs (OPP); Directorate For Geosciences [0838776] Funding Source: National Science Foundation</t>
  </si>
  <si>
    <t>The authors thank the National Science Foundation's Office of Polar Programs for financial support (OPP-0442857 and ANT-0838776).</t>
  </si>
  <si>
    <t>CSIRO PUBLISHING</t>
  </si>
  <si>
    <t>CLAYTON</t>
  </si>
  <si>
    <t>UNIPARK, BLDG 1, LEVEL 1, 195 WELLINGTON RD, LOCKED BAG 10, CLAYTON, VIC 3168, AUSTRALIA</t>
  </si>
  <si>
    <t>0004-9425</t>
  </si>
  <si>
    <t>1445-0038</t>
  </si>
  <si>
    <t>AUST J CHEM</t>
  </si>
  <si>
    <t>Aust. J. Chem.</t>
  </si>
  <si>
    <t>10.1071/CH10042</t>
  </si>
  <si>
    <t>609AJ</t>
  </si>
  <si>
    <t>WOS:000278626800003</t>
  </si>
  <si>
    <t>You, Y</t>
  </si>
  <si>
    <t>You, Y.</t>
  </si>
  <si>
    <t>Climate-model evaluation of the contribution of sea-surface temperature and carbon dioxide to the Middle Miocene Climate Optimum as a possible analogue of future climate change</t>
  </si>
  <si>
    <t>AUSTRALIAN JOURNAL OF EARTH SCIENCES</t>
  </si>
  <si>
    <t>Middle Miocene Climate Optimum; modelling; paleoclimate</t>
  </si>
  <si>
    <t>EVOLUTION; FLUCTUATIONS; ATMOSPHERE; TERTIARY; ICE</t>
  </si>
  <si>
    <t>The Middle Miocene Climate Optimum (MMCO), which occurred at about 15Ma, is the most recent global warming episode. Given the fact that no dramatic tectonic movement had taken place, this historical warming episode mirrors the present warming event induced mostly by human activities. Proxy data indicate that the MMCO had a global mean surface temperature of 3-4 degrees C higher than the present, equivalent to the warming predicted for the next century by the mid-range scenarios of the IPCC Fourth Report (AR4). With this comparable magnitude of warming, it is therefore of scientific interest to examine whether or not the present warming is similar to the MMCO warming. Since the MMCO boundary conditions such as paleogeography and paleobathymetry were not greatly different from today, contentious scientific issues on possible forcing mechanisms can be assessed. The MMCO climate was simulated using the latest National Center for Atmospheric Research (NCAR) Community Atmosphere Model CAM3.1 and Land Model CLM3.0 coupled to a slab ocean model. Two simulations were conducted, the MG700 with a near-present equator-pole meridional sea-surface temperature (SST) gradient and a CO2 level of 700ppmv and the HG350 with a higher equator-pole meridional SST gradient and a CO2 level of 350ppmv. These two simulations give the closest proxy global mean surface temperature of 18.4 degrees C with a difference of +/- 0.6 degrees C. This study analyses these two simulations and provides an insight into possible mechanisms of the MMCO. Results show that the north and south poles respond differently to a 50% reduction in CO2 from the upper bound value of 700ppmv (an approximate doubling of the present CO2) and a change in equator-pole meridional SST gradient. The Arctic response to a 50% reduction in CO2 is balanced by a 50% decrease in surface temperature but shows no response to the increase in equator-pole meridional SST gradient. The Antarctic situation is opposite to the Arctic: the western Antarctic's response to the increase in the equator-pole meridional SST gradient is nearly balanced by a doubling of the maximum surface temperature, but shows no response to a 50% reduction in CO2; the eastern Antarctic shows a weak response to either a 50% reduction in CO2 or to an increase in the equator-pole meridional SST gradient. This may explain why the Arctic warms much more than the Antarctic in the MMCO and the decoupling of CO2 with temperature as determined by the proxy SST.</t>
  </si>
  <si>
    <t>Univ Sydney, Univ Sydney Inst Marine Sci, Sydney, NSW 2006, Australia</t>
  </si>
  <si>
    <t>You, Y (corresponding author), Univ Sydney, Univ Sydney Inst Marine Sci, Sydney, NSW 2006, Australia.</t>
  </si>
  <si>
    <t>you@geosci.usyd.edu.au</t>
  </si>
  <si>
    <t>0812-0099</t>
  </si>
  <si>
    <t>AUST J EARTH SCI</t>
  </si>
  <si>
    <t>Aust. J. Earth Sci.</t>
  </si>
  <si>
    <t>PII 919320463</t>
  </si>
  <si>
    <t>10.1080/08120090903521671</t>
  </si>
  <si>
    <t>593NV</t>
  </si>
  <si>
    <t>WOS:000277464000004</t>
  </si>
  <si>
    <t>Marks, EJ; Rodrigo, AG; Brunton, DH</t>
  </si>
  <si>
    <t>Marks, Emma J.; Rodrigo, Allen G.; Brunton, Dianne H.</t>
  </si>
  <si>
    <t>Ecstatic display calls of the Adelie penguin honestly predict male condition and breeding success</t>
  </si>
  <si>
    <t>BEHAVIOUR</t>
  </si>
  <si>
    <t>Adelie penguin; honest signal; mate choice; male condition; Ecstatic Display Call</t>
  </si>
  <si>
    <t>PYGOSCELIS-ADELIAE; EUDYPTULA-MINOR; BODY CONDITION; FEMALE CHOICE; MALE QUALITY; RECOGNITION; SIZE; EVOLUTION; FREQUENCY; SELECTION</t>
  </si>
  <si>
    <t>The Adelie penguin (Pygoscelis adeliae) breeds in large, noisy Antarctic colonies and has evolved a communication system of complex intra-and inter-sexual visual and vocal behaviours. The Ecstatic Display Call (EDC) given by males whilst at the breeding colony is composed of introductory beats, short repeated syllables and a climactic long syllable. Here, we show that spectral qualities of the short syllables of the EDC can predict body condition and breeding success and suggest that in addition to its role in territory defence, the EDC may function as an honest signal of male quality for female mate choice. In the short repeated syllables frequency modulation, mean frequency, and pitch were all significantly lower in birds of better condition, with frequency modulation changing concomitantly with changing condition during the breeding season. Furthermore, during the period of mate attraction, a male's frequency modulation predicted both his latency to pair and likelihood of successfully breeding. Due to the long incubation fasts in this species we propose that female Adelie penguins may reliably use frequency modulation of the EDC as a potentially honest signal of early season male condition and the likelihood of a successful breeding outcome.</t>
  </si>
  <si>
    <t>[Marks, Emma J.; Rodrigo, Allen G.] Univ Auckland, Bioinformat Inst, Auckland 1, New Zealand; [Brunton, Dianne H.] Massey Univ, Ecol &amp; Conservat Grp, Inst Nat Resources, Auckland, New Zealand</t>
  </si>
  <si>
    <t>University of Auckland; Massey University</t>
  </si>
  <si>
    <t>Marks, EJ (corresponding author), Univ Auckland, Bioinformat Inst, POB 92019, Auckland 1, New Zealand.</t>
  </si>
  <si>
    <t>e.marks@auckland.ac.nz</t>
  </si>
  <si>
    <t>Marks, Emma/AAT-3263-2021; Rodrigo, Allen/E-8905-2015</t>
  </si>
  <si>
    <t>Rodrigo, Allen/0000-0002-8327-7317</t>
  </si>
  <si>
    <t>University of Auckland</t>
  </si>
  <si>
    <t>The authors would like to acknowledge Antarctica New Zealand for providing logistic support for the 2002/2003 field season and the University of Auckland Graduate Research Fund. We would also like to thank K. Parker and D. Curson for assistance in the field, and R. Thorogood, M. Hauber and two anonymous reviewers for their comments on the manuscript.</t>
  </si>
  <si>
    <t>BRILL</t>
  </si>
  <si>
    <t>LEIDEN</t>
  </si>
  <si>
    <t>PLANTIJNSTRAAT 2, P O BOX 9000, 2300 PA LEIDEN, NETHERLANDS</t>
  </si>
  <si>
    <t>0005-7959</t>
  </si>
  <si>
    <t>1568-539X</t>
  </si>
  <si>
    <t>Behaviour</t>
  </si>
  <si>
    <t>10.1163/000579509X12512863752751</t>
  </si>
  <si>
    <t>562UC</t>
  </si>
  <si>
    <t>WOS:000275079400002</t>
  </si>
  <si>
    <t>Perkins, KJ; Andrewartha, JM; McMinn, A; Cook, SS; Hallegraeff, GM</t>
  </si>
  <si>
    <t>Perkins, Kathryn J.; Andrewartha, Jessica M.; McMinn, Andrew; Cook, Suellen S.; Hallegraeff, Gustaaf M.</t>
  </si>
  <si>
    <t>Succession and physiological health of freshwater microalgal fouling in a Tasmanian hydropower canal</t>
  </si>
  <si>
    <t>BIOFOULING</t>
  </si>
  <si>
    <t>biofouling; succession; microalgae; Gomphonema; hydropower; pulse amplitude modulated fluorometry</t>
  </si>
  <si>
    <t>MICROFOULING LAYER; BENTHIC DIATOMS; PHOTOSYNTHESIS; COMMUNITIES; SEA; COLONIZATION; ENVIRONMENTS; FLUORESCENCE; ASSEMBLAGES; TEMPERATURE</t>
  </si>
  <si>
    <t>Freshwater microalgal biofouling in hydropower canals in Tarraleah, Tasmania, is dominated by a single diatom species, Gomphonema tarraleahae. The microfouling community is under investigation with the aim of reducing its impact on electricity generation. Species succession was investigated using removable glass slides. Fouled slides were examined microscopically and for chlorophyll a biomass. Chl a biomass increased steeply after 8 weeks (0.09-0.87 mg m(-2)), but increased much earlier on slides surrounded by a biofouled inoculum. Succession began with low profile diatoms such as Tabellaria flocculosa, progressing to stalked diatoms such as Gomphonema spp. and Cymbella aspera. Few chlorophytes and no filamentous algae were present. Pulse amplitude modulated fluorometry was used to measure the physiological health of fouling on the canal wall. Maximum quantum yield (F-v/F-m) measurements were consistently &lt;0.18, indicating that the fouling mat consisted of dead or dying algae. The succession and physiological health of cells in the fouling community has broad implications for mitigation techniques used.</t>
  </si>
  <si>
    <t>[Perkins, Kathryn J.; Cook, Suellen S.] Univ Tasmania, Sch Plant Sci, Hobart, Tas, Australia; [Andrewartha, Jessica M.] Univ Tasmania, Sch Engn, Hobart, Tas, Australia; [McMinn, Andrew; Hallegraeff, Gustaaf M.] Inst Marine &amp; Antarctic Studies, Hobart, Tas, Australia</t>
  </si>
  <si>
    <t>University of Tasmania; University of Tasmania; University of Tasmania</t>
  </si>
  <si>
    <t>Perkins, KJ (corresponding author), Univ Tasmania, Sch Plant Sci, Hobart, Tas, Australia.</t>
  </si>
  <si>
    <t>kjp@utas.edu.au</t>
  </si>
  <si>
    <t>McMinn, Andrew/A-9910-2008; Hallegraeff, Gustaaf/C-8351-2013; Walker, Jessica/N-7144-2013</t>
  </si>
  <si>
    <t>Hallegraeff, Gustaaf/0000-0001-8464-7343; Walker, Jessica/0000-0001-5151-1693</t>
  </si>
  <si>
    <t>ARC [LP0667925]; Australian Research Council [LP0667925] Funding Source: Australian Research Council</t>
  </si>
  <si>
    <t>ARC(Australian Research Council); Australian Research Council(Australian Research Council)</t>
  </si>
  <si>
    <t>This study was supported through ARC Linkage Grant LP0667925 between the University of Tasmania and Hydro Tasmania. The authors thank Hydro Tasmania for information and access and the School of Engineering for material support.</t>
  </si>
  <si>
    <t>0892-7014</t>
  </si>
  <si>
    <t>1029-2454</t>
  </si>
  <si>
    <t>Biofouling</t>
  </si>
  <si>
    <t>10.1080/08927014.2010.506610</t>
  </si>
  <si>
    <t>650XG</t>
  </si>
  <si>
    <t>WOS:000281887000002</t>
  </si>
  <si>
    <t>Martinez, P; Robinson, RS</t>
  </si>
  <si>
    <t>Martinez, P.; Robinson, R. S.</t>
  </si>
  <si>
    <t>Increase in water column denitrification during the last deglaciation: the influence of oxygen demand in the eastern equatorial Pacific</t>
  </si>
  <si>
    <t>BIOGEOSCIENCES</t>
  </si>
  <si>
    <t>ARABIAN SEA DENITRIFICATION; TROPICAL PACIFIC; NITROGEN; ISOTOPE; SURFACE; OCEAN; VARIABILITY</t>
  </si>
  <si>
    <t>Here we present organic export production and nitrogen isotope results spanning the last 30 000 years from a core recovered off Costa Rica (Ocean Drilling Program (ODP) Site 1242) on the leading edge of the oxygen minimum zone of the Eastern Tropical North Pacific. Marine export production reveals glacial-interglacial variations with low organic matter (total organic carbon and total nitrogen) contents during warm intervals, twice more during cold episodes and double peaked maximum during the deglaciation, between similar to 15.5-18.5 and 11-13 ka B.P. When this new export production record is compared with four nearby cores from within the Eastern Pacific along the Equatorial divergence, good agreement between all the cores is observed. The major feature is a maximum of export during the early deglaciation. As for export production, water-column denitrification, represented by sedimentary delta N-15 records, along the Eastern tropical North and South Pacific between 15 degrees N and 36 degrees S is also coherent over the last deglaciation. Each of the nitrogen isotope profiles indicate that denitrification increased abruptly at 19 ka B.P to a maximum during the early deglaciation, confirming a typical Antarctic timing. It is proposed that the increase in export production and then in subsurface oxygen demand lead to an intensification of water-column denitrification within the oxygen minimum zones in the easternmost Pacific at the time of the last deglaciation. The triggering mechanism would have been primarily linked to an increase in preformed nutrients contents feeding the Equatorial Undercurrent driven by the resumption of overturning in the Southern Ocean and the return of nutrients from the deep ocean to the sea-surface. An increase in equatorial wind-driven upwelling of sub-surface nutrient-rich waters could have played the role of an amplifier.</t>
  </si>
  <si>
    <t>[Martinez, P.] Univ Bordeaux 1, EPOC, UMR 5805, F-33405 Talence, France; [Robinson, R. S.] Univ Rhode Isl, Grad Sch Oceanog, Narragansett, RI 02882 USA</t>
  </si>
  <si>
    <t>Centre National de la Recherche Scientifique (CNRS); CNRS - National Institute for Earth Sciences &amp; Astronomy (INSU); Universite de Bordeaux; University of Rhode Island</t>
  </si>
  <si>
    <t>Martinez, P (corresponding author), Univ Bordeaux 1, EPOC, UMR 5805, Ave Fac, F-33405 Talence, France.</t>
  </si>
  <si>
    <t>p.martinez@epoc.u-bordeaux1.fr</t>
  </si>
  <si>
    <t>Martinez, Philippe/0000-0002-9825-2032; Robinson, Rebecca/0000-0002-8072-1603</t>
  </si>
  <si>
    <t>CNRS-INSU</t>
  </si>
  <si>
    <t>CNRS-INSU(Centre National de la Recherche Scientifique (CNRS))</t>
  </si>
  <si>
    <t>The publication of this article is financed by CNRS-INSU.</t>
  </si>
  <si>
    <t>1726-4170</t>
  </si>
  <si>
    <t>1726-4189</t>
  </si>
  <si>
    <t>Biogeosciences</t>
  </si>
  <si>
    <t>10.5194/bg-7-1-2010</t>
  </si>
  <si>
    <t>Ecology; Geosciences, Multidisciplinary</t>
  </si>
  <si>
    <t>549NM</t>
  </si>
  <si>
    <t>WOS:000274058100001</t>
  </si>
  <si>
    <t>Ardelan, MV; Holm-Hansen, O; Hewes, CD; Reiss, CS; Silva, NS; Dulaiova, H; Steinnes, E; Sakshaug, E</t>
  </si>
  <si>
    <t>Ardelan, M. V.; Holm-Hansen, O.; Hewes, C. D.; Reiss, C. S.; Silva, N. S.; Dulaiova, H.; Steinnes, E.; Sakshaug, E.</t>
  </si>
  <si>
    <t>Natural iron enrichment around the Antarctic Peninsula in the Southern Ocean</t>
  </si>
  <si>
    <t>A MAXIMA DCMS; DISSOLVED IRON; CHLOROPHYLL-A; BRANSFIELD STRAIT; SCOTIA SEA; PHYTOPLANKTON BIOMASS; TEMPORAL DISTRIBUTION; LIMITATION; WEDDELL; WATER</t>
  </si>
  <si>
    <t>As part of the US-AMLR program in January-February of 2006, 99 stations in the South Shetland Islands-Antarctic Peninsula region were sampled to understand the variability in hydrographic and biological properties related to the abundance and distribution of krill in this area. Concentrations of dissolved iron (DFe) and total acid-leachable iron (TaLFe) were measured in the upper 150 m at 16 of these stations (both coastal and pelagic waters) to better resolve the factors limiting primary production in this area and in downstream waters of the Scotia Sea. The concentrations of DFe and TaLFe in the upper mixed layer (UML) were relatively high in Weddell Sea Shelf Waters (similar to 0.6 nM and 15 nM, respectively) and low in Drake Passage waters (similar to 0.2 nM and 0.9 nM, respectively). In the Bransfield Strait, representing a mixture of waters from the Weddell Sea and the Antarctic Circumpolar Current (ACC), concentrations of DFe were similar to 0.4 nM and of TaLFe similar to 1.7 nM. The highest concentrations of DFe and TaLFe in the UML were found at shallow coastal stations close to Livingston Island (similar to 1.6 nM and 100 nM, respectively). The ratio of TaLFe:DFe varied with the distance to land: similar to 45 at the shallow coastal stations, similar to 15 in the high-salinity waters of Bransfield Strait, and similar to 4 in ACC waters. Concentrations of DFe increased slightly with depth in the water column, while that of TaLFe did not show any consistent trend with depth. Our Fe data are discussed in regard to the hydrography and water circulation patterns in the study area, and with the hypothesis that the relatively high rates of primary production in the central regions of the Scotia Sea are partially sustained by natural iron enrichment resulting from a northeasterly flow of iron-rich coastal waters originating in the South Shetland Islands-Antarctic Peninsula region.</t>
  </si>
  <si>
    <t>[Ardelan, M. V.; Sakshaug, E.] Norwegian Univ Sci &amp; Technol, NTNU, Dept Biol, N-7491 Trondheim, Norway; [Holm-Hansen, O.; Hewes, C. D.] Univ Calif San Diego, Div Marine Biol Res, Polar Res Program, Scripps Inst Oceanog, La Jolla, CA 92093 USA; [Reiss, C. S.] NOAA Fisheries, Antarct Ecosyst Res Div, La Jolla, CA 92037 USA; [Silva, N. S.] Pontificia Univ Catolica Valparaiso, Escuela Ciencias Mar, Valparaiso, Chile; [Dulaiova, H.] Woods Hole Oceanog Inst, Dept Marine Chem &amp; Geochem, Woods Hole, MA 02543 USA; [Ardelan, M. V.; Steinnes, E.] Norwegian Univ Sci &amp; Technol, Dept Chem, N-7491 Trondheim, Norway</t>
  </si>
  <si>
    <t>Norwegian University of Science &amp; Technology (NTNU); University of California System; University of California San Diego; Scripps Institution of Oceanography; National Oceanic Atmospheric Admin (NOAA) - USA; Pontificia Universidad Catolica de Valparaiso; Woods Hole Oceanographic Institution; Norwegian University of Science &amp; Technology (NTNU)</t>
  </si>
  <si>
    <t>Ardelan, MV (corresponding author), Norwegian Univ Sci &amp; Technol, NTNU, Dept Biol, N-7491 Trondheim, Norway.</t>
  </si>
  <si>
    <t>murato@nt.ntnu.no</t>
  </si>
  <si>
    <t>Steinnes, Eiliv/AAU-5457-2020; Dulai, Henrietta/AAY-9632-2020; Ardelan, Murat V./J-6492-2013</t>
  </si>
  <si>
    <t>Dulai, Henrietta/0000-0001-5970-1483; Ardelan, Murat V./0000-0002-0824-5331</t>
  </si>
  <si>
    <t>Norwegian Polar Institute [3557-103-E]; US AMLR Program; Antarctic Ecosystem Research Division at NOAA's Southwest Fisheries Research Center, La Jolla, California [NA17RJ1231]; Directorate For Geosciences; Office of Polar Programs (OPP) [0948338] Funding Source: National Science Foundation</t>
  </si>
  <si>
    <t>Norwegian Polar Institute; US AMLR Program; Antarctic Ecosystem Research Division at NOAA's Southwest Fisheries Research Center, La Jolla, California; Directorate For Geosciences; Office of Polar Programs (OPP)(National Science Foundation (NSF)NSF - Directorate for Geosciences (GEO))</t>
  </si>
  <si>
    <t>We wish to thank the officers and crew of R/V Yuzhmorgeologiya for their invaluable help during the course of this field study, and the NOAA US AMLR Program team that made this study possible with logistics support and help in collecting samples. The authors are very grateful to Svein Kristiansen from University of Tromso, for lending his GO-FLO bottles and S. Lierhagen for his contribution performing the HR-ICP-MS analysis. This work was supported by the Norwegian Polar Institute (grant 3557-103-E. Sakshaug) and the US AMLR Program, administered by the Antarctic Ecosystem Research Division at NOAA's Southwest Fisheries Research Center, La Jolla, California, under grant NA17RJ1231 (O. Holm-Hansen). Views contained herein are those of the authors and do not reflect those of NOAA.</t>
  </si>
  <si>
    <t>10.5194/bg-7-11-2010</t>
  </si>
  <si>
    <t>WOS:000274058100002</t>
  </si>
  <si>
    <t>Korb, RE; Whitehouse, MJ; Gordon, M; Ward, P; Poulton, AJ</t>
  </si>
  <si>
    <t>Korb, R. E.; Whitehouse, M. J.; Gordon, M.; Ward, P.; Poulton, A. J.</t>
  </si>
  <si>
    <t>Summer microplankton community structure across the Scotia Sea: implications for biological carbon export</t>
  </si>
  <si>
    <t>SOUTHERN-OCEAN SEDIMENTS; MAJOR DIATOM TAXA; PHYTOPLANKTON BLOOM; CHLOROPHYLL-A; PRIMARY PRODUCTIVITY; IRON FERTILIZATION; CROZET PLATEAU; PACIFIC SECTOR; HIGH-NUTRIENT; GEORGIA</t>
  </si>
  <si>
    <t>During the austral summer of 2008, we carried out a high resolution survey of the microplankton communities along a south to north transect covering a range of environments across the Scotia Sea, Southern Ocean; high and low productivity, sea-ice to open water conditions, and over a number of oceanographic fronts and bathymetric features. Cluster analysis revealed five distinct communities that were geographically constrained by physical features of bathymetry and fronts. From south to north the communities were: (1) the South Orkney group, a mixed community of naked dinoflagellates and heavily silicified diatoms, (2) southern Scotia Sea, a mixed community of cyptophytes and naked dinoflagellates, (3) central Scotia Sea, dominated by naked dinoflagellates, (4) southwest of the island of South Georgia, lightly silicified diatoms and naked dinoflagellates (5) northwest of South Georgia, dominated by diatoms. Data from a previous summer cruise (2003) to the Scotia Sea followed a similar pattern of community distribution. MODIS images, Chlorophyll a and macronutrient deficits revealed dense phytoplankton blooms occurred around the island of South Georgia, were absent near the ice edge and in the central Scotia Sea and were moderate in the southern Scotia Sea. Using these environmental factors, together with community composition, we propose that south of the Southern Antarctic Circumpolar Current Front, biogenic silica is preferentially exported and north of the front, in the vicinity of South Georgia, carbon is exported to depth.</t>
  </si>
  <si>
    <t>[Korb, R. E.; Whitehouse, M. J.; Gordon, M.; Ward, P.] British Antarctic Survey, NERC, Cambridge CB3 0ET, England; [Poulton, A. J.] Univ Southampton, Natl Oceanog Ctr, Southampton SO14 3ZH, Hants, England</t>
  </si>
  <si>
    <t>UK Research &amp; Innovation (UKRI); Natural Environment Research Council (NERC); NERC British Antarctic Survey; University of Southampton; NERC National Oceanography Centre</t>
  </si>
  <si>
    <t>Korb, RE (corresponding author), British Antarctic Survey, NERC, High Cross,Madingley Rd, Cambridge CB3 0ET, England.</t>
  </si>
  <si>
    <t>bxkorb@googlemail.com</t>
  </si>
  <si>
    <t>Poulton, Alex/A-9859-2012</t>
  </si>
  <si>
    <t>Poulton, Alex/0000-0002-5149-6961</t>
  </si>
  <si>
    <t>Natural Environment Research Council [bas0100025, noc010009] Funding Source: researchfish; NERC [bas0100025, noc010009] Funding Source: UKRI</t>
  </si>
  <si>
    <t>10.5194/bg-7-343-2010</t>
  </si>
  <si>
    <t>WOS:000274058100027</t>
  </si>
  <si>
    <t>Chever, F; Sarthou, G; Bucciarelli, E; Blain, S; Bowie, AR</t>
  </si>
  <si>
    <t>Chever, F.; Sarthou, G.; Bucciarelli, E.; Blain, S.; Bowie, A. R.</t>
  </si>
  <si>
    <t>An iron budget during the natural iron fertilisation experiment KEOPS (Kerguelen Islands, Southern Ocean)</t>
  </si>
  <si>
    <t>PHYTOPLANKTON BLOOM; DISSOLVED IRON; CARBON SEQUESTRATION; SURFACE WATERS; ORGANIC-CARBON; BOUND IRON; PLATEAU; ATLANTIC; FE; DISTRIBUTIONS</t>
  </si>
  <si>
    <t>Total dissolvable iron (TDFe) was measured in the water column above and in the surrounding of the Kerguelen Plateau (Indian sector of the Southern Ocean) during the KErguelen Ocean Plateau compared Study (KEOPS) cruise. TDFe concentrations ranged from 0.90 to 65.6 nmol L-1 above the plateau and from 0.34 to 2.23 nmol L-1 offshore of the plateau. Station C1 located south of the plateau, near Heard Island, exhibited very high values (329-770 nmol L-1). Apparent particulate iron (Fe-app), calculated as the difference between the TDFe and the dissolved iron measured on board (DFe) represented 95 +/- 5% of the TDFe above the plateau, suggesting that particles and refractory colloids largely dominated the iron pool. This paper presents a budget of DFe and Fe-app above the plateau. Lateral advection of water that had been in contact with the continental shelf of Heard Island seems to be the predominant source of Fe-app and DFe above the plateau, with a supply of 9.7 +/- 3.6x10(6) and 8.3 +/- 11.6x10(3) mol d(-1), respectively. The residence times of 1.7 and 48 days estimated for Fe-app and DFe respectively, indicate a rapid turnover in the surface water. A comparison between Fe-app and total particulate iron (TPFe) suggests that the total dissolved fraction is mainly constituted of small refractory colloids. This fraction does not seem to be a potential source of iron to the phytoplankton in our study. Finally, when taking into account the lateral supply of dissolved iron, the seasonal carbon sequestration efficiency was estimated at 154 000 mol C (mol Fe)(-1), which is 4-fold lower than the previously estimated value in this area but still 18-fold higher than the one estimated during the other study of a natural iron fertilisation experiment, CROZEX.</t>
  </si>
  <si>
    <t>[Chever, F.; Sarthou, G.; Bucciarelli, E.] Univ Europeenne Bretagne, F-35000 Rennes, France; [Chever, F.; Sarthou, G.; Bucciarelli, E.] Univ Brest, CNRS, IUEM, IRD,LEMAR,UMR 6539, F-29280 Plouzane, France; [Blain, S.] Univ Paris 06, Lab Oceanog Biol Banyuls Mer, F-66650 Banyuls Sur Mer, France; [Blain, S.] CNRS, Lab Oceanog Biol Banyuls Mer, F-66650 Banyuls Sur Mer, France; [Bowie, A. R.] Univ Tasmania, ACE CRC, Hobart, Tas, Australia</t>
  </si>
  <si>
    <t>Universite de Bretagne Occidentale; Centre National de la Recherche Scientifique (CNRS); CNRS - Institute of Ecology &amp; Environment (INEE); Ifremer; Institut de Recherche pour le Developpement (IRD); Universite de Bretagne Occidentale; Institut Universitaire Europeen de la Mer (IUEM); Sorbonne Universite; Sorbonne Universite; Centre National de la Recherche Scientifique (CNRS); Antarctic Climate &amp; Ecosystems Cooperative Research Centre (ACE CRC); University of Tasmania</t>
  </si>
  <si>
    <t>Sarthou, G (corresponding author), Univ Europeenne Bretagne, F-35000 Rennes, France.</t>
  </si>
  <si>
    <t>geraldine.sarthou@univ-brest.fr</t>
  </si>
  <si>
    <t>Bowie, Andrew/C-8677-2013; blain, stephane/F-6917-2010</t>
  </si>
  <si>
    <t>Bowie, Andrew/0000-0002-5144-7799; Sarthou, Geraldine/0000-0001-6560-6669; blain, stephane/0000-0002-5234-2446</t>
  </si>
  <si>
    <t>Institut National des Sciences de l'Univers (INSU); French Polar Institute (Institut Polaire Emile Victor, IPEV); Australian Government Cooperative Research Centres Program; French-Australian Science and Technoloy (FAST) programme [FR040170]</t>
  </si>
  <si>
    <t>Institut National des Sciences de l'Univers (INSU); French Polar Institute (Institut Polaire Emile Victor, IPEV); Australian Government Cooperative Research Centres Program(Australian GovernmentDepartment of Industry, Innovation and ScienceCooperative Research Centres (CRC) Programme); French-Australian Science and Technoloy (FAST) programme</t>
  </si>
  <si>
    <t>We are grateful to the project coordinator Stephane Blain, to Bernard Queguiner, the chief scientist, and to the captain and crew of the R. V. Marion Dufresne for their support on board. We also acknowledge Thibaut Wagener for his help with sampling clean seawater. This work was supported by the Institut National des Sciences de l'Univers (INSU) and the French Polar Institute (Institut Polaire Emile Victor, IPEV). This research was partly supported by the Australian Government Cooperative Research Centres Program through the Antarctic Climate and Ecosystems CRC (ACE CRC) and the French-Australian Science and Technoloy (FAST) programme (contract number FR040170). We thank ACE CRC internal reviewers Brian Griffiths and Delphine Lannuzel for their comments. P. Boyd and an anonymous reviewer are gratefully acknowledged for their critical comments and suggestions.</t>
  </si>
  <si>
    <t>10.5194/bg-7-455-2010</t>
  </si>
  <si>
    <t>561QQ</t>
  </si>
  <si>
    <t>WOS:000274993900004</t>
  </si>
  <si>
    <t>Palter, JB; Sarmiento, JL; Gnanadesikan, A; Simeon, J; Slater, RD</t>
  </si>
  <si>
    <t>Palter, J. B.; Sarmiento, J. L.; Gnanadesikan, A.; Simeon, J.; Slater, R. D.</t>
  </si>
  <si>
    <t>Fueling export production: nutrient return pathways from the deep ocean and their dependence on the Meridional Overturning Circulation</t>
  </si>
  <si>
    <t>SOUTHERN-OCEAN; NITROGEN-FIXATION; ATMOSPHERIC CO2; ANTARCTIC MODE; CLIMATE-CHANGE; DRAKE PASSAGE; WORLD OCEAN; WATERS; PYCNOCLINE; TRANSPORT</t>
  </si>
  <si>
    <t>In the Southern Ocean, mixing and upwelling in the presence of heat and freshwater surface fluxes transform subpycnocline water to lighter densities as part of the upward branch of the Meridional Overturning Circulation (MOC). One hypothesized impact of this transformation is the restoration of nutrients to the global pycnocline, without which biological productivity at low latitudes would be significantly reduced. Here we use a novel set of modeling experiments to explore the causes and consequences of the Southern Ocean nutrient return pathway. Specifically, we quantify the contribution to global productivity of nutrients that rise from the ocean interior in the Southern Ocean, the northern high latitudes, and by mixing across the low latitude pycnocline. In addition, we evaluate how the strength of the Southern Ocean winds and the parameterizations of subgridscale processes change the dominant nutrient return pathways in the ocean. Our results suggest that nutrients upwelled from the deep ocean in the Antarctic Circumpolar Current and subducted in Subantartic Mode Water support between 33 and 75% of global export production between 30 degrees S and 30 degrees N. The high end of this range results from an ocean model in which the MOC is driven primarily by wind-induced Southern Ocean upwelling, a configuration favored due to its fidelity to tracer data, while the low end results from an MOC driven by high diapycnal diffusivity in the pycnocline. In all models, nutrients exported in the SAMW layer are utilized and converted rapidly (in less than 40 years) to remineralized nutrients, explaining previous modeling results that showed little influence of the drawdown of SAMW surface nutrients on atmospheric carbon concentrations.</t>
  </si>
  <si>
    <t>[Palter, J. B.; Sarmiento, J. L.; Slater, R. D.] Princeton Univ, Atmospher &amp; Ocean Sci Program, Princeton, NJ 08544 USA; [Gnanadesikan, A.] Geophys Fluid Dynam Lab, Princeton, NJ USA; [Simeon, J.] CEN Saclay, Lab Sci Climat &amp; Environm, F-91191 Gif Sur Yvette, France</t>
  </si>
  <si>
    <t>Princeton University; National Oceanic Atmospheric Admin (NOAA) - USA; National Oceanic Atmospheric Admin (NOAA) - USA; Universite Paris Saclay; CEA; Centre National de la Recherche Scientifique (CNRS)</t>
  </si>
  <si>
    <t>Palter, JB (corresponding author), Princeton Univ, Atmospher &amp; Ocean Sci Program, Princeton, NJ 08544 USA.</t>
  </si>
  <si>
    <t>jpalter@princeton.edu</t>
  </si>
  <si>
    <t>Gnanadesikan, Anand/A-2397-2008; Palter, Jaime B/B-9484-2011</t>
  </si>
  <si>
    <t>Gnanadesikan, Anand/0000-0001-5784-1116; Palter, Jaime/0000-0002-2656-8062</t>
  </si>
  <si>
    <t>NOAA-Cooperative Institute for Climate Science [NA08OAR4320752]; National Oceanic and Atmospheric Administration, US Department of Commerce [NA07OAR4310096]; Office of Science (BER), US Department of Energy [DE-FG02-07ER64467]</t>
  </si>
  <si>
    <t>NOAA-Cooperative Institute for Climate Science(National Oceanic Atmospheric Admin (NOAA) - USA); National Oceanic and Atmospheric Administration, US Department of Commerce(National Oceanic Atmospheric Admin (NOAA) - USA); Office of Science (BER), US Department of Energy(United States Department of Energy (DOE))</t>
  </si>
  <si>
    <t>The authors are thankful for helpful comments from Robbie Toggweiler, Stephanie Downes, Andreas Oschlies, and an anonymous reviewer. The authors acknowledge support from the NOAA-Cooperative Institute for Climate Science Grant #NA08OAR4320752; the National Oceanic and Atmospheric Administration, US Department of Commerce award NA07OAR4310096; and the Office of Science (BER), US Department of Energy, Grant No. DE-FG02-07ER64467. All statements, findings, conclusions, and recommendations are those of the authors and do not necessarily reflect the views of the National Oceanic and Atmospheric Administration, the US Department of Commerce, or the US Department of Energy.</t>
  </si>
  <si>
    <t>10.5194/bg-7-3549-2010</t>
  </si>
  <si>
    <t>687DQ</t>
  </si>
  <si>
    <t>WOS:000284756300012</t>
  </si>
  <si>
    <t>Graham, AGC; Lonergan, L; Stoker, MS</t>
  </si>
  <si>
    <t>Graham, Alastair G. C.; Lonergan, Lidia; Stoker, Martyn S.</t>
  </si>
  <si>
    <t>Depositional environments and chronology of Late Weichselian glaciation and deglaciation in the central North Sea</t>
  </si>
  <si>
    <t>BOREAS</t>
  </si>
  <si>
    <t>WITCH GROUND BASIN; BRITISH ICE-SHEET; LAST DEGLACIATION; NORWEGIAN CHANNEL; REVISED MODEL; FLOW DYNAMICS; LEVEL CHANGES; HISTORY; MAXIMUM; SEDIMENTATION</t>
  </si>
  <si>
    <t>Geological constraints on ice-sheet deglaciation are essential for improving the modelling of ice masses and understanding their potential for future change. Here, we present a detailed interpretation of depositional environments from a new 30-m-long borehole in the central North Sea, with the aim of improving constraints on the history of the marine Late Pleistocene British-Fennoscandian Ice Sheet. Seven units characterize a sequence of compacted and distorted glaciomarine diamictons, which are overlain by interbedded glaciomarine diamictons and soft, bedded to homogeneous marine muds. Through correlation of borehole and 2D/3D seismic observations, we identify three palaeoregimes. These are: a period of advance and ice-sheet overriding; a phase of deglaciation; and a phase of postglacial glaciomarine-to-marine sedimentation. Deformed subglacial sediments correlate with a buried suite of streamlined subglacial bedforms, and indicate overriding by the SE-NW-flowing Witch Ground ice stream. AMS 14C dating confirms ice-stream activity and extensive glaciation of the North Sea during the Last Glacial Maximum, between c. 30 and 16.2 14C ka BP. Sediments overlying the ice-compacted deposits have been reworked, but can be used to constrain initial deglaciation to no later than 16.2 14C ka BP. A re-advance of British ice during the last deglaciation, dated at 13.9 14C ka BP, delivered ice-proximal deposits to the core site and deposited glaciomarine sediments rapidly during the subsequent retreat. A transition to more temperate marine conditions is clear in lithostratigraphic and seismic records, marked by a regionally pervasive iceberg-ploughmarked erosion surface. The iceberg discharges that formed this horizon are dated to between 13.9 and 12 14C ka BP, and may correspond to oscillating ice-sheet margins during final, dynamic ice-sheet decay.</t>
  </si>
  <si>
    <t>[Graham, Alastair G. C.] British Antarctic Survey, Ice Sheets Programme, Cambridge CB3 0ET, England; [Lonergan, Lidia] Univ London Imperial Coll Sci Technol &amp; Med, Dept Earth Sci &amp; Engn, London SW7 2AZ, England; [Stoker, Martyn S.] British Geol Survey, Edinburgh EH11 3LA, Midlothian, Scotland</t>
  </si>
  <si>
    <t>UK Research &amp; Innovation (UKRI); Natural Environment Research Council (NERC); NERC British Antarctic Survey; Imperial College London; UK Research &amp; Innovation (UKRI); Natural Environment Research Council (NERC); NERC British Geological Survey</t>
  </si>
  <si>
    <t>Graham, AGC (corresponding author), British Antarctic Survey, Ice Sheets Programme, Madingley Rd, Cambridge CB3 0ET, England.</t>
  </si>
  <si>
    <t>alah@bas.ac.uk; l.lonergan@imperial.ac.uk; mss@bgs.ac.uk</t>
  </si>
  <si>
    <t>Lonergan, Lidia/JMC-5636-2023</t>
  </si>
  <si>
    <t>Graham, Alastair/0000-0002-2880-2908; Stoker, Martyn/0000-0002-5314-0950; Lonergan, Lidia/0000-0001-9858-3029</t>
  </si>
  <si>
    <t>Imperial College/BGS UK consortium; University of Bergen, Norway; Quaternary Research Association; University of London [AR/CRF/B-2004/2005]; NERC [bas0100027, bosc01001, bgs05009] Funding Source: UKRI; Natural Environment Research Council [bgs05009, bosc01001, bas0100027] Funding Source: researchfish</t>
  </si>
  <si>
    <t>Imperial College/BGS UK consortium; University of Bergen, Norway; Quaternary Research Association; University of London; NERC(UK Research &amp; Innovation (UKRI)Natural Environment Research Council (NERC)); Natural Environment Research Council(UK Research &amp; Innovation (UKRI)Natural Environment Research Council (NERC))</t>
  </si>
  <si>
    <t>AGCG was funded by an Imperial College/BGS UK consortium Ph.D. grant and part-sponsored by a Marie Curie Ph.D. fellowship at the University of Bergen, Norway, while this work was undertaken. A. Skinner, the BGS, IODP and Arctic Coring Expedition, as well as the shipboard party of the Vidar Viking are thanked for recovering the borehole. BOSCORF, J. Sothcott, G. Tulloch and E. Philips are sincerely thanked for their help with core analyses. J. Newberry at the University of Gloucestershire carried out PSA analyses, and the Quaternary Research Association are thanked for a New Researcher's Award, which paid for the measurements. A University of London Central Research Fund grant (AR/CRF/B-2004/2005) awarded to AGCG covered the costs of radiocarbon dating at Uppsala RCL, Sweden. H. P. Sejrup, H. Haflidason, T. Bradwell and A. Nygard are thanked for many useful discussions. C. O Cofaigh, J. Rose, J. Scourse and an anonymous reviewer made valuable comments, which helped to improve the manuscript.</t>
  </si>
  <si>
    <t>0300-9483</t>
  </si>
  <si>
    <t>1502-3885</t>
  </si>
  <si>
    <t>Boreas</t>
  </si>
  <si>
    <t>10.1111/j.1502-3885.2010.00144.x</t>
  </si>
  <si>
    <t>612QN</t>
  </si>
  <si>
    <t>WOS:000278916600002</t>
  </si>
  <si>
    <t>Haapaniemi, AI; Scourse, JD; Peck, VL; Kennedy, H; Kennedy, P; Hemming, SR; Furze, MFA; Pienkowski, AJ; Austin, WEN; Walden, J; Wadsworth, E; Hall, IR</t>
  </si>
  <si>
    <t>Haapaniemi, Anna I.; Scourse, James D.; Peck, Victoria L.; Kennedy, Hilary; Kennedy, Paul; Hemming, Sidney R.; Furze, Mark F. A.; Pienkowski, Anna J.; Austin, William E. N.; Walden, John; Wadsworth, Emilie; Hall, Ian R.</t>
  </si>
  <si>
    <t>Source, timing, frequency and flux of ice-rafted detritus to the Northeast Atlantic margin, 30-12 ka: testing the Heinrich precursor hypothesis</t>
  </si>
  <si>
    <t>INDIVIDUAL HORNBLENDE GRAINS; BINGE-PURGE OSCILLATIONS; IRISH SEA; RADIOCARBON CALIBRATION; 40AR/39AR AGES; YOUNGER-DRYAS; ICEBERG DISCHARGES; LAST DEGLACIATION; C-14 AGES; VEDDE ASH</t>
  </si>
  <si>
    <t>Increased fluxes of ice-rafted detritus (IRD) from European ice sheets have been documented some 1000-1500 years before the arrival of Laurentide Ice Sheet (LIS)-sourced IRD during Heinrich (H) events. These early fluxes have become known as 'precursor events', and it has been suggested that they have mechanistic significance in the propagation of H events. Here we present a re-analysis of one of the main cores used to generate the precursor concept, OMEX-2K from the Goban Spur covering the last 30 ka, in order to identify whether the British-Irish Ice Sheet (BIIS) IRD fluxes occur only as precursors before H layers. IRD characterization and planktonic foraminiferal delta 18O measurements constrained by a new age model have enabled the generation of a continuous record of IRD sources, timing, frequency and flux, and of local contemporary hydrographic conditions. The evidence indicates that BIIS IRD precursors are not uniquely, or mechanistically, linked to H events, but are part of the pervasive millennial-scale cyclicity. Our results support an LIS source for the IRD comprising H layers, but the ambient glacial sections are dominated by assemblages typical of the Irish Sea Ice Stream. Light isotope excursions associated with H events are interpreted as resulting from the melting of the BIIS, with ice-sheet destabilization attributed to eustatic jumps generated by LIS discharge during H events. This positive-feedback mechanism probably caused similar responses in all circum-Atlantic ice-sheet margins, and the resulting gross freshwater flux contributed to the perturbation of the Atlantic Meridional Overturning Circulation during H events.</t>
  </si>
  <si>
    <t>[Haapaniemi, Anna I.] Univ Helsinki, Dept Geol, FIN-00014 Helsinki, Finland; [Scourse, James D.; Kennedy, Hilary; Kennedy, Paul] Bangor Univ, Coll Nat Sci, Sch Ocean Sci, Menai Bridge LL59 5AB, Anglesey, Wales; [Peck, Victoria L.] British Antarctic Survey, Cambridge CB3 0ET, England; [Hemming, Sidney R.] Lamont Doherty Earth Observ, Dept Earth &amp; Environm Sci, Palisades, NY 10964 USA; [Furze, Mark F. A.] Grant MacEwan Univ, Dept Phys Sci, Earth &amp; Planetary Sci Sect, Edmonton, AB T5J 2P2, Canada; [Pienkowski, Anna J.] Univ Alberta, Dept Earth &amp; Atmospher Sci, Edmonton, AB T6G 2E3, Canada; [Austin, William E. N.; Walden, John; Wadsworth, Emilie] Univ St Andrews, Sch Geog &amp; Geosci, St Andrews KY16 9AL, Fife, Scotland; [Hall, Ian R.] Cardiff Univ, Sch Earth &amp; Ocean Sci, Cardiff CF10 3YE, S Glam, Wales</t>
  </si>
  <si>
    <t>University of Helsinki; Bangor University; UK Research &amp; Innovation (UKRI); Natural Environment Research Council (NERC); NERC British Antarctic Survey; Columbia University; University of Alberta; University of St Andrews; Cardiff University</t>
  </si>
  <si>
    <t>Haapaniemi, AI (corresponding author), Univ Helsinki, Dept Geol, POB 64, FIN-00014 Helsinki, Finland.</t>
  </si>
  <si>
    <t>anna.haapaniemi@helsinki.fi; j.scourse@bangor.ac.uk</t>
  </si>
  <si>
    <t>Pienkowski, Anna/J-9339-2013; Pieńkowski, Anna J./AAL-1312-2020; Kennedy, Hilary A/M-5574-2014; Hall, Ian/C-2755-2009</t>
  </si>
  <si>
    <t>Pienkowski, Anna/0000-0002-3606-7130; Pieńkowski, Anna J./0000-0002-3606-7130; Kennedy, Hilary A/0000-0003-2290-2120; Hall, Ian/0000-0001-6960-1419; Furze, Mark/0000-0003-4636-6182; Hemming, Sidney/0000-0001-8117-2303</t>
  </si>
  <si>
    <t>UK Natural Environment Research Council [NER/A/S/2001/01189]; Finnish Graduate School in Geology; British Council Finland; James Scourse a Royal Society-Leverhulme Trust; NERC [NE/D012279/1, NE/G006024/1, NRCF010001, bas0100024, NE/H023356/1, bosc01001] Funding Source: UKRI; Natural Environment Research Council [NE/D012279/1, NER/A/S/2001/01189, NE/H023356/1, bosc01001, bas0100024, NE/G006024/1, NRCF010001] Funding Source: researchfish</t>
  </si>
  <si>
    <t>UK Natural Environment Research Council(UK Research &amp; Innovation (UKRI)Natural Environment Research Council (NERC)); Finnish Graduate School in Geology; British Council Finland; James Scourse a Royal Society-Leverhulme Trust; NERC(UK Research &amp; Innovation (UKRI)Natural Environment Research Council (NERC)); Natural Environment Research Council(UK Research &amp; Innovation (UKRI)Natural Environment Research Council (NERC))</t>
  </si>
  <si>
    <t>This paper is a contribution to the Climate change Consortium of Wales. This research was supported by UK Natural Environment Research Council Standard Grant NER/A/S/2001/01189 (JDS, HK, IRH). Anna Haapaniemi acknowledges a training award from the Finnish Graduate School in Geology and The British Council Finland Scholarship, and James Scourse a Royal Society-Leverhulme Trust Senior Research Fellowship. Brian Long is thanked for laboratory support. We are grateful to the anonymous referees and Professor Jan A. Piotrowski for their critical and constructive comments on the manuscript.</t>
  </si>
  <si>
    <t>10.1111/j.1502-3885.2010.00141.x</t>
  </si>
  <si>
    <t>WOS:000278916600009</t>
  </si>
  <si>
    <t>Komitov, B</t>
  </si>
  <si>
    <t>Komitov, Boris</t>
  </si>
  <si>
    <t>The Sun-climate relationship. III. Solar eruptions, north-south sunspot area asymmetry and earth climate</t>
  </si>
  <si>
    <t>BULGARIAN ASTRONOMICAL JOURNAL</t>
  </si>
  <si>
    <t>Sun; sun-climate relationship; sunspots; sunspot asymmetry</t>
  </si>
  <si>
    <t>In this Paper III, the last one of the series, additional evidences are given that the fluxes of solar high energy particles, with energies higher than 100 MeV (the solar cosmic rays), are a very important component of the Sun-climate relationship (see also Paper I and Psper II). It is known that the total solar irradiance and the galactic cosmic rays produce an integral climate effect of cooling in sunspot minima epochs and warming in sunspot maxima epochs. Contrariwise, the powerful solar corpuscular events cause cooling predominantly during the epochs of their high levels. By this reason subcenturial global and regional temperature quasi-cyclic changes with duration of approximately 60 years could be tracked during the last 150 years of instrumental climate observations. This paper shows that this subcenturial oscillation is very important in the group sunspot number data series since the Maunder minimum up to the end of 20th century. Only a relatively short period, closely before and during the last centurial Gleissberg-Gnevishev's minimum (AD 1898-1923), when this cycle is totally absent, is an exception there. Thus the solar eruptive activity make the total Sun-climate relationship essentially more complicated as it could be expected if only the total solar irradiance and the galactic cosmic rays variations are taken into account. From this point of view the climate warming tendency after AD 1975 has rather natural than anthropogenic origin. It is also shown that the efficiency of the solar corpuscular activity over the climate strongly depends on the north-south asymmetry of the solar activity centers (as a proxy the sunspots area north-south asymmetry index A is used there). The climate cooling effect in the Northern hemisphere is most powerful during the epochs of predominantly positive values of A. This effect is very significant in combination with high level of the index of the group sunspot number. A strong quasi 120-130-year hypercycle has been detected in the A index during the period of AD 1821-1994. Most probably the observed 120-130-year cyclity in the climate and cosmogenic 10 Be continental ice core data (both Greenland and Antarctic series) is related to this cycle. In the end the expected climate changes during the next decades and especially the new solar sunspot cycle No 24 are discussed on the base of the multiple nature of the Sun-climate relationship.</t>
  </si>
  <si>
    <t>[Komitov, Boris] Bulgarian Acad Sci, Inst Astron, BU-1784 Sofia, Bulgaria</t>
  </si>
  <si>
    <t>Bulgarian Academy of Sciences</t>
  </si>
  <si>
    <t>Komitov, B (corresponding author), Bulgarian Acad Sci, Inst Astron, BU-1784 Sofia, Bulgaria.</t>
  </si>
  <si>
    <t>bkomitov@sz.inetg.bg</t>
  </si>
  <si>
    <t>BULGARIAN ACAD SCIENCES, INST ASTRONOMY</t>
  </si>
  <si>
    <t>SOFIA</t>
  </si>
  <si>
    <t>TSARIGRADSKO SHOSSE 72, SOFIA, 1784, BULGARIA</t>
  </si>
  <si>
    <t>1313-2709</t>
  </si>
  <si>
    <t>1314-5592</t>
  </si>
  <si>
    <t>BULG ASTRON J</t>
  </si>
  <si>
    <t>Bulg. Astron. J.</t>
  </si>
  <si>
    <t>VC5OD</t>
  </si>
  <si>
    <t>WOS:000433837100007</t>
  </si>
  <si>
    <t>Billups, K; Scheiderich, K</t>
  </si>
  <si>
    <t>Mutti, M; Piller, W; Betzler, C</t>
  </si>
  <si>
    <t>Billups, Katharina; Scheiderich, Kathleen</t>
  </si>
  <si>
    <t>A synthesis of Late Oligocene through Miocene deep sea temperatures as inferred from foraminiferal Mg/Ca ratios</t>
  </si>
  <si>
    <t>CARBONATE SYSTEMS DURING THE OLIGOCENE-MIOCENE CLIMATE TRANSITION</t>
  </si>
  <si>
    <t>Special Publications of the International Association of Sedimentologists</t>
  </si>
  <si>
    <t>Oligocene; Miocene; palaeotemperatures; palaeoclimate; palaeoceanography; foraminifera</t>
  </si>
  <si>
    <t>CORE-TOP CALIBRATION; ART. NO. 1022; PLANKTONIC-FORAMINIFERA; SURFACE-TEMPERATURE; SEAWATER CHEMISTRY; NORTH-ATLANTIC; CLIMATE-CHANGE; SR/CA RATIOS; WATER CIRCULATION; SOUTHERN-OCEAN</t>
  </si>
  <si>
    <t>Published benthic foraminiferal Mg/Ca records have been compiled that span the latest Oligocene through Miocene, including new data for the South Atlantic. This synthesis, the first such of Mg/Ca data, necessitates consideration of uncertainties and limitations and provides a general perspective on the evolution of deep-sea temperatures over this period. Published Mg/Ca records show temperature patterns through the Miocene that are consistent with those first synthesized by Kennett (1985) utilizing isotope and other data. Accordingly, the early Miocene was an interval of relative warmth culminating in a climatic optimum at similar to 16 Ma that was characterized by the warmest (Mg-derived) temperatures of the past 20 million years. After the climatic optimum, palaeotemperatures dropped by 3-4 degrees C during the second major advance of Antarctic ice between similar to 15 Ma and 13 Ma. For the late Miocene, between 11 and 8.5 Ma, a distinct increase in benthic foraminiferal Mg/Ca ratios at two Atlantic sites provides evidence for deep to intermediate water circulation changes. Thereafter, temperatures close to modern are recorded at all sites. Assuming constant seawater Mg/Ca ratios through time, it can be concluded that the early Miocene climate was generally warmer than today and that by the late Miocene temperatures approached modern values.</t>
  </si>
  <si>
    <t>[Billups, Katharina; Scheiderich, Kathleen] Univ Delaware, Sch Marine Sci &amp; Policy, Lewes, DE 19958 USA</t>
  </si>
  <si>
    <t>University of Delaware</t>
  </si>
  <si>
    <t>Billups, K (corresponding author), Univ Delaware, Sch Marine Sci &amp; Policy, 700 Pilottown Rd, Lewes, DE 19958 USA.</t>
  </si>
  <si>
    <t>kbillups@udel.edu</t>
  </si>
  <si>
    <t>COMMERCE PLACE, 350 MAIN STREET, MALDEN 02148, MA USA</t>
  </si>
  <si>
    <t>0141-3600</t>
  </si>
  <si>
    <t>978-1-4443-3791-4</t>
  </si>
  <si>
    <t>SPEC PUBL INT ASS SE</t>
  </si>
  <si>
    <t>Geology; Paleontology</t>
  </si>
  <si>
    <t>BTL52</t>
  </si>
  <si>
    <t>WOS:000287219000002</t>
  </si>
  <si>
    <t>Pinkerton, MH; Bradford-Grieve, JM; Hanchet, SM</t>
  </si>
  <si>
    <t>Pinkerton, M. H.; Bradford-Grieve, J. M.; Hanchet, S. M.</t>
  </si>
  <si>
    <t>A BALANCED MODEL OF THE FOOD WEB OF THE ROSS SEA, ANTARCTICA</t>
  </si>
  <si>
    <t>CCAMLR SCIENCE</t>
  </si>
  <si>
    <t>Ross Sea; trophic model; food web; Antarctic toothfish; mass balance; inverse modelling; ecosystem model; CCAMLR</t>
  </si>
  <si>
    <t>A quantitative food web of the Ross Sea is presented here as a step towards investigating ecosystem effects of the fishery for Antarctic toothfish (Dissostichus mawsoni). The model consolidates quantitative information on trophic links across all the major biota of the Ross Sea and tests for data consistency. The model has 38 trophic groups and is balanced in terms of annual flows of organic carbon in an average recent year (1990-2000). The focus of the model is on the role of Antarctic toothfish in the food web which means that the model has greater taxonomic resolution towards the top of the food web than the base. A survey of the available literature and both published and unpublished data provided an initial set of parameters describing the annual average abundance, imports, exports, energetics (growth, reproduction, consumption) and trophic linkages (diets, key predators) for each model group. The relative level of uncertainty on these parameters was also estimated. This set of parameters was not self consistent, and a method is described to adjust the initial parameter set to give a balanced model, taking into account the estimates of parameter uncertainty and the large range of magnitude (&gt;6 orders of magnitude) in trophic flows between groups. Parameters for biomass, production rate, growth efficiency, diet fractions and other transfers of biomass between groups were adjusted simultaneously. It was found that changes to the initial set of parameters needed to obtain balance were reasonably small for most groups and most parameters. The mean absolute change for all key parameters (biomass, production rate, growth efficiency) and all groups together was 1.7%, and for diet fractions was 0.6%. Large but not implausible changes in biomass, production/biomass and production/consumption parameters were needed to balance the microzooplankton (34-47%), ice bacteria (61-72%), and ice protozoa (24-54%), components of the model. Trophic levels are in close agreement: with those derived from isotope and other ecosystems. In the balanced model, there is only enough large (&gt;100 cm) toothfish production to satisfy 6.5% of the diet of Weddell seals, 5.6% of the diet of orca and 2.6% of the diet of sperm whales. The model does not support the hypothesis that depletion of Antarctic toothfish by fishing would change the diet of predators of tooth fish (Weddell seals, orca, sperm whales) by large amounts throughout the Ross Sea, though the importance of toothfish as prey items to these predators is not tested and requires further investigation. The model shows that large toothfish consume 61% of the annual production of medium-sized demersal fishes and 14% of the annual production of small demersal fishes, implying a potential for the fishery to affect these prey through trophic cascades. There is a need to establish monitoring of medium and small demersal fishes in the Ross Sea, and to model potential changes to these groups due to the fishery.</t>
  </si>
  <si>
    <t>[Pinkerton, M. H.; Bradford-Grieve, J. M.] Natl Inst Water &amp; Atmospher Res NIWA Ltd, Wellington 6241, New Zealand; [Hanchet, S. M.] NIWA Ltd, Nelson 7040, New Zealand</t>
  </si>
  <si>
    <t>National Institute of Water &amp; Atmospheric Research (NIWA) - New Zealand; National Institute of Water &amp; Atmospheric Research (NIWA) - New Zealand</t>
  </si>
  <si>
    <t>Pinkerton, MH (corresponding author), Natl Inst Water &amp; Atmospher Res NIWA Ltd, Private Bag 14901, Wellington 6241, New Zealand.</t>
  </si>
  <si>
    <t>m.pinkerton@niwa.co.nz</t>
  </si>
  <si>
    <t>Bradford-Grieve, Janet/0000-0002-3580-1217</t>
  </si>
  <si>
    <t>New Zealand Foundation for Research, Science and Technology [C01X0505]; New Zealand Ministry of Fisheries [ANT200405, ANT200603]</t>
  </si>
  <si>
    <t>New Zealand Foundation for Research, Science and Technology(New Zealand Foundation for Research, Science and Technology); New Zealand Ministry of Fisheries</t>
  </si>
  <si>
    <t>Funding for this work was provided by the New Zealand Foundation for Research, Science and Technology (C01X0505) and New Zealand Ministry of Fisheries (ANT200405, ANT200603). We are grateful to Keith Reid, Simeon Hill, and Walker Smith Jnr for helpful comments and suggestions. We thank the following for data and advice in deriving parameters: Peter Wilson, Phil Lyver, Sarah Bury, David Thompson, Julie Brown, Alistair Dunn, Jeff Forman, Richard O'Driscoll, Michael Williams, Darren Stevens, David Bowden, Vonda Cummings, Walker Smith Jnr, Vladislav Barkhatov and James Barry.</t>
  </si>
  <si>
    <t>C C A M L R TI</t>
  </si>
  <si>
    <t>NORTH HOBART</t>
  </si>
  <si>
    <t>PO BOX 213, NORTH HOBART, TAS 7002, AUSTRALIA</t>
  </si>
  <si>
    <t>1023-4063</t>
  </si>
  <si>
    <t>CCAMLR SCI</t>
  </si>
  <si>
    <t>CCAMLR Sci.</t>
  </si>
  <si>
    <t>Fisheries</t>
  </si>
  <si>
    <t>V24KQ</t>
  </si>
  <si>
    <t>WOS:000208409700001</t>
  </si>
  <si>
    <t>Hanchet, SM; Mormede, S; Dunn, A</t>
  </si>
  <si>
    <t>Hanchet, S. M.; Mormede, S.; Dunn, A.</t>
  </si>
  <si>
    <t>DISTRIBUTION AND RELATIVE ABUNDANCE OF ANTARCTIC TOOTHFISH (DISSOSTICHUS MAWSONI) ON THE ROSS SEA SHELF</t>
  </si>
  <si>
    <t>Antarctic toothfish; Dissostichus mawsoni; Ross Sea shelf; toothfish fishery; distribution; length frequency; range contraction; CCAMLR</t>
  </si>
  <si>
    <t>This paper summarises knowledge of the distribution and relative abundance of Antarctic toothfish (Dissostichus mawsoni) on the Ross Sea shelf (defined here as the continental shelf out to the edge of the shelf break at about 600-800 m depth). The focus is on D. mawsoni catches from the shelf, as this area is likely to have the greatest overlap between D. mawsoni and potential predators, and thus where any ecosystem effects would be most likely to occur. The shelf catch has been taken mainly in depths greater than 800 m from three localised fishing grounds of deep water off Terra Nova Bay, Ross Island, and in the south of small-scale research unit (SSRU) 881L (adjacent to the Ross Ice Shelf). The catch rates from the exploratory longline fishery typically show high temporal and spatial variability, even between consecutive sets within the main fishing grounds. Most toothfish caught in the southern Ross Sea were sub-adult and maturing fish, typically ranging from 60-130 cm in length, with some evidence for an ontogenetic migration from east to west as they grow. From the fisheries data available, there is no evidence for a northward contraction in the range of D. mawsoni over the course of the fishery. Nevertheless, it would seem prudent to have a monitoring system in place so that changes in relative abundance of these subadult fish could be detected. It is recommended that CCAMLR consider developing a sub-adult longline survey to monitor this part of the population.</t>
  </si>
  <si>
    <t>[Hanchet, S. M.] Natl Inst Water &amp; Atmospher Res NIWA Ltd, Nelson, New Zealand; [Mormede, S.; Dunn, A.] NIWA Ltd, Wellington, New Zealand</t>
  </si>
  <si>
    <t>Hanchet, SM (corresponding author), Natl Inst Water &amp; Atmospher Res NIWA Ltd, POB 893, Nelson, New Zealand.</t>
  </si>
  <si>
    <t>s.hanchet@niwa.co.nz</t>
  </si>
  <si>
    <t>Mormede, Sophie/0000-0003-4668-2046</t>
  </si>
  <si>
    <t>New Zealand Ministry of Fisheries [ANT2008/03]</t>
  </si>
  <si>
    <t>New Zealand Ministry of Fisheries</t>
  </si>
  <si>
    <t>We thank scientific observers for the collection of data and samples, and David Ramm and Eric Appleyard for extracting the data. We would also like to thank the members of the New Zealand Antarctic Fisheries Stock Assessment Working Group including Neville Smith, Ingrid Jamieson, Steve Parker and Jack Fenaughty for helpful discussions and input into this paper. This project was funded by the New Zealand Ministry of Fisheries under project ANT2008/03.</t>
  </si>
  <si>
    <t>WOS:000208409700002</t>
  </si>
  <si>
    <t>Parker, SJ; Grimes, PJ</t>
  </si>
  <si>
    <t>Parker, S. J.; Grimes, P. J.</t>
  </si>
  <si>
    <t>LENGTH- AND AGE-AT-SPAWNING OF ANTARCTIC TOOTHFISH (DISSOSTICHUS MAWSONI) IN THE ROSS SEA</t>
  </si>
  <si>
    <t>maturity; oogenesis; skip-spawning; ogive; CCAMLR</t>
  </si>
  <si>
    <t>This study uses histological assessments to determine age- and length-at-spawning for female and male Antarctic toothfish (Dissostichus mawsoni) from fish sampled in the Ross Sea spanning the 2000-2009 fishing seasons. A characterisation of the oocyte developmental cycle of D. mawsoni shows that once development begins, oocytes grow and accumulate at the cortical alveoli stage for at least one year. Individual oocytes are then recruited into the vitellogenic phase over at least a 6-12 month period, resulting in a developed group of oocytes accumulating at the final maturation stage by approximately May each year. The age at 50% spawning for females on the Ross Sea slope region is 16.6 years (95% CI 16.0-17.3) or 133.2 cm (95% CI 130.9-135.7) by length. On average, males spawn at a younger age with an A(50%) of 12.8 years (95% CI 11.9-14.0) or 120.4 cm (95% CI 114.8-126.7) by length. Evidence of skip-spawning was observed for females only and results in a flatter, right-shifted ogive, increasing the functional difference between male and female ogives. The degree to which the overall population ogive is biased right (older) by applying the slope-derived ogive to the northern Ross Sea region depends on the proportion of the total population occurring in the northern Ross Sea region, which is currently unknown.</t>
  </si>
  <si>
    <t>[Parker, S. J.] Natl Inst Water &amp; Atmospher Res NIWA Ltd, Nelson, New Zealand; [Grimes, P. J.] NIWA Ltd, Wellington, New Zealand</t>
  </si>
  <si>
    <t>Parker, SJ (corresponding author), Natl Inst Water &amp; Atmospher Res NIWA Ltd, POB 893, Nelson, New Zealand.</t>
  </si>
  <si>
    <t>s.parker@niwa.co.nz</t>
  </si>
  <si>
    <t>New Zealand Ministry of Fisheries [ANT2008/01]</t>
  </si>
  <si>
    <t>Thanks are due to the New Zealand Ministry of Fisheries science staff, scientific observers, and fishing crew who enabled and collected the data used for this analysis. G. Patchell generously provided histological slides from his previous work in the Ross Sea, greatly extending the seasonal range of samples available. The New Zealand Antarctic Fisheries Working Group provided helpful discussions and input into this paper. D. Ramm and E. Appleyard provided the data extracts from the CCAMLR Secretariat. We are grateful for the assistance of M. Carter, D. Fu and A. Wadhwa for graphics and histological work, S. Mormede for assistance with R code, and A. Dunn and S. Hanchet for stock assessment data and helpful discussions. We are especially grateful to D. Welsford and O. Kjesbu for their thoughtful reviews of an earlier draft. This project was funded by the New Zealand Ministry of Fisheries under project ANT2008/01.</t>
  </si>
  <si>
    <t>WOS:000208409700003</t>
  </si>
  <si>
    <t>Azzali, M; Leonori, I; Biagiotti, I; De Felice, A; Angiolillo, M; Bottaro, M; Vacchi, M</t>
  </si>
  <si>
    <t>Azzali, M.; Leonori, I.; Biagiotti, I.; De Felice, A.; Angiolillo, M.; Bottaro, M.; Vacchi, M.</t>
  </si>
  <si>
    <t>TARGET STRENGTH STUDIES ON ANTARCTIC SILVERFISH (PLEURAGRAMMA ANTARCTICUM) IN THE ROSS SEA</t>
  </si>
  <si>
    <t>Antarctic silverfish; Pleuragramma antarcticum ex situ target strength; in situ target strength; target strength models; CCAMLR</t>
  </si>
  <si>
    <t>Target strength (TS) of preserved (frozen and defrosted) Antarctic silverfish (Pleuragramma antarcticum) of total length (TL) from 110 to 202.5 mm were measured ex situ (Ancona Bay) at 38, 120 and 200 kHz in May 2007 and in February 2009. Overall ex situ TS TL relationships were: TS38 = 36.83Log TL(cm) -103.62 (N = 18); TS120 = 34.75Log TL(cm) -84.20 (N = 19); TS200 = 26.71Log TL(cm) -73.74; (N = 16). Nine in situ acoustic trawl experiments targeted at juveniles and post-larvae of P. antarcticum with a total length from 13 to 70 mm, were conducted in the southeast of the continental slope and shelf of the Ross Sea at depths from 30 to 120 m, during the Italian expeditions of 1997/98, 2000 and 2004. The regression lines for estimating TS from nine experiments were: TS38 = 57.58Log TL(cm) -123.77; TS120 = 51.94Log TL(cm) -105.92; TS200 = 46.61 Log TL(cm) -95.29. These results indicate that the TS-TL relationships at 38, 120 and 200 kHz of adults of P. antarcticum differ consistently from those of post-larvae and juveniles. However, a simple model derived from the geometrical and acoustic characteristics of different parts of adult P. antarcticum and designed to fit fish life stages from adults to post-larvae and frequencies from 38 to 200 kHz, can predict the experimental TS measured both ex situ and in situ with a mean difference &lt;1.5 dB, although the differences between the predicted and measured TS at some fish lengths were high (from 7.16 to -3.14 dB). The model shows that the main contribution to the scattering for small fish is from soft tissues and for larger sizes from hard tissues (e.g. skeletal structures). This may explain why small and large fish have different TS-TL relationships. In the authors' opinion the model could be used to give a first indication of the absolute abundance of P. antarcticum in the Ross Sea. A critical point is the decision rule to be used to differentiate P. antarcticum from Euphausia superba and E. crystallorophias that are present in the same region of the Ross Sea. Following the three-frequency decision criterion described in Azzali et al. (2004), some sizes of P. antarcticum could be confused acoustically with E. crystallorophias, but not with E. superba.</t>
  </si>
  <si>
    <t>[Azzali, M.; Leonori, I.; Biagiotti, I.; De Felice, A.] Ist Sci Marine ISMAR CNR, Sez Pesca Marittima Ancona, I-60123 Ancona, Italy; [Angiolillo, M.; Bottaro, M.; Vacchi, M.] ISPRA Univ Genova, Genoa, Italy</t>
  </si>
  <si>
    <t>Consiglio Nazionale delle Ricerche (CNR); Istituto di Scienze Marine (ISMAR-CNR)</t>
  </si>
  <si>
    <t>Azzali, M (corresponding author), Ist Sci Marine ISMAR CNR, Sez Pesca Marittima Ancona, I-60123 Ancona, Italy.</t>
  </si>
  <si>
    <t>m.azzali@ismar.cnr.it</t>
  </si>
  <si>
    <t>Angiolillo, Michela/L-2274-2015; De+Felice, Andrea/AHA-1500-2022; De Felice, Andrea/L-9465-2014; Leonori, Iole/AAD-7901-2020; Biagiotti, Ilaria/C-8893-2014; CNR, Ismar/P-1247-2014</t>
  </si>
  <si>
    <t>Angiolillo, Michela/0000-0001-5420-8868; De+Felice, Andrea/0000-0002-0051-2052; Leonori, Iole/0000-0001-7673-1684; Biagiotti, Ilaria/0000-0002-5395-6896; Bottaro, Massimiliano/0000-0001-7995-5288; CNR, Ismar/0000-0001-5351-1486</t>
  </si>
  <si>
    <t>ENEA-Progetto Antartide; European Community</t>
  </si>
  <si>
    <t>A draft of this work was critically discussed during the fourth meeting of SG-ASAM (Ancona, Italy, 23-28 May 2009). The authors gratefully acknowledge the comments of all participants. Special thanks are owed to Richard O'Driscoll, John Watkins, Ludo Calise, David Demer, Gavin Macaulay and Keith Reid and the two anonymous reviewers who provided the suggestions necessary to examine the data more closely, crystallise the ideas and improve them. The authors also gratefully acknowledge ENEA-Progetto Antartide for supporting this study, Malcom Clark (NIWA) for providing the P. antarcticum adult specimens, and the captain, deck officers and crew on board the RV Italica for assistance in the field measurements during the three expeditions to the Ross Sea. The authors are also grateful to their colleagues Giordano Giuliani, Luigi Cingolani, Vito Palumbo, Sergio Catacchio of ISMAR (Ancona), and to the captain and crew on board the RV Dallaporta for their excellent cooperation at the sea compound. The use of the pelagic trawl used in this study was made available through a research project financed by the European Community and performed by CNR-ISMAR of Ancona (Italy) and the Norwegian University of Science in Trondheim.</t>
  </si>
  <si>
    <t>WOS:000208409700004</t>
  </si>
  <si>
    <t>Parker, SJ; Bowden, DA</t>
  </si>
  <si>
    <t>Parker, S. J.; Bowden, D. A.</t>
  </si>
  <si>
    <t>IDENTIFYING TAXONOMIC GROUPS VULNERABLE TO BOTTOM LONGLINE FISHING GEAR IN THE ROSS SEA REGION</t>
  </si>
  <si>
    <t>vulnerable marine ecosystem; VME; bottom contact; habitat impact; deep-sea coral; impact assessment; CCAMLR</t>
  </si>
  <si>
    <t>DEEP-SEA; GROWTH-RATES; PRIMNOA-RESEDAEFORMIS; GORGONIAN CORALS; HABITAT; AGE; ECHINODERMATA; LIFE; REPRODUCTION; ASSOCIATIONS</t>
  </si>
  <si>
    <t>Implementing measures to avoid significant adverse impacts to vulnerable marine ecosystems (VMEs) requires a specific list of the taxa that are considered vulnerable in the fishery being assessed. New Zealand identified an interim list of taxa to monitor in fishery by-catch in the Ross Sea as part of its benthic fisheries impact assessment. The rationale for including or excluding each taxonomic group is described relative to the group's fragility, longevity,. organism size and spatial distribution. Additional considerations such as organism mobility, community diversity, endemism, taxonomic resolution and presence in fishery by-catch are also important. Thirteen coarse-resolution taxonomic groups are identified as vulnerable to bottom longline fishing activities in the Ross Sea region, including two indicator-only taxa.</t>
  </si>
  <si>
    <t>[Parker, S. J.] Natl Inst Water &amp; Atmospher Res NIWA Ltd, Nelson, New Zealand; [Bowden, D. A.] NIWA Ltd, Wellington, New Zealand</t>
  </si>
  <si>
    <t>New Zealand Ministry of Fisheries [ANT2008-03]</t>
  </si>
  <si>
    <t>Thanks to Daphne Fautin, Di Tracey and Sadie Mills for discussion of life-history characteristics and potential data sources. The New Zealand Antarctic Fisheries Working Group provided helpful discussions and input into this paper, as did the participants at CCAMLR's VME Workshop. We thank Neville Smith, Ben Sims, Ben Sharp, Keith Martin-Smith, Stefano Schiaparelli and David Barnes for detailed and thoughtful reviews of the manuscript. The research was funded by the New Zealand Ministry of Fisheries under project ANT2008-03.</t>
  </si>
  <si>
    <t>WOS:000208409700005</t>
  </si>
  <si>
    <t>Agnew, DJ; Grove, P; Peatman, T; Burn, R; Edwards, CTT</t>
  </si>
  <si>
    <t>Agnew, D. J.; Grove, P.; Peatman, T.; Burn, R.; Edwards, C. T. T.</t>
  </si>
  <si>
    <t>ESTIMATING OPTIMAL OBSERVER COVERAGE IN THE ANTARCTIC KRILL FISHERY</t>
  </si>
  <si>
    <t>Scheme of International Scientific Observation; krill; variance components analysis; CCAMLR</t>
  </si>
  <si>
    <t>Data collected as part of the CCAMLR Scheme of International Scientific Observation from conventional krill trawl vessels fishing in South Georgia (CCAMLR Subarea 48.3) were analysed using variance components analysis (VCA) to determine the relationship between observer coverage and our ability to reliably estimate parameters of interest, in this case the mean (or median) krill length and the rate of larval fish by-catch. A partial coverage sampling program has been implemented in South Georgia since 2002: observers have been placed on approximately 50% of vessels fishing in any one season, and have been present on board for about 30% of that season. They have achieved a rate of krill sampling equivalent to 18% of total hauls per vessel per season and 31% per vessel per season for larval fish. Between-vessel and between-haul variance was estimated. For krill mean length and larval fish by-catch rate, between-vessel variance (about 45% of total variance) was slightly lower than between-haul variance. However, the ratio is sufficiently close to 50% that sampling needs to be efficient at both vessel and haul level. It is proposed that an efficient sampling proportion, at least for South Georgia, should be &gt;50% of vessels sampled each season, 20% of total season hauls sampled for krill and an equivalent or higher sampling proportion for larval fish. The Scientific Committee's method of systematic partial coverage appears to have been sufficient in South Georgia to determine appropriate coverage levels in that fishery. The South Georgia data suggest that such strategies should be pursued for at least four years before the Scientific Committee will have sufficient data to determine appropriate sampling strategies in a particular area.</t>
  </si>
  <si>
    <t>[Agnew, D. J.; Peatman, T.] MRAG Ltd, London W1J 5PN, England; [Grove, P.; Burn, R.] Univ Reading, Stat Serv Ctr, Reading RG6 6FN, Berks, England</t>
  </si>
  <si>
    <t>University of Reading</t>
  </si>
  <si>
    <t>Agnew, DJ (corresponding author), MRAG Ltd, 18 Queen St, London W1J 5PN, England.</t>
  </si>
  <si>
    <t>d.agnew@mrag.co.uk</t>
  </si>
  <si>
    <t>WOS:000208409700007</t>
  </si>
  <si>
    <t>Hill, SL; Forcada, J; Trathan, PN; Waluda, CM</t>
  </si>
  <si>
    <t>Hill, S. L.; Forcada, J.; Trathan, P. N.; Waluda, C. M.</t>
  </si>
  <si>
    <t>USING ECOSYSTEM MONITORING DATA TO DETECT IMPACTS</t>
  </si>
  <si>
    <t>CCAMLR ecosystem monitoring program (CEMP); ecosystem management; reference points; risk; Antarctic fur seal; Arctocephalus gazella; pup production; CCAMLR</t>
  </si>
  <si>
    <t>The purpose of ecosystem monitoring programs is to indicate the state of ecosystems and whether they have been impacted by activities such as fishing. This paper discusses a range of methods for inferring such impacts using monitoring data with no control sites. These methods assess either (i) the expected probability of an observed value in an unimpacted system, or (ii) the frequency of values below a fixed reference point. The second approach allows inference criteria based on changes in this frequency rather than by reference to a critical probability All methods would have provided a sustained indication of a significant decline in Antarctic fur seal (Arctocephalus gazella) pup production at South Georgia from the early 1990s within a few years of its onset, but a fixed reference point method could have provided this sustained indication from the onset. Furthermore, simulation of all methods suggests that the total probability of error (false positives and false negatives combined) is lowest with fixed reference point methods. The probabilities of Type I and Type II error can be evaluated analytically for these methods, which facilitates decision-making based on attitudes to risk.</t>
  </si>
  <si>
    <t>[Hill, S. L.; Forcada, J.; Trathan, P. N.; Waluda, C. M.] British Antarctic Survey, Nat Environm Res Council, Cambridge CB3 0ET, England</t>
  </si>
  <si>
    <t>Hill, SL (corresponding author), British Antarctic Survey, Nat Environm Res Council, Madingley Rd, Cambridge CB3 0ET, England.</t>
  </si>
  <si>
    <t>sih@bas.ac.uk</t>
  </si>
  <si>
    <t>Simeon, Hill L/B-2307-2008; Forcada, Jaume/GYU-0677-2022</t>
  </si>
  <si>
    <t>This is a contribution to the British Antarctic Survey's Ecosystems programme, funded by the Natural Environment Research Council. The authors thank the Bird Island field assistants who collected the data on fur seal pup production, members of CCAMLR's Working Group on Ecosystem Monitoring and Management (WG-EMM) for useful discussion and Jefferson Hinke and Andrew Constable for helpful comments.</t>
  </si>
  <si>
    <t>WOS:000208409700011</t>
  </si>
  <si>
    <t>McKinlay, J; Southwell, C; Trebilco, R</t>
  </si>
  <si>
    <t>McKinlay, J.; Southwell, C.; Trebilco, R.</t>
  </si>
  <si>
    <t>INTEGRATING COUNT EFFORT BY SEASONALLY CORRECTING ANIMAL POPULATION ESTIMATES (ICESCAPE): A METHOD FOR ESTIMATING ABUNDANCE AND ITS UNCERTAINTY FROM COUNT DATA USING ADELIE PENGUINS AS A CASE STUDY</t>
  </si>
  <si>
    <t>abundance estimation; parametric bootstrap; availability bias; Adelie penguin; CCAMLR</t>
  </si>
  <si>
    <t>CENSUS</t>
  </si>
  <si>
    <t>This work describes a parametric bootstrap model for standardising animal count data to a common reference point of breeding chronology for species with a complex temporal function of sampling availability. ICESCAPE (Integrating Count Effort by Seasonally Correcting Animal Population Estimates) is a suite of routines that implements a general abundance estimator accounting for availability bias, detection bias and sampling fractions less than unity. Within this resampling framework, all reported measures of uncertainty associated with originally published counts are propagated through to the final adjusted estimates. Adjustment for availability bias is achieved by applying an adjustment factor based on independently measured time series of availability throughout a breeding season. Such time series are typically collected at only a limited number of sites, so surrogate availability information for a site is used when none exists. Importantly, a common standardisation procedure allows site-specific estimates to be aggregated to achieve region-scale population estimates. By way of illustration, the method is applied to several examples of published studies of Adelie penguin abundance at breeding sites in Antarctica. These examples focus on adjusting counts of adults to an effective number of breeding pairs, although the software has been developed to accommodate adjustment and aggregation cif other count objects typical for penguin species, such as occupied nest or chick counts. While tailored for Adelie penguins, the method and implementation is sufficiently general to be easily adapted for other colonial land-breeding species showing seasonal variation in availability to sampling methodology.</t>
  </si>
  <si>
    <t>[McKinlay, J.; Southwell, C.; Trebilco, R.] Australian Antarctic Div, Dept Environm Water Heritage &amp; Arts, Kingston, Tas 7050, Australia</t>
  </si>
  <si>
    <t>McKinlay, J (corresponding author), Australian Antarctic Div, Dept Environm Water Heritage &amp; Arts, 203 Channel Highway, Kingston, Tas 7050, Australia.</t>
  </si>
  <si>
    <t>john.mckinlay@aad.gov.au</t>
  </si>
  <si>
    <t>Trebilco, Rowan/I-5311-2012</t>
  </si>
  <si>
    <t>Trebilco, Rowan/0000-0001-9712-8016</t>
  </si>
  <si>
    <t>WOS:000208409700012</t>
  </si>
  <si>
    <t>Southwell, C; McKinlay, J; Emmerson, L; Trebilco, R; Newbery, K</t>
  </si>
  <si>
    <t>Southwell, C.; McKinlay, J.; Emmerson, L.; Trebilco, R.; Newbery, K.</t>
  </si>
  <si>
    <t>IMPROVING ESTIMATES OF ADELIE PENGUIN BREEDING POPULATION SIZE: DEVELOPING FACTORS TO ADJUST ONE-OFF POPULATION COUNTS FOR AVAILABILITY BIAS</t>
  </si>
  <si>
    <t>abundance estimation; Adelie penguin; availability bias; generalised additive modelling; parametric bootstrap; CCAMLR</t>
  </si>
  <si>
    <t>New methods are presented for the collection and development of data to adjust counts of Adelie penguins made at any time in the breeding season to an estimate of the breeding population. The development of 'availability adjustment factors' involves the collection of time-series counts of population objects, such as adults, nests or chicks, throughout the breeding season and standardisation of the time series to a reference point one week after the peak in egg laying, consistent with Standard Method A3 of the CCAMLR Ecosystem Monitoring Program (CEMP). Remotely operating cameras were used to obtain time-series counts of adults and nests, while time-series counts of chicks were obtained manually. Standardised time series were modelled using a generalised additive model framework to allow interpolation across days when no counts were available and to provide a formal estimate of uncertainty around the average function. The method is illustrated using data collected at the Bechervaise Island CEMP site in 2007/08. Estimates of the breeding population obtained by adjusting a one-off count using availability adjustment factors will not account for penguins that left the breeding site prior to the reference point because their breeding attempt failed, breeding-age penguins that failed to return to the breeding site in that breeding season, nor pre-breeding penguins. The abundance of these components of the population can only be estimated through alternative methods such as mark-recapture of individually tagged birds. Given the paucity of adjustment data in the literature, further collection of availability adjustment data across space and time is recommended.</t>
  </si>
  <si>
    <t>[Southwell, C.; McKinlay, J.; Emmerson, L.; Trebilco, R.; Newbery, K.] Australian Antarctic Div, Dept Environm Water Heritage &amp; Arts, Kingston, Tas 7050, Australia</t>
  </si>
  <si>
    <t>Southwell, C (corresponding author), Australian Antarctic Div, Dept Environm Water Heritage &amp; Arts, 203 Channel Highway, Kingston, Tas 7050, Australia.</t>
  </si>
  <si>
    <t>colin.southwell@aad.gov.au</t>
  </si>
  <si>
    <t>Trebilco, Rowan/0000-0001-9712-8016; McKinlay, John/0000-0003-4858-2604</t>
  </si>
  <si>
    <t>WOS:000208409700013</t>
  </si>
  <si>
    <t>Harrison, SP; Marlon, JR; Bartlein, PJ</t>
  </si>
  <si>
    <t>Dodson, J</t>
  </si>
  <si>
    <t>Harrison, S. P.; Marlon, J. R.; Bartlein, P. J.</t>
  </si>
  <si>
    <t>Fire in the Earth System</t>
  </si>
  <si>
    <t>CHANGING CLIMATES, EARTH SYSTEMS AND SOCIETY</t>
  </si>
  <si>
    <t>International Year of Planet Earth</t>
  </si>
  <si>
    <t>Wildfire; Fire regimes; Fire patterns</t>
  </si>
  <si>
    <t>CLIMATE-CHANGE; FOREST-FIRES; BOREAL FOREST; VEGETATION DISTRIBUTION; ECOSYSTEM PRODUCTIVITY; ATMOSPHERIC OXYGEN; SPATIAL-PATTERNS; CHARCOAL RECORDS; CARBON STORAGE; BURNED AREA</t>
  </si>
  <si>
    <t>Fire is an important component of the Earth System that is tightly coupled with climate, vegetation, biogeochemical cycles, and human activities. Observations of how fire regimes change on seasonal to millennial timescales are providing an improved understanding of the hierarchy of controls on fire regimes. Climate is the principal control on fire regimes, although human activities have had an increasing influence on the distribution and incidence of fire in recent centuries. Understanding of the controls and variability of fire also underpins the development of models, both conceptual and numerical, that allow us to predict how future climate and land-use changes might influence fire regimes. Although fires in fire-adapted ecosystems can be important for biodiversity and ecosystem function, positive effects are being increasingly outweighed by losses of ecosystem services. As humans encroach further into the natural habitat of fire, social and economic costs are also escalating. The prospect of near-term rapid and large climate changes, and the escalating costs of large wildfires, necessitates a radical re-thinking and the development of approaches to fire management that promote the more harmonious co-existence of fire and people.</t>
  </si>
  <si>
    <t>[Harrison, S. P.] Macquarie Univ, Dept Biol Sci, N Ryde, NSW 2109, Australia; [Bartlein, P. J.] Victoria Univ Wellington, Antarctic Res Ctr, Wellington 6012, New Zealand; [Bartlein, P. J.] Victoria Univ Wellington, Climate Change Inst, Wellington 6012, New Zealand; [Marlon, J. R.] Univ Oregon, Dept Geog, Eugene, OR 97403 USA</t>
  </si>
  <si>
    <t>Macquarie University; Victoria University Wellington; Victoria University Wellington; University of Oregon</t>
  </si>
  <si>
    <t>Harrison, SP (corresponding author), Macquarie Univ, Dept Biol Sci, N Ryde, NSW 2109, Australia.</t>
  </si>
  <si>
    <t>sharriso@science.mq.edu; jmarlon@uoregon.edu; Peter.Barrett@vuw.ac.nz</t>
  </si>
  <si>
    <t>Bartlein, Patrick J./E-4643-2011</t>
  </si>
  <si>
    <t>Bartlein, Patrick J./0000-0001-7657-5685</t>
  </si>
  <si>
    <t>PO BOX 17, 3300 AA DORDRECHT, NETHERLANDS</t>
  </si>
  <si>
    <t>978-90-481-8715-7</t>
  </si>
  <si>
    <t>INT YEAR PLANET EART</t>
  </si>
  <si>
    <t>10.1007/978-90-481-8716-4_3</t>
  </si>
  <si>
    <t>10.1007/978-90-481-8716-4</t>
  </si>
  <si>
    <t>BRI57</t>
  </si>
  <si>
    <t>WOS:000282775600003</t>
  </si>
  <si>
    <t>Bertler, NAN; Barrett, PJ</t>
  </si>
  <si>
    <t>Bertler, Nancy A. N.; Barrett, Peter J.</t>
  </si>
  <si>
    <t>Vanishing Polar Ice Sheets</t>
  </si>
  <si>
    <t>Antarctica; Arctic; Sea-level; Ice sheet stability; Marine sediment cores; Ice cores; Sea-ice</t>
  </si>
  <si>
    <t>ABRUPT CLIMATE-CHANGE; ATMOSPHERIC CARBON-DIOXIDE; SEA-LEVEL RISE; ORBITALLY-INDUCED OSCILLATIONS; CAPE-ROBERTS PROJECT; VICTORIA LAND; MASS-BALANCE; THERMOHALINE CIRCULATION; OCEAN ACIDIFICATION; ANTARCTIC PENINSULA</t>
  </si>
  <si>
    <t>Global temperatures have increased by 0.8 degrees C since instrumental records began, and the last decade has been the warmest. This warming has been closely linked to increasing greenhouse gas concentrations due to human activities. Arctic warming is leading to thinning and disappearance of sea ice on the Arctic Ocean and the increased melting of the Greenland ice sheet. In the last decade the Antarctic ice sheet has also begun to respond. Shrinking ice sheets have significant implications for sea level rise. Knowledge of their behaviour in the geological past, along with climate and ice sheet modelling, provides guidance on what we can expect in the future. Over the past 50 million years (my.), the world has evolved from a largely ice-free Greenhouse Earth with atmospheric CO2 concentrations 3-6 times pre-industrial levels, and sea level over 60 m higher, into an Icehouse Earth with lower CO2 concentrations. Concentrations were low enough by 34 my. ago to reduce temperatures and allow the formation of the first big Antarctic ice sheets, and further cooling and reduction in greenhouse gases followed until the continental Northern Hemisphere ice sheets formed about 2.5 my. ago. Trapped gases in ice cores allow us to estimate past atmospheric CO2 levels quite accurately for the last 800,000 years. Geochemical estimates of earlier CO2 levels are much less accurate but nevertheless consistently indicate these have not exceeded 400 ppm in the last 24 m.y. Atmospheric CO2 concentration has increased from 280 ppm in the pre-industrial times to 390 ppm in early 2010. Earth's atmosphere last had such concentrations similar to 3 million years ago when geochemical measurements indicate global surface temperature was similar to 3 degrees C warmer than today, and global sea-level was similar to 25 +/- 5 m higher. This implies the loss of the Greenland ice sheet, the West Antarctic ice sheet and a part of the much larger East Antarctic ice sheet. Both field evidence and modelling studies imply rates of ice loss are slow, of the order of a meter or two of sea level equivalent per century, but there are significant uncertainties because key boundary conditions for ice sheet collapse are not well understood. Feed-back effects on atmospheric warming and ice loss could well accelerate the process. The Arctic is today warming as fast as, or faster than, any other area on earth, with the imminent loss of summer sea-ice and increasing loss of ice from Greenland (adding to rising global sea level). Antarctic warming has also begun to rise, despite its suppression from the loss of the ozone hole in the last three decades. Nevertheless the warming of shallow to intermediate Southern Ocean waters and the rise of Antarctic surface temperatures has led to the collapse of ice shelves around the Antarctic Peninsula since 1990 and in the last decade the acceleration of ice loss from West Antarctica, as well as parts of East Antarctica. The thermal inertia of oceans and ice sheets means that they take decades to centuries to respond but once ice loss has begun it could continue for millennia. The ice sheets have now begun to shrink. Both modelling and palaeodata indicate a significant risk of setting in train events leading to their inevitable loss unless the release of CO2 from fossil fuels is curtailed and CO2 sinks are found to return atmospheric CO2 levels to well below 400 ppm.</t>
  </si>
  <si>
    <t>[Bertler, Nancy A. N.; Barrett, Peter J.] Victoria Univ Wellington, Antarctic Res Ctr, Wellington 6012, New Zealand; [Bertler, Nancy A. N.] Natl Isotope Ctr, GNS Sci, Lower Hutt 5040, New Zealand; [Barrett, Peter J.] Victoria Univ Wellington, Climate Change Inst, Wellington 6012, New Zealand</t>
  </si>
  <si>
    <t>Victoria University Wellington; GNS Science - New Zealand; Victoria University Wellington</t>
  </si>
  <si>
    <t>Bertler, NAN (corresponding author), Victoria Univ Wellington, Antarctic Res Ctr, Wellington 6012, New Zealand.</t>
  </si>
  <si>
    <t>Nancy.Bertler@vuw.ac.nz; Peter.Barrett@vuw.ac.nz</t>
  </si>
  <si>
    <t>10.1007/978-90-481-8716-4_4</t>
  </si>
  <si>
    <t>WOS:000282775600004</t>
  </si>
  <si>
    <t>Benedetti, M; Nigro, M; Regoli, F</t>
  </si>
  <si>
    <t>Benedetti, Maura; Nigro, Marco; Regoli, Francesco</t>
  </si>
  <si>
    <t>Characterisation of antioxidant defences in three Antarctic notothenioid species from Terra Nova Bay (Ross Sea)</t>
  </si>
  <si>
    <t>CHEMISTRY AND ECOLOGY</t>
  </si>
  <si>
    <t>Trematomus; oxidative stress; antioxidants; total oxyradical scavenging capacity; seasonal fluctuations; adaptation</t>
  </si>
  <si>
    <t>OXYRADICAL SCAVENGING CAPACITY; FISH TREMATOMUS-BERNACCHII; EEL ANGUILLA-ANGUILLA; OXIDATIVE STRESS; MYTILUS-GALLOPROVINCIALIS; MEDITERRANEAN MUSSEL; SEASONAL VARIABILITY; ADAMUSSIUM-COLBECKI; FEEDING PLASTICITY; CHEMICAL-EXPOSURE</t>
  </si>
  <si>
    <t>Oxidative challenge is an important factor affecting the adaptive strategies of Antarctic fish, but data on antioxidant defences in these organisms remain scarce. In this investigation, individual antioxidants and the total oxyradical scavenging capacity (TOSC) were characterised in three notothenioid species, Trematomus bernacchii, Trematomus hansoni and Trematomus newnesi; seasonal fluctuations were further analysed in T. bernacchii sampled during different periods of the reproductive cycle, ice melting and phytoplanktonic blooms. The overall results revealed only limited differences between the three notothenioids, with greater TOSC values in T. hansoni and T. newnesi. The capacity for decomposing hydrogen peroxide via catalase was not particularly enhanced in these fish, in contrast to the prominent role of the enzyme in Antarctic invertebrates. An alternative antioxidant strategy, based on the efficiency of low molecular mass scavengers was suggested, especially for T. bernacchii which had higher levels of glutathione and glutathione reductase; the diet composition of the investigated species might explain the differences in tissue antioxidants. Oxidative stress responses revealed almost constant values between November and January in T. bernacchii, a quite unusual and unexpected result considering the marked changes occurring in several biological and environmental factors. In this respect, the antioxidant efficiency of T. bernacchii would counteract the naturally elevated environmental pro-oxidant conditions and the associated potential increase in oxidative challenge, i.e. spawning period, sea-ice melting, phytoplanktonic development and the seasonal increase in cadmium bioavailability at Terra Nova Bay.</t>
  </si>
  <si>
    <t>[Benedetti, Maura; Regoli, Francesco] Univ Politecn Marche, Dipartimento Biochim Biol &amp; Genet, Ancona, Italy; [Nigro, Marco] Univ Pisa, Dipartimento Morfol Umana &amp; Biol Applicata, I-56100 Pisa, Italy</t>
  </si>
  <si>
    <t>Marche Polytechnic University; University of Pisa</t>
  </si>
  <si>
    <t>Regoli, F (corresponding author), Univ Politecn Marche, Dipartimento Biochim Biol &amp; Genet, Ancona, Italy.</t>
  </si>
  <si>
    <t>f.regoli@univpm.it</t>
  </si>
  <si>
    <t>Benedetti, Maura/K-5399-2016; Regoli, Francesco/K-2719-2018</t>
  </si>
  <si>
    <t>Benedetti, Maura/0000-0003-0803-3846; Regoli, Francesco/0000-0001-6084-6188</t>
  </si>
  <si>
    <t>0275-7540</t>
  </si>
  <si>
    <t>1029-0370</t>
  </si>
  <si>
    <t>CHEM ECOL</t>
  </si>
  <si>
    <t>Chem. Ecol.</t>
  </si>
  <si>
    <t>PII 924715071</t>
  </si>
  <si>
    <t>10.1080/02757541003789066</t>
  </si>
  <si>
    <t>Biochemistry &amp; Molecular Biology; Ecology; Environmental Sciences</t>
  </si>
  <si>
    <t>Biochemistry &amp; Molecular Biology; Environmental Sciences &amp; Ecology</t>
  </si>
  <si>
    <t>630HW</t>
  </si>
  <si>
    <t>WOS:000280264900006</t>
  </si>
  <si>
    <t>Maria, LTF; Toro, G; Parra, B; Riquelme, A</t>
  </si>
  <si>
    <t>Luisa Tapia F, Maria; Toro A, Guillermo; Parra R, Belgica; Riquelme E, Alejandro</t>
  </si>
  <si>
    <t>PHOTOSENSITIVITY OF CUCUMBER (Cucumis sativus L.) SEEDLINGS EXPOSED TO ULTRAVIOLET-B RADIATION</t>
  </si>
  <si>
    <t>CHILEAN JOURNAL OF AGRICULTURAL RESEARCH</t>
  </si>
  <si>
    <t>UV radiation; Cucumis sativus; chlorophyll; UV-B absorbing compounds; chlorosis</t>
  </si>
  <si>
    <t>UV-B; BALANCING DAMAGE; PLANTS; GROWTH; PHOTOSYNTHESIS; LEAF; RESPONSES; CHLOROPHYLL; SENSITIVITY; LEAVES</t>
  </si>
  <si>
    <t>The intensity of ultraviolet-B radiation (UV-B) has increased on the Earth's surface due to the stratospheric ozone depletion, causing an adverse effect on a wide range of species, such as morphological, physiological, and biochemical alterations. This research studied the intraspecific photosensitivity of cucumber (Cucumis sativus L.) seedlings exposed to UV-B. Six commercial cultivars were evaluated: Laura, Sprint 440, Dasher II, Exocet, Poinsett 76, and Marketmore 76 under greenhouse-controlled environmental conditions with a hydroponic sandwich-type system with a Hoagland II nutrient solution. Seedlings were irradiated from expanded cotyledons to the third true leaf with three intensities of UV-B radiation (30, 40, and 50 mu W cm(-2)) for 18 d between 11:40-15:40 h. Seedling growth, morphology, accumulation of photosynthetic pigments, and absorbing UV-B pigments were evaluated. 'Laura' was the least affected by chlorosis and had a total absence of leaf curl, whereas 'Poinsett 76' was the most affected in the 40 and 50 mu W cm(-2) intensities. Both leaf area and seedling height of 'Marketmore 76' and 'Poinsett 76' had the lowest values. 'Laura' obtained the highest value in both fresh weight and dry weight. 'Poinsett 76' had the least amount of pigments absorbing UV-B and was 53% lower than that obtained by 'Laura'. 'Poinsett 76' had lower chlorophyll and carotenoids. Parameters used were indicators of the seedling response to UV-B radiation, but could not be used for cucumber seedling sensitivity to UV-B radiation.</t>
  </si>
  <si>
    <t>[Luisa Tapia F, Maria; Toro A, Guillermo; Parra R, Belgica; Riquelme E, Alejandro] Univ Chile, Fac Ciencias Agron, Santiago 1004, Chile</t>
  </si>
  <si>
    <t>Maria, LTF (corresponding author), Univ Chile, Fac Ciencias Agron, Casilla 1004, Santiago 1004, Chile.</t>
  </si>
  <si>
    <t>mtapia@uchile.cl</t>
  </si>
  <si>
    <t>Toro, Guillermo/M-2991-2019; Toro, Guillermo A/C-2761-2011</t>
  </si>
  <si>
    <t>Toro, Guillermo/0000-0002-8412-5884;</t>
  </si>
  <si>
    <t>Universidad de Chile (PIA), Vicerectory of Research and Development; Instituto Antartico Chileno (INACH), Ministry of Foreign Affairs; [INACH 164-02]</t>
  </si>
  <si>
    <t>Universidad de Chile (PIA), Vicerectory of Research and Development; Instituto Antartico Chileno (INACH), Ministry of Foreign Affairs;</t>
  </si>
  <si>
    <t>Antarctic Institutional Program of the Universidad de Chile (PIA), Vicerectory of Research and Development. Instituto Antartico Chileno (INACH), Ministry of Foreign Affairs. Project INACH 164-02: Effect of UV-B radiation on plant species.</t>
  </si>
  <si>
    <t>INST INVESTIGACIONES AGROPECUARIAS</t>
  </si>
  <si>
    <t>CHILLAN</t>
  </si>
  <si>
    <t>CENTRO REGIONAL DE INVESTIGACION QUILAMAPU, CASILLA 426, CHILLAN, 00000, CHILE</t>
  </si>
  <si>
    <t>0718-5839</t>
  </si>
  <si>
    <t>CHIL J AGR RES</t>
  </si>
  <si>
    <t>Chil. J. Agric. Res.</t>
  </si>
  <si>
    <t>Agriculture, Multidisciplinary; Agronomy</t>
  </si>
  <si>
    <t>590XO</t>
  </si>
  <si>
    <t>WOS:000277262000002</t>
  </si>
  <si>
    <t>Mazzotta, GM; De Pittà, C; Benna, C; Tosatto, SCE; Lanfranchi, G; Bertolucci, C; Costa, R</t>
  </si>
  <si>
    <t>Mazzotta, Gabriella M.; De Pitta, Cristiano; Benna, Clara; Tosatto, Silvio C. E.; Lanfranchi, Gerolamo; Bertolucci, Cristiano; Costa, Rodolfo</t>
  </si>
  <si>
    <t>A CRY FROM THE KRILL</t>
  </si>
  <si>
    <t>CHRONOBIOLOGY INTERNATIONAL</t>
  </si>
  <si>
    <t>Euphausia superba; Circadian clock; Cryptochrome; Phylogeny; Gene expression</t>
  </si>
  <si>
    <t>DIEL VERTICAL MIGRATION; ANTARCTIC KRILL; EUPHAUSIA-SUPERBA; DROSOPHILA CRYPTOCHROME; LINEAR MOTIFS; SEA-ICE; LIGHT; RHYTHM; DEPTH; ALIGNMENT</t>
  </si>
  <si>
    <t>Antarctic krill (Euphausia superba) inhabit a region with strong seasonality in several parameters, such as photoperiod, light intensity, extent of sea ice, and food availability. In particular, seasonal changes in environmental light regimes have been shown to strongly influence krill metabolism, representing control signals for seasonal regulation of physiology of this key Southern Ocean species. Here, we report the identification of a cryptochrome gene, a cardinal component of the clockwork machinery in several organisms. EsCRY appears to be an ortholog of mammalian-like CRYs and clusters with the insect CRY2 subfamily. EsCRY has the canonical bipartite CRY structure, with a conserved N-terminal domain and a highly divergent C-terminus, that bears several binding motifs, some of them shared with insect CRY2 and others peculiar for EsCRY. We have evaluated the temporal expression of Escry both at mRNA and protein levels in individuals harvested from the Ross Sea at different times throughout the 24 h cycle during the Antarctic summer. We observed a daily fluctuation in abundance for Escry mRNA in the head, with high levels around 06: 00 h, which is not mirrored by a cycle in the corresponding protein. Our findings represent a first step toward establishing the presence of an endogenous circadian time-keeping mechanism that might allow this organism to synchronize its physiology and behavior to the Antarctic light regimes. (Author correspondence: bru@unife.it or rodolfo.costa@unipd.it)</t>
  </si>
  <si>
    <t>[Bertolucci, Cristiano] Univ Ferrara, Dipartimento Biol &amp; Evoluz, I-44100 Ferrara, Italy; [Mazzotta, Gabriella M.; Benna, Clara; Tosatto, Silvio C. E.; Costa, Rodolfo] Univ Padua, Dipartimento Biol, I-35121 Padua, Italy; [De Pitta, Cristiano; Lanfranchi, Gerolamo] Univ Padua, CRIBI Biotechnol Ctr, I-35121 Padua, Italy</t>
  </si>
  <si>
    <t>University of Ferrara; University of Padua; University of Padua</t>
  </si>
  <si>
    <t>Bertolucci, C (corresponding author), Univ Ferrara, Dipartimento Biol &amp; Evoluz, Via L Borsari, I-44100 Ferrara, Italy.</t>
  </si>
  <si>
    <t>bru@unife.it; rodolfo.costa@unipd.it</t>
  </si>
  <si>
    <t>Fanjul-Moles, María Luisa/C-8069-2011; Bertolucci, Cristiano/H-1916-2015; Tosatto, Silvio/B-2840-2009; De Pitta, Cristiano/AAY-7302-2020; benna, clara/K-1083-2018</t>
  </si>
  <si>
    <t>Fanjul-Moles, María Luisa/0000-0003-2927-0154; Bertolucci, Cristiano/0000-0003-0252-3107; Tosatto, Silvio/0000-0003-4525-7793; De Pitta, Cristiano/0000-0001-8013-8162; MAZZOTTA, GABRIELLA MARGHERITA/0000-0001-5461-6837; BENNA, CLARA/0000-0002-9077-2471</t>
  </si>
  <si>
    <t>Italian Programma Nazionale di Ricerche in Antartide - PNRA [2003/1.3, 2005/1.04]; European Community [018741]; Italian Space Agency; University of Ferrara; University of Padova [CPDR042471]</t>
  </si>
  <si>
    <t>Italian Programma Nazionale di Ricerche in Antartide - PNRA; European Community; Italian Space Agency(Agenzia Spaziale Italiana (ASI)); University of Ferrara; University of Padova</t>
  </si>
  <si>
    <t>Sources of support: This work was supported by the Italian Programma Nazionale di Ricerche in Antartide - PNRA (grant 2003/1.3 and grant 2005/1.04 to RC and CB). RC also thanks the European Community (6th Framework Project EUCLOCK No. 018741) and the Italian Space Agency (DCMC grant). CB also thanks University of Ferrara research grants. C. Benna was supported by the University of Padova (Assegno di Ricerca CPDR042471).</t>
  </si>
  <si>
    <t>TAYLOR &amp; FRANCIS INC</t>
  </si>
  <si>
    <t>PHILADELPHIA</t>
  </si>
  <si>
    <t>530 WALNUT STREET, STE 850, PHILADELPHIA, PA 19106 USA</t>
  </si>
  <si>
    <t>0742-0528</t>
  </si>
  <si>
    <t>1525-6073</t>
  </si>
  <si>
    <t>CHRONOBIOL INT</t>
  </si>
  <si>
    <t>Chronobiol. Int.</t>
  </si>
  <si>
    <t>10.3109/07420521003697494</t>
  </si>
  <si>
    <t>Biology; Physiology</t>
  </si>
  <si>
    <t>Life Sciences &amp; Biomedicine - Other Topics; Physiology</t>
  </si>
  <si>
    <t>652RH</t>
  </si>
  <si>
    <t>WOS:000282027100001</t>
  </si>
  <si>
    <t>You, YZ</t>
  </si>
  <si>
    <t>You, Y; HendersonSellers, A</t>
  </si>
  <si>
    <t>You, Yuzhu</t>
  </si>
  <si>
    <t>Monitor climate, monitor change</t>
  </si>
  <si>
    <t>CLIMATE ALERT: CLIMATE CHANGE MONITORING AND STRATEGY</t>
  </si>
  <si>
    <t>ICE</t>
  </si>
  <si>
    <t>At the first National Climate Change Monitoring symposium held in the Webster Theatre, Veterinary Science Conference Centre, University of Sydney, on 12 December 2008, Monitor climate, monitor change was urged to meet the present challenge of climate change. This book, Climate alert: climate change monitoring and strategy, is the result of that symposium and provides a parallel effort to ensure that outcomes are made available for a wider audience including policy makers and the general public. The symposium presentations amalgamated a wide range of evidence of global and regional climate change in the Antarctic, Southern Ocean, Great Barrier Reef, coastal regions and the Australian land mass. This book therefore complements the recently released Garnaut Report (2008) on climate change evidence and monitoring. Overall, the symposium and book aim to promote long-term climate change monitoring and strategies for Australia.</t>
  </si>
  <si>
    <t>Univ Sydney, Inst Marine Sci, Sydney, NSW 2006, Australia</t>
  </si>
  <si>
    <t>You, YZ (corresponding author), Univ Sydney, Inst Marine Sci, Sydney, NSW 2006, Australia.</t>
  </si>
  <si>
    <t>SYDNEY UNIV PRESS</t>
  </si>
  <si>
    <t>SYDNEY</t>
  </si>
  <si>
    <t>UNIV SYDNEY LIBRARY F03, SYDNEY, NSW 2006, AUSTRALIA</t>
  </si>
  <si>
    <t>978-1-920899-41-7</t>
  </si>
  <si>
    <t>BDT49</t>
  </si>
  <si>
    <t>WOS:000314785200002</t>
  </si>
  <si>
    <t>Robertson, R</t>
  </si>
  <si>
    <t>Robertson, Robin</t>
  </si>
  <si>
    <t>Are the deep waters of the Weddell Sea still warming?</t>
  </si>
  <si>
    <t>TEMPERATURE TRENDS; BOTTOM WATER; CIRCULATION; OCEAN; WEST; GYRE</t>
  </si>
  <si>
    <t>The Warm Deep Water (WDW) in the Weddell Sea warmed from the 1970s to the 1990s, and then cooled starting in the mid-1990s. The question is what has happened with the WDW since then, and what is happening now? In a previous study, temporal temperature changes in the Weddell Sea deep water masses were evaluated using a historical data set encompassing Conductivity/Temperature/Depth (CTD) and bottle data from 1912 to 2000. The deep water masses investigated were WDW and Weddell Sea Deep Water (WSDW). This data set has now been extended to 2005 and reanalysed for temporal trends in the WDW and WSDW. A general warming trend was present in the WDW from the 1960s to the present. Two significant cooling episodes occurred during this period: one associated with the Weddell Polynyas of the mid-1970s and the other in the mid-to late 1990s. From the 1970s to the 1990s, the warming trend was similar to 0.012 +/- 0.007 degrees C yr(-1). But the low values during the Weddell Polynyas bias this trend, and a more representative value is similar to 0.007 +/- 0.004 degrees C yr(-1) from 1960 to 2005. The warming trend is comparable to the global average surface water warming observed by Levitus et al., to the warming of the WSBW in the central Weddell Sea observed by Fahrbach et al., and to the surface ice temperature warming from 1970 to 1998 in the Weddell Sea observed by Comiso. The higher temperatures, along with a slight freshening, resulted in less dense WDW. The core of the WDW also moved higher in the water column by 150-200 m. There appeared to be a warming trend in the Weddell Sea Deep Water (WSDW) below 1500m; however, high data uncertainties prevented identification of a well-defined temporal trend. Warming of the deep water in the Weddell Sea can have important implications for Antarctic Bottom Water (AABW) formation, melting of ice shelves and pack ice, and the regional ocean-atmosphere heat transfer; however, no definitive impacts have yet been identified.</t>
  </si>
  <si>
    <t>UNSW ADFA, Sch Phys Environm &amp; Math Sci, Canberra, ACT, Australia</t>
  </si>
  <si>
    <t>Australian Defense Force Academy; University of New South Wales Sydney</t>
  </si>
  <si>
    <t>Robertson, R (corresponding author), UNSW ADFA, Sch Phys Environm &amp; Math Sci, Canberra, ACT, Australia.</t>
  </si>
  <si>
    <t>WOS:000314785200005</t>
  </si>
  <si>
    <t>Gallée, H; Gorodetskaya, IV</t>
  </si>
  <si>
    <t>Gallee, Hubert; Gorodetskaya, Irina V.</t>
  </si>
  <si>
    <t>Validation of a limited area model over Dome C, Antarctic Plateau, during winter</t>
  </si>
  <si>
    <t>Antarctic Plateau; Dome C; Regional climate model; Cloud radiative properties</t>
  </si>
  <si>
    <t>CLIMATE MODELS; ATMOSPHERIC CIRCULATION; SNOW ACCUMULATION; BOUNDARY-LAYER; CLOUD MODEL; ICE; SIMULATION; TEMPERATURE; PARAMETERIZATION; TURBULENCE</t>
  </si>
  <si>
    <t>The limited area model MAR (ModSle Atmosph,rique R,gional) is validated over the Antarctic Plateau for the period 2004-2006, focussing on Dome C during the cold season. MAR simulations are made by initializing the model once and by forcing it through its lateral and top boundaries by the ECMWF operational analyses. Model outputs compare favourably with observations from automatic weather station (AWS), radiometers and atmospheric soundings. MAR is able to simulate the succession of cold and warm events which occur at Dome C during winter. Larger longwave downwelling fluxes (LWD) are responsible for higher surface air temperatures and weaker surface inversions during winter. Warm events are better simulated when the small Antarctic precipitating snow particles are taken into account in radiative transfer computations. MAR stratosphere cools during the cold season, with the coldest temperatures occurring in conjunction with warm events at the surface. The decrease of saturation specific humidity associated with these coldest temperatures is responsible for the formation of polar stratospheric clouds (PSCs) especially in August-September. PSCs then contribute to the surface warming by increasing the surface downwelling longwave flux.</t>
  </si>
  <si>
    <t>[Gallee, Hubert; Gorodetskaya, Irina V.] CNRS, Lab Glaciol &amp; Geophys Environm, F-38402 St Martin Dheres, France</t>
  </si>
  <si>
    <t>Centre National de la Recherche Scientifique (CNRS)</t>
  </si>
  <si>
    <t>Gallée, H (corresponding author), CNRS, Lab Glaciol &amp; Geophys Environm, 54 Rue Moliere,BP 96, F-38402 St Martin Dheres, France.</t>
  </si>
  <si>
    <t>gallee@lgge.obs.ujf-grenoble.fr</t>
  </si>
  <si>
    <t>Gorodetskaya, Irina/K-1987-2015</t>
  </si>
  <si>
    <t>Gorodetskaya, Irina/0000-0002-2294-7823</t>
  </si>
  <si>
    <t>Agence Nationale de la Recherche (France) [OTP 232 333]; French LEFE/IDAO</t>
  </si>
  <si>
    <t>Agence Nationale de la Recherche (France)(Agence Nationale de la Recherche (ANR)); French LEFE/IDAO</t>
  </si>
  <si>
    <t>We thank Steve Colwell for the quality check of the AWS data. I. Gorodetskaya was supported by Agence Nationale de la Recherche (France) grant OTP 232 333. Computation were realised with IDRIS computing resources. The IPEV-PNRA 'Concordia' Cooperative Programme-Routine Meteorological Observations is acknowledged for providing atmospheric soundings data. French LEFE/IDAO project Charmant is acknowledged for providing support for publishing the present paper.</t>
  </si>
  <si>
    <t>10.1007/s00382-008-0499-y</t>
  </si>
  <si>
    <t>524BP</t>
  </si>
  <si>
    <t>WOS:000272119100004</t>
  </si>
  <si>
    <t>Siddall, M; Rohling, EJ; Blunier, T; Spahni, R</t>
  </si>
  <si>
    <t>Siddall, M.; Rohling, E. J.; Blunier, T.; Spahni, R.</t>
  </si>
  <si>
    <t>Patterns of millennial variability over the last 500 ka</t>
  </si>
  <si>
    <t>CLIMATE OF THE PAST</t>
  </si>
  <si>
    <t>SCALE CLIMATE VARIABILITY; NORTH-ATLANTIC; GLACIAL CYCLE; IBERIAN MARGIN; ASIAN MONSOON; ICE-CORE; GREENLAND; MAXIMUM; RECORD; PERIOD</t>
  </si>
  <si>
    <t>Millennial variability is a robust feature of many paleoclimate records, at least throughout the last several glacial cycles. Here we use the mean signal from Antarctic climate events 1 to 4 to probe the EPICA Dome C temperature proxy reconstruction through the last 500 ka for similar millennial-scale events. We find that clusters of millennial events occurred in a regular fashion over half of the time during this with a mean recurrence interval of 21 kyr. We find that there is no consistent link between ice-rafted debris deposition and millennial variability. Instead we speculate that changes in the zonality of atmospheric circulation over the North Atlantic form a viable alternative to freshwater release from icebergs as a trigger for millennial variability. We suggest that millennial changes in the zonality of atmospheric circulation over the North Atlantic are linked to precession via sea-ice feedbacks and that this relationship is modified by the presence of the large, Northern Hemisphere ice sheets during glacial periods.</t>
  </si>
  <si>
    <t>[Siddall, M.] Univ Bristol, Dept Earth Sci, Bristol, Avon, England; [Rohling, E. J.] Natl Oceanog Ctr, Southampton, Hants, England; [Blunier, T.] Univ Copenhagen, Niels Bohr Inst, Ctr Ice &amp; Climate, DK-2100 Copenhagen, Denmark; [Spahni, R.] Univ Bern, Oeschger Ctr Climate Change Res, Bern, Switzerland</t>
  </si>
  <si>
    <t>University of Bristol; NERC National Oceanography Centre; University of Copenhagen; Niels Bohr Institute; University of Bern</t>
  </si>
  <si>
    <t>mark.siddall@bristol.ac.uk</t>
  </si>
  <si>
    <t>IPO, PAGES/JXY-7546-2024; Rohling, Eelco J/B-9736-2008; Blunier, Thomas/M-4609-2014</t>
  </si>
  <si>
    <t>Rohling, Eelco J/0000-0001-5349-2158; Blunier, Thomas/0000-0002-6065-7747</t>
  </si>
  <si>
    <t>RCUK; PAGES and IMAGES; NERC [NE/C003152/1, NE/E01531X/1, NE/H004424/1]; NERC [NE/H004424/1, NE/E015905/1, NE/E01531X/1] Funding Source: UKRI; Natural Environment Research Council [NE/E015905/1, NE/H004424/1, NE/E01531X/1, NE/C003152/1] Funding Source: researchfish</t>
  </si>
  <si>
    <t>RCUK(UK Research &amp; Innovation (UKRI)); PAGES and IMAGES; NERC(UK Research &amp; Innovation (UKRI)Natural Environment Research Council (NERC)); NERC(UK Research &amp; Innovation (UKRI)Natural Environment Research Council (NERC)); Natural Environment Research Council(UK Research &amp; Innovation (UKRI)Natural Environment Research Council (NERC))</t>
  </si>
  <si>
    <t>Mark Siddall is supported by an RCUK research fellowship. This work has been greatly helped by interactions taking place within the PALSEA working group, which is funded by PAGES and IMAGES. EJR acknowledges support from NERC projects NE/C003152/1, NE/E01531X/1, and NE/H004424/1.</t>
  </si>
  <si>
    <t>1814-9324</t>
  </si>
  <si>
    <t>1814-9332</t>
  </si>
  <si>
    <t>CLIM PAST</t>
  </si>
  <si>
    <t>Clim. Past.</t>
  </si>
  <si>
    <t>10.5194/cp-6-295-2010</t>
  </si>
  <si>
    <t>Geosciences, Multidisciplinary; Meteorology &amp; Atmospheric Sciences</t>
  </si>
  <si>
    <t>Geology; Meteorology &amp; Atmospheric Sciences</t>
  </si>
  <si>
    <t>618XW</t>
  </si>
  <si>
    <t>WOS:000279390500002</t>
  </si>
  <si>
    <t>Capron, E; Landais, A; Chappellaz, J; Schilt, A; Buiron, D; Dahl-Jensen, D; Johnsen, SJ; Jouzel, J; Lemieux-Dudon, B; Loulergue, L; Leuenberger, M; Masson-Delmotte, V; Meyer, H; Oerter, H; Stenni, B</t>
  </si>
  <si>
    <t>Capron, E.; Landais, A.; Chappellaz, J.; Schilt, A.; Buiron, D.; Dahl-Jensen, D.; Johnsen, S. J.; Jouzel, J.; Lemieux-Dudon, B.; Loulergue, L.; Leuenberger, M.; Masson-Delmotte, V.; Meyer, H.; Oerter, H.; Stenni, B.</t>
  </si>
  <si>
    <t>Millennial and sub-millennial scale climatic variations recorded in polar ice cores over the last glacial period</t>
  </si>
  <si>
    <t>EPICA DOME-C; DRONNING MAUD LAND; DANSGAARD-OESCHGER EVENTS; MARINE ISOTOPE STAGE-5; NORTH-ATLANTIC OCEAN; OXYGEN-ISOTOPE; TEMPERATURE-CHANGES; GREENLAND CLIMATE; ATMOSPHERIC CH4; SOUTHERN-OCEAN</t>
  </si>
  <si>
    <t>Since its discovery in Greenland ice cores, the millennial scale climatic variability of the last glacial period has been increasingly documented at all latitudes with studies focusing mainly on Marine Isotopic Stage 3 (MIS 3; 28-60 thousand of years before present, hereafter ka) and characterized by short Dansgaard-Oeschger (DO) events. Recent and new results obtained on the EPICA and NorthGRIP ice cores now precisely describe the rapid variations of Antarctic and Greenland temperature during MIS 5 (73.5-123 ka), a time period corresponding to relatively high sea level. The results display a succession of abrupt events associated with long Greenland InterStadial phases (GIS) enabling us to highlight a sub-millennial scale climatic variability depicted by (i) short-lived and abrupt warming events preceding some GIS (precursor-type events) and (ii) abrupt warming events at the end of some GIS (rebound-type events). The occurrence of these sub-millennial scale events is suggested to be driven by the insolation at high northern latitudes together with the internal forcing of ice sheets. Thanks to a recent NorthGRIP-EPICA Dronning Maud Land (EDML) common timescale over MIS 5, the bipolar sequence of climatic events can be established at millennial to sub-millennial timescale. This shows that for extraordinary long stadial durations the accompanying Antarctic warming amplitude cannot be described by a simple linear relationship between the two as expected from the bipolar seesaw concept. We also show that when ice sheets are extensive, Antarctica does not necessarily warm during the whole GS as the thermal bipolar seesaw model would predict, questioning the Greenland ice core temperature records as a proxy for AMOC changes throughout the glacial period.</t>
  </si>
  <si>
    <t>[Capron, E.; Landais, A.; Jouzel, J.; Masson-Delmotte, V.] CEA, Inst Pierre Simon Laplace, Lab Sci Climat &amp; Environm, UVSQ,UMR INSU,CNRS 8212, F-91191 Gif Sur Yvette, France; [Chappellaz, J.; Buiron, D.; Lemieux-Dudon, B.; Loulergue, L.] UJF, CNRS, Lab Glaciol &amp; Geophys Environm, F-38400 St Martin Dheres, France; [Schilt, A.; Leuenberger, M.] Univ Bern, Inst Phys, CH-3012 Bern, Switzerland; [Schilt, A.; Leuenberger, M.] Univ Bern, Oeschger Ctr Climate Change Res, CH-3012 Bern, Switzerland; [Dahl-Jensen, D.; Johnsen, S. J.] Univ Copenhagen, Niels Bohr Inst, Ctr Ice &amp; Climate, DK-2100 Copenhagen, Denmark; [Meyer, H.; Oerter, H.] Alfred Wegener Inst Polar &amp; Marine Res, D-27515 Bremerhaven, Germany; [Stenni, B.] Univ Trieste, Dept Geosci, I-34127 Trieste, Italy</t>
  </si>
  <si>
    <t>Universite Paris Cite; Universite Paris Saclay; CEA; Centre National de la Recherche Scientifique (CNRS); Centre National de la Recherche Scientifique (CNRS); Communaute Universite Grenoble Alpes; Universite Grenoble Alpes (UGA); University of Bern; University of Bern; University of Copenhagen; Niels Bohr Institute; Helmholtz Association; Alfred Wegener Institute, Helmholtz Centre for Polar &amp; Marine Research; University of Trieste</t>
  </si>
  <si>
    <t>Capron, E (corresponding author), CEA, Inst Pierre Simon Laplace, Lab Sci Climat &amp; Environm, UVSQ,UMR INSU,CNRS 8212, F-91191 Gif Sur Yvette, France.</t>
  </si>
  <si>
    <t>emilie.capron@lsce.ipsl.fr</t>
  </si>
  <si>
    <t>Dahl-Jensen, Dorthe/AAO-6951-2020; Masson-Delmotte, Valerie L/G-1995-2011; Leuenberger, Markus C/K-9655-2016; Chappellaz, Jérôme A./A-4872-2011; Meyer, Hanno/AAQ-4260-2021; IPO, PAGES/JXY-7546-2024</t>
  </si>
  <si>
    <t>Dahl-Jensen, Dorthe/0000-0002-1474-1948; Masson-Delmotte, Valerie L/0000-0001-8296-381X; Leuenberger, Markus C/0000-0003-4299-6793; Meyer, Hanno/0000-0003-4129-4706; Schilt, Adrian/0000-0001-6312-7947; LANDAIS, Amaelle/0000-0002-5620-5465; Stenni, Barbara/0000-0003-4950-3664; Lemieux-Dudon, Benedicte/0000-0002-0718-2420</t>
  </si>
  <si>
    <t>ANR PICC; ANR NEEM; EU (EPICA-MIS); Department of Geophysics at the Niels Bohr Institute for Astronomy, Physics and Geophysics, University of Copenhagen; Denmark (SNF); Belgium (FNRS-CFB); France (IPEV and INSU/CNRS); Germany (AWI); Iceland (RannIs); Japan (MEXT); Sweden (SPRS); Switzerland (SNF); USA (NSF)</t>
  </si>
  <si>
    <t>ANR PICC(Agence Nationale de la Recherche (ANR)); ANR NEEM(Agence Nationale de la Recherche (ANR)); EU (EPICA-MIS)(European Union (EU)); Department of Geophysics at the Niels Bohr Institute for Astronomy, Physics and Geophysics, University of Copenhagen; Denmark (SNF); Belgium (FNRS-CFB)(Fonds de la Recherche Scientifique - FNRS); France (IPEV and INSU/CNRS)(Centre National de la Recherche Scientifique (CNRS)); Germany (AWI); Iceland (RannIs); Japan (MEXT)(Ministry of Education, Culture, Sports, Science and Technology, Japan (MEXT)); Sweden (SPRS); Switzerland (SNF); USA (NSF)(National Science Foundation (NSF))</t>
  </si>
  <si>
    <t>We are grateful to M. Crucifix, H. Fisher, A. Govin and D. Roche for discussions and their helpful comments on the manuscript. We thank Jeff Severinghaus and an anonymous reviewer for their constructive comments that help to improve the manuscript. This work was supported by ANR PICC and ANR NEEM and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was provided by IPEV and PNRA (at Dome C) and AWI (at Dronning Maud Land). This work is a contribution to the North Greenland Ice Core Project (NGRIP)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(SNF) and the USA (NSF, Office of Polar Programs). This is EPICA publication n degrees 268 and LSCE publication n degrees 4208.</t>
  </si>
  <si>
    <t>10.5194/cp-6-345-2010</t>
  </si>
  <si>
    <t>WOS:000279390500006</t>
  </si>
  <si>
    <t>Ackerley, D; Renwick, JA</t>
  </si>
  <si>
    <t>Ackerley, D.; Renwick, J. A.</t>
  </si>
  <si>
    <t>The Southern Hemisphere semiannual oscillation and circulation variability during the Mid-Holocene</t>
  </si>
  <si>
    <t>LOW-FREQUENCY VARIABILITY; LAST GLACIAL MAXIMUM; ANTARCTIC CLIMATE; COUPLED MODELS; PART I; TEMPERATURE; PACIFIC; CYCLE; ENSO; SIMULATION</t>
  </si>
  <si>
    <t>The Paleoclimate Modelling Intercomparison Project (PMIP) was undertaken to assess the climatic effects of the presence of large ice-sheets and changes in the Earth's orbital parameters in fully coupled Atmosphere-Ocean General Circulation Models (AOGCMs). Much of the previous literature has focussed on the tropics and the Northern Hemisphere during the last glacial maximum and Mid-Holocene whereas this study focuses only on the Southern Hemisphere. This study addresses the representation of the Semiannual Oscillation (SAO) in the PMIP2 models and how it may have changed during the Mid-Holocene. The output from the five models suggest a weakening of the (austral) autumn circumpolar trough (CPT) and (in all but one model) a strengthening of the spring CPT. The effects of changing the orbital parameters are to cause warming and drying during spring over New Zealand and a cooling and moistening during autumn. The amount of spring warming/drying and autumn cooling/moistening is variable between the models and depends on the climatological locations of surface pressure anomalies associated with changes in the SAO. This study also undertakes an Empirical Orthogonal Function (EOF) analysis of the leading modes of atmospheric variability during the control and Mid-Holocene phases for each model. Despite the seasonal changes, the overall month by month and interannual variability was simulated to have changed little from the Mid-Holocene to present.</t>
  </si>
  <si>
    <t>[Ackerley, D.; Renwick, J. A.] Natl Inst Water &amp; Atmospher Res Ltd, Wellington, New Zealand</t>
  </si>
  <si>
    <t>Ackerley, D (corresponding author), Natl Inst Water &amp; Atmospher Res Ltd, Private Bag 14901, Wellington, New Zealand.</t>
  </si>
  <si>
    <t>d.ackerley@niwa.co.nz</t>
  </si>
  <si>
    <t>ACKERLEY, DUNCAN/A-8052-2013; ACKERLEY, DUNCAN/JGE-5894-2023</t>
  </si>
  <si>
    <t>ACKERLEY, DUNCAN/0000-0001-9027-4088; Renwick, James/0000-0002-9141-2486</t>
  </si>
  <si>
    <t>New Zealand Foundation for Research Science and Technology (FRST) [UOAX0714, CO1X0707]; CEA; CNRS; EU [EVK2-CT-2002-00153]; Programme National d'Etude de la Dynamique du Climat (PNEDC)</t>
  </si>
  <si>
    <t>New Zealand Foundation for Research Science and Technology (FRST)(New Zealand Foundation for Research, Science and Technology); CEA(French Atomic Energy Commission); CNRS(Centre National de la Recherche Scientifique (CNRS)); EU(European Union (EU)); Programme National d'Etude de la Dynamique du Climat (PNEDC)</t>
  </si>
  <si>
    <t>This work was funded by the New Zealand Foundation for Research Science and Technology (FRST) contracts UOAX0714 and CO1X0707. We acknowledge the international modeling groups for providing their data for analysis, the Laboratoire des Sciences du Climat et de l'Environnement (LSCE) for collecting and archiving the model data. The PMIP2/MOTIF Data Archive is supported by CEA, CNRS, the EU project MOTIF (EVK2-CT-2002-00153) and the Programme National d'Etude de la Dynamique du Climat (PNEDC). The analyses were performed using version 04-02-2009 of the database. More information is available on http://pmip2.lsce.ipsl.fr/ and http://motif.lsce.ipsl.fr/. Thanks also to Sam Dean at NIWA for providing extremely useful input in reviewing a draft version of this paper.</t>
  </si>
  <si>
    <t>10.5194/cp-6-415-2010</t>
  </si>
  <si>
    <t>645EI</t>
  </si>
  <si>
    <t>WOS:000281433300002</t>
  </si>
  <si>
    <t>Holden, PB; Edwards, NR; Wolff, EW; Lang, NJ; Singarayer, JS; Valdes, PJ; Stocker, TF</t>
  </si>
  <si>
    <t>Holden, P. B.; Edwards, N. R.; Wolff, E. W.; Lang, N. J.; Singarayer, J. S.; Valdes, P. J.; Stocker, T. F.</t>
  </si>
  <si>
    <t>Interhemispheric coupling, the West Antarctic Ice Sheet and warm Antarctic interglacials</t>
  </si>
  <si>
    <t>125 KYR BP; SEA-LEVEL; THERMOHALINE CIRCULATION; CLIMATE VARIABILITY; MONSOON RECORD; SOUTHERN-OCEAN; HULU CAVE; MODEL; SIMULATIONS; EARTH</t>
  </si>
  <si>
    <t>Ice core evidence indicates that even though atmospheric CO2 concentrations did not exceed similar to 300 ppm at any point during the last 800 000 years, East Antarctica was at least similar to 3-4 A degrees C warmer than preindustrial (CO2 similar to 280 ppm) in each of the last four interglacials. During the previous three interglacials, this anomalous warming was short lived (similar to 3000 years) and apparently occurred before the completion of Northern Hemisphere deglaciation. Hereafter, we refer to these periods as 'Warmer than Present Transients' (WPTs). We present a series of experiments to investigate the impact of deglacial meltwater on the Atlantic Meridional Overturning Circulation (AMOC) and Antarctic temperature. It is well known that a slowed AMOC would increase southern sea surface temperature (SST) through the bipolar seesaw and observational data suggests that the AMOC remained weak throughout the terminations preceding WPTs, strengthening rapidly at a time which coincides closely with peak Antarctic temperature. We present two 800 kyr transient simulations using the Intermediate Complexity model GENIE-1 which demonstrate that meltwater forcing generates transient southern warming that is consistent with the timing of WPTs, but is not sufficient (in this single parameterisation) to reproduce the magnitude of observed warmth. In order to investigate model and boundary condition uncertainty, we present three ensembles of transient GENIE-1 simulations across Termination II (135 000 to 124 000 BP) and three snapshot HadCM3 simulations at 130 000 BP. Only with consideration of the possible feedback of West Antarctic Ice Sheet (WAIS) retreat does it become possible to simulate the magnitude of observed warming.</t>
  </si>
  <si>
    <t>[Holden, P. B.; Edwards, N. R.] Open Univ, Milton Keynes MK7 6AA, Bucks, England; [Wolff, E. W.; Lang, N. J.] British Antarctic Survey, Cambridge CB3 0ET, England; [Singarayer, J. S.; Valdes, P. J.] Univ Bristol, Sch Geog Sci, Bristol, Avon, England; [Stocker, T. F.] Univ Bern, Bern, Switzerland</t>
  </si>
  <si>
    <t>Open University - UK; UK Research &amp; Innovation (UKRI); Natural Environment Research Council (NERC); NERC British Antarctic Survey; University of Bristol; University of Bern</t>
  </si>
  <si>
    <t>Holden, PB (corresponding author), Open Univ, Milton Keynes MK7 6AA, Bucks, England.</t>
  </si>
  <si>
    <t>p.b.holden@open.ac.uk</t>
  </si>
  <si>
    <t>Valdes, Paul/T-2004-2019; Holden, Philip/K-6152-2013; Wolff, Eric W/D-7925-2014; Stocker, Thomas F/B-1273-2013; Valdes, Paul J/C-4129-2013</t>
  </si>
  <si>
    <t>Valdes, Paul/0000-0002-1902-3283; Holden, Philip/0000-0002-2369-0062; Wolff, Eric W/0000-0002-5914-8531;</t>
  </si>
  <si>
    <t>UK Natural Environment Research Council through QUEST-DESIRE [NE/E007600/1]; Natural Environment Research Council [ESM010002, NE/C515904/1, bas0100024, NE/E007600/1, NE/D001803/1] Funding Source: researchfish; NERC [NE/D001803/1, NE/C515904/1, bas0100024, ESM010002, NE/E007600/1] Funding Source: UKRI</t>
  </si>
  <si>
    <t>UK Natural Environment Research Council through QUEST-DESIRE; Natural Environment Research Council(UK Research &amp; Innovation (UKRI)Natural Environment Research Council (NERC)); NERC(UK Research &amp; Innovation (UKRI)Natural Environment Research Council (NERC))</t>
  </si>
  <si>
    <t>We would like to thank the three anonymous referees. Their careful and extensive comments have resulted in a much improved and clarified manuscript. This work was funded by the UK Natural Environment Research Council through QUEST-DESIRE (NE/E007600/1).</t>
  </si>
  <si>
    <t>10.5194/cp-6-431-2010</t>
  </si>
  <si>
    <t>Green Submitted, Green Accepted, Green Published, gold</t>
  </si>
  <si>
    <t>WOS:000281433300003</t>
  </si>
  <si>
    <t>Bouttes, N; Paillard, D; Roche, DM</t>
  </si>
  <si>
    <t>Bouttes, N.; Paillard, D.; Roche, D. M.</t>
  </si>
  <si>
    <t>Impact of brine-induced stratification on the glacial carbon cycle</t>
  </si>
  <si>
    <t>ANTARCTIC ICE-SHEET; ATMOSPHERIC CO2; SEA-ICE; SOUTHERN-OCEAN; INTERMEDIATE COMPLEXITY; SYSTEM MODEL; CLIMATE; SALINITY; TEMPERATURE; VENTILATION</t>
  </si>
  <si>
    <t>During the cold period of the Last Glacial Maximum (LGM, about 21 000 years ago) atmospheric CO2 was around 190 ppm, much lower than the pre-industrial concentration of 280 ppm. The causes of this substantial drop remain partially unresolved, despite intense research. Understanding the origin of reduced atmospheric CO2 during glacial times is crucial to comprehend the evolution of the different carbon reservoirs within the Earth system (atmosphere, terrestrial biosphere and ocean). In this context, the ocean is believed to play a major role as it can store large amounts of carbon, especially in the abyss, which is a carbon reservoir that is thought to have expanded during glacial times. To create this larger reservoir, one possible mechanism is to produce very dense glacial waters, thereby stratifying the deep ocean and reducing the carbon exchange between the deep and upper ocean. The existence of such very dense waters has been inferred in the LGM deep Atlantic from sediment pore water salinity and delta O-18 inferred temperature. Based on these observations, we study the impact of a brine mechanism on the glacial carbon cycle. This mechanism relies on the formation and rapid sinking of brines, very salty water released during sea ice formation, which brings salty dense water down to the bottom of the ocean. It provides two major features: a direct link from the surface to the deep ocean along with an efficient way of setting a strong stratification. We show with the CLIMBER-2 carbon-climate model that such a brine mechanism can account for a significant decrease in atmospheric CO2 and contribute to the glacial-interglacial change. This mechanism can be amplified by low vertical diffusion resulting from the brine-induced stratification. The modeled glacial distribution of oceanic delta C-13 as well as the deep ocean salinity are substantially improved and better agree with reconstructions from sediment cores, suggesting that such a mechanism could have played an important role during glacial times.</t>
  </si>
  <si>
    <t>[Bouttes, N.; Paillard, D.; Roche, D. M.] Ctr Etud Saclay, UMR 8212, IPSL CEA CNRS UVSQ, Lab Sci Climat &amp; Environm, F-91191 Gif Sur Yvette, France; [Roche, D. M.] Vrije Univ Amsterdam, Sect Climate Change &amp; Landscape dynam, Fac Earth &amp; Life Sci, NL-1081 HV Amsterdam, Netherlands</t>
  </si>
  <si>
    <t>Universite Paris Saclay; Centre National de la Recherche Scientifique (CNRS); CNRS - National Institute for Earth Sciences &amp; Astronomy (INSU); CEA; Vrije Universiteit Amsterdam</t>
  </si>
  <si>
    <t>Bouttes, N (corresponding author), Ctr Etud Saclay, UMR 8212, IPSL CEA CNRS UVSQ, Lab Sci Climat &amp; Environm, Orme Merisiers Bat 701, F-91191 Gif Sur Yvette, France.</t>
  </si>
  <si>
    <t>nathaelle.bouttes@lsce.ipsl.fr</t>
  </si>
  <si>
    <t>Bouttes, Nathaelle/I-2664-2014; Paillard, Didier/G-4776-2012; Roche, Didier M./C-9875-2010</t>
  </si>
  <si>
    <t>Paillard, Didier/0000-0002-9995-2794; Roche, Didier M./0000-0001-6272-9428</t>
  </si>
  <si>
    <t>CNRS-INSU; NERC [ncas10006] Funding Source: UKRI; Natural Environment Research Council [ncas10006] Funding Source: researchfish</t>
  </si>
  <si>
    <t>CNRS-INSU(Centre National de la Recherche Scientifique (CNRS)); NERC(UK Research &amp; Innovation (UKRI)Natural Environment Research Council (NERC)); Natural Environment Research Council(UK Research &amp; Innovation (UKRI)Natural Environment Research Council (NERC))</t>
  </si>
  <si>
    <t>10.5194/cp-6-575-2010</t>
  </si>
  <si>
    <t>673MP</t>
  </si>
  <si>
    <t>Green Accepted, Green Submitted, gold</t>
  </si>
  <si>
    <t>WOS:000283667900003</t>
  </si>
  <si>
    <t>Peavoy, D; Franzke, C</t>
  </si>
  <si>
    <t>Peavoy, D.; Franzke, C.</t>
  </si>
  <si>
    <t>Bayesian analysis of rapid climate change during the last glacial using Greenland δ18O data</t>
  </si>
  <si>
    <t>ICE CORES; RECORDS; EVENTS</t>
  </si>
  <si>
    <t>We present statistical methods to determine climate regimes for the last glacial period using three temperature proxy records from Greenland: measurements of delta O-18 from the Greenland Ice Sheet Project 2 (GISP2), the Greenland Ice Core Project (GRIP) and the North Greenland Ice Core Project (NGRIP) using different timescales. A Markov Chain Monte Carlo method is presented to infer the number of states in a latent variable model along with their associated parameters. By using Bayesian model comparison methods we find that a model with 3 states is sufficient. These states correspond to a gradual cooling during the Greenland Interstadials, more rapid temperature decrease into Greenland Stadial and to the sudden rebound temperature increase at the onset of Greenland Interstadials. We investigate the recurrence properties of the onset of Greenland Interstadials and find no evidence to reject the null hypothesis of randomly timed events.</t>
  </si>
  <si>
    <t>[Peavoy, D.] Univ Warwick, Complex Sci Ctr, Coventry CV4 7AL, W Midlands, England; [Franzke, C.] British Antarctic Survey, Cambridge CB3 0ET, England</t>
  </si>
  <si>
    <t>University of Warwick; UK Research &amp; Innovation (UKRI); Natural Environment Research Council (NERC); NERC British Antarctic Survey</t>
  </si>
  <si>
    <t>Peavoy, D (corresponding author), Univ Warwick, Complex Sci Ctr, Coventry CV4 7AL, W Midlands, England.</t>
  </si>
  <si>
    <t>d.peavoy@warwick.ac.uk</t>
  </si>
  <si>
    <t>Franzke, Christian/A-6191-2012</t>
  </si>
  <si>
    <t>Franzke, Christian/0000-0003-4111-1228</t>
  </si>
  <si>
    <t>Natural Environment Research Council; Engineering and Physical Sciences Research Council; NERC [bas0100026] Funding Source: UKRI; Natural Environment Research Council [bas0100026] Funding Source: researchfish</t>
  </si>
  <si>
    <t>Natural Environment Research Council(UK Research &amp; Innovation (UKRI)Natural Environment Research Council (NERC)); Engineering and Physical Sciences Research Council(UK Research &amp; Innovation (UKRI)Engineering &amp; Physical Sciences Research Council (EPSRC));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</si>
  <si>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partly funded by The Natural Environment Research Council. D. Peavoy is grateful for support from the Engineering and Physical Sciences Research Council. The authors would also like to thank the Centre for Ice and Climate at the Niels Bohr Institute for providing the data. We are also grateful for comments by E. Wolff, P. Ditlevsen and M. Crucifix and two anonymous referees which helped to improve this manuscript.</t>
  </si>
  <si>
    <t>10.5194/cp-6-787-2010</t>
  </si>
  <si>
    <t>698EI</t>
  </si>
  <si>
    <t>WOS:000285574800004</t>
  </si>
  <si>
    <t>de Boer, AM; Watson, AJ; Edwards, NR; Oliver, KIC</t>
  </si>
  <si>
    <t>de Boer, A. M.; Watson, A. J.; Edwards, N. R.; Oliver, K. I. C.</t>
  </si>
  <si>
    <t>A multi-variable box model approach to the soft tissue carbon pump</t>
  </si>
  <si>
    <t>SOUTHERN-OCEAN; ATMOSPHERIC CO2; ANTARCTIC STRATIFICATION; CIRCULATION; CYCLE; CLIMATE; PALEOCEANOGRAPHY; REPRESENTATION; PACIFIC; DIOXIDE</t>
  </si>
  <si>
    <t>The canonical question of which physical, chemical or biological mechanisms were responsible for oceanic uptake of atmospheric CO2 during the last glacial is yet unanswered. Insight from paleo-proxies has led to a multitude of hypotheses but none so far have been convincingly supported in three dimensional numerical modelling experiments. The processes that influence the CO2 uptake and export production are inter-related and too complex to solve conceptually while complex numerical models are time consuming and expensive to run which severely limits the combinations of mechanisms that can be explored. Instead, an intermediate inverse box model approach of the soft tissue pump is used here in which the whole parameter space is explored. The glacial circulation and biological production states are derived from these using proxies of glacial export production and the need to draw down CO2 into the ocean. We find that circulation patterns which explain glacial observations include reduced Antarctic Bottom Water formation and high latitude upwelling and mixing of deep water and to a lesser extent reduced equatorial upwelling. The proposed mechanism of CO2 uptake by an increase of eddies in the Southern Ocean, leading to a reduced residual circulation, is not supported. Regarding biological mechanisms, an increase in the nutrient utilization in either the equatorial regions or the northern polar latitudes can reduce atmospheric CO2 and satisfy proxies of glacial export production. Consistent with previous studies, CO2 is drawn down more easily through increased productivity in the Antarctic region than the sub-Antarctic, but that violates observations of lower export production there. The glacial states are more sensitive to changes in the circulation and less sensitive to changes in nutrient utilization rates than the interglacial states.</t>
  </si>
  <si>
    <t>[de Boer, A. M.; Watson, A. J.] Univ E Anglia, Sch Environm Sci, Norwich NR4 7TJ, Norfolk, England; [Edwards, N. R.] Open Univ, Milton Keynes MK7 6AA, Bucks, England; [Oliver, K. I. C.] Univ Southampton, Natl Oceanog Ctr, Sch Ocean &amp; Earth Sci, Southampton SO14 3ZH, Hants, England</t>
  </si>
  <si>
    <t>University of East Anglia; Open University - UK; NERC National Oceanography Centre; University of Southampton</t>
  </si>
  <si>
    <t>De Boer, Agatha M/H-4202-2012</t>
  </si>
  <si>
    <t>Watson, Andrew/0000-0002-9654-8147</t>
  </si>
  <si>
    <t>NERC [NE/D001803/1]; Research Computing Service at the University of East Anglia; Natural Environment Research Council [NE/D001803/1] Funding Source: researchfish; NERC [NE/D001803/1] Funding Source: UKRI</t>
  </si>
  <si>
    <t>NERC(UK Research &amp; Innovation (UKRI)Natural Environment Research Council (NERC)); Research Computing Service at the University of East Anglia; Natural Environment Research Council(UK Research &amp; Innovation (UKRI)Natural Environment Research Council (NERC)); NERC(UK Research &amp; Innovation (UKRI)Natural Environment Research Council (NERC))</t>
  </si>
  <si>
    <t>This work was funded by NERC Quaternary Quest Fellowship NE/D001803/1. NRE acknowledges support from NERC RAPID and NERC DESIRE projects. The analysis was carried out on the High Performance Computing Cluster supported by the Research Computing Service at the University of East Anglia.</t>
  </si>
  <si>
    <t>10.5194/cp-6-827-2010</t>
  </si>
  <si>
    <t>Green Accepted, gold</t>
  </si>
  <si>
    <t>WOS:000285574800008</t>
  </si>
  <si>
    <t>Nieto, R; Durán-Quesada, AM; Gimeno, L</t>
  </si>
  <si>
    <t>Nieto, Raquel; Maria Duran-Quesada, Ana; Gimeno, Luis</t>
  </si>
  <si>
    <t>Major sources of moisture for Antarctic ice-core sites identified through a Lagrangian approach</t>
  </si>
  <si>
    <t>CLIMATE RESEARCH</t>
  </si>
  <si>
    <t>Sources of moisture; Antarctic ice cores; Lagrangian approach; FLEXPART model</t>
  </si>
  <si>
    <t>GLOBAL WATER CYCLE; ATMOSPHERIC BRANCH; DEUTERIUM EXCESS; PRECIPITATION; CIRCULATION; SNOW</t>
  </si>
  <si>
    <t>A Lagrangian method of diagnosis was used to identify the major sources of moisture for principal Antarctic ice-core sites by back-tracking the air masses that ultimately reach these regions for a 5 yr period (2000-2004). This method, making use of the FLEXPART model, allowed quantification of moisture sources with better horizontal and vertical resolution than has previously been achieved. FLEXPART computes every 6 h with a 1 degrees x 1 degrees resolution and all 60 vertical levels of the European Centre for Medium-Range Weather Forecasts operational analysis. Our results confirm the previous identification of the sources of moisture in the Antarctic in relation to their Subtropical origin, the region of major moisture contribution being centred on 40 degrees S in a latitude band ranging between 30 and 50 degrees S.</t>
  </si>
  <si>
    <t>[Nieto, Raquel; Maria Duran-Quesada, Ana; Gimeno, Luis] Univ Vigo, Fac Ciencias Ourense, Dept Fis Aplicada, Ephyslab Environm Phys Lab, Orense 32004, Spain</t>
  </si>
  <si>
    <t>Universidade de Vigo</t>
  </si>
  <si>
    <t>Gimeno, L (corresponding author), Univ Vigo, Fac Ciencias Ourense, Dept Fis Aplicada, Ephyslab Environm Phys Lab, Campus Lagoas S-N, Orense 32004, Spain.</t>
  </si>
  <si>
    <t>l.gimeno@uvigo.es</t>
  </si>
  <si>
    <t>Nieto, Raquel/AAT-8925-2020; Durán-Quesada, Ana María/ABG-4788-2020; GIMENO, LUIS/B-8137-2008</t>
  </si>
  <si>
    <t>Nieto, Raquel/0000-0002-8984-0959; Durán-Quesada, Ana María/0000-0003-0913-0154; GIMENO, LUIS/0000-0002-0778-3605</t>
  </si>
  <si>
    <t>0936-577X</t>
  </si>
  <si>
    <t>1616-1572</t>
  </si>
  <si>
    <t>CLIM RES</t>
  </si>
  <si>
    <t>Clim. Res.</t>
  </si>
  <si>
    <t>10.3354/cr00842</t>
  </si>
  <si>
    <t>571GL</t>
  </si>
  <si>
    <t>WOS:000275739700006</t>
  </si>
  <si>
    <t>Peiter, AD</t>
  </si>
  <si>
    <t>Peiter, Anne D.</t>
  </si>
  <si>
    <t>The Journey South was an everlasting and highly boring Monotony. Georg Forster's Journey to the Antarctic</t>
  </si>
  <si>
    <t>COLLOQUIA GERMANICA</t>
  </si>
  <si>
    <t>German</t>
  </si>
  <si>
    <t>FRANCKE VERLAG</t>
  </si>
  <si>
    <t>TUBINGEN</t>
  </si>
  <si>
    <t>DISCHINGERWEG 5, D-72070 TUBINGEN, GERMANY</t>
  </si>
  <si>
    <t>0010-1338</t>
  </si>
  <si>
    <t>COLLOQ GERMANICA</t>
  </si>
  <si>
    <t>Colloq. Ger.</t>
  </si>
  <si>
    <t>Language &amp; Linguistics; Literature, German, Dutch, Scandinavian</t>
  </si>
  <si>
    <t>Linguistics; Literature</t>
  </si>
  <si>
    <t>V27SP</t>
  </si>
  <si>
    <t>WOS:000208633200002</t>
  </si>
  <si>
    <t>Sinclair, BJ; Renault, D</t>
  </si>
  <si>
    <t>Sinclair, Brent J.; Renault, David</t>
  </si>
  <si>
    <t>Intracellular ice formation in insects: Unresolved after 50 years?</t>
  </si>
  <si>
    <t>COMPARATIVE BIOCHEMISTRY AND PHYSIOLOGY A-MOLECULAR &amp; INTEGRATIVE PHYSIOLOGY</t>
  </si>
  <si>
    <t>Freeze tolerance; Ice nucleation; Intracellular freezing; Ice propagation; Fat body cells; RW Salt</t>
  </si>
  <si>
    <t>NEW-ZEALAND ALPINE; FAT-BODY CELLS; COLD-HARDINESS; ANTARCTIC-NEMATODE; FREEZING TOLERANCE; LOW-TEMPERATURES; ACTIVE PROTEINS; GALL FLY; SURVIVAL; LARVAE</t>
  </si>
  <si>
    <t>Many insects survive internal ice formation. The general model of freeze tolerance is of extracellular ice formation (EIF) whereby ice formation in the haemocoel leads to osmotic dehydration of the cells, whose contents remain unfrozen. However, survivable intracellular ice formation (IIF) has been reported in fat body and certain other cells of some insects. Although the cellular location of ice has been determined only in vitro, several lines of evidence suggest that IIF occurs in vivo. Both cell-to-cell propagation of intracellular ice and inoculation from the haemocoel may be important, although the route of ice into the cell is unclear. It is unclear why some cells survive IIF and others do not, but it is suggested that the shape, size, and low water content of fat body cells may predispose them towards surviving ice formation. We speculate that IIF may reduce water loss in some freeze tolerant species, but there are too few data to build a strong conceptual model of the advantages of IIF. We suggest that new developments in microscopy and other forms of imaging may allow investigation of the cellular location of ice in freeze tolerant insects in vivo. (C) 2009 Elsevier Inc. All rights reserved.</t>
  </si>
  <si>
    <t>[Sinclair, Brent J.] Univ Western Ontario, Dept Biol, London, ON, Canada; [Renault, David] Univ Rennes 1, CNRS, UMR 6553, F-35042 Rennes, France</t>
  </si>
  <si>
    <t>Western University (University of Western Ontario); Centre National de la Recherche Scientifique (CNRS); CNRS - Institute of Ecology &amp; Environment (INEE); Universite de Rennes</t>
  </si>
  <si>
    <t>Sinclair, BJ (corresponding author), Univ Western Ontario, Dept Biol, London, ON, Canada.</t>
  </si>
  <si>
    <t>bsincla7@uwo.ca</t>
  </si>
  <si>
    <t>Sinclair, Brent J/C-6133-2012</t>
  </si>
  <si>
    <t>RENAULT, David/0000-0003-3644-1759; Sinclair, Brent/0000-0002-8191-9910</t>
  </si>
  <si>
    <t>NSERC</t>
  </si>
  <si>
    <t>NSERC(Natural Sciences and Engineering Research Council of Canada (NSERC))</t>
  </si>
  <si>
    <t>Thanks to Rick Lee for valuable discussion and Heath MacMillan and two anonymous referees for comments on an earlier draft of the ms. BJS is supported by an NSERC Discovery grant.</t>
  </si>
  <si>
    <t>1095-6433</t>
  </si>
  <si>
    <t>1531-4332</t>
  </si>
  <si>
    <t>COMP BIOCHEM PHYS A</t>
  </si>
  <si>
    <t>Comp. Biochem. Physiol. A-Mol. Integr. Physiol.</t>
  </si>
  <si>
    <t>10.1016/j.cbpa.2009.10.026</t>
  </si>
  <si>
    <t>Biochemistry &amp; Molecular Biology; Physiology; Zoology</t>
  </si>
  <si>
    <t>537ZP</t>
  </si>
  <si>
    <t>WOS:000273153600003</t>
  </si>
  <si>
    <t>Toncheva-Panova, T; Pouneva, I; Chernev, G; Sholeva, M</t>
  </si>
  <si>
    <t>Toncheva-Panova, Tonka; Pouneva, Irina; Chernev, Georgi; Sholeva, Mariana</t>
  </si>
  <si>
    <t>PREPARATION OF NANO-BIOMATERIALS WITH LEPTOLYNGBIA FOVEOLARUM AND HEAVY METAL BIOSORPTION BY FREE AND IMMOBILIZED ALGAL CELLS</t>
  </si>
  <si>
    <t>COMPTES RENDUS DE L ACADEMIE BULGARE DES SCIENCES</t>
  </si>
  <si>
    <t>AFM; biosorption Cu2+; Cd2+; Leptolyngbia; nano-biomatrices; SEM</t>
  </si>
  <si>
    <t>Using the sol-gel procedure nano-biomaterials with incorporation of Leptolyngbia foveolarum in the silica matrix were manufactured. The immobilization of algal cells was confirmed with Scanning Electron Microscopy (SEM) investigations and photos. Observation of nano-biomaterials with Atomic Force Microscopy (AFM) shows nanostructure with well-defined nanounits and their aggregates. The potential of the Antarctic isolate L. foveolarum for sorption of Cu2+ and Cd2+ was studied by incubation of free algal cells and those immobilized in nano-biomaterials in the salts solutions of the two heavy metals. The rest of the heavy metal was determined with inductively coupled plasma atomic emission spectrometer (ICP-AES). It was established that the heavy metal biosorption capacity demonstrated by the free Leptolyngbia cells was retained after their incorporation in the nano-matrices. Free cells as well as embedded in silica nano-matrix sequestered the two heavy metals with greater affinity for copper. The highest binding capacity, 76% of the initial Cu2+ concentration possessed nano-biomaterials with incorporated vegetative L. foveolarum cells, compared to 68% of free cells. For cadmium the degree of biosorption was lower - 35% by free cells and 30.2% by those incorporated in the biocer.</t>
  </si>
  <si>
    <t>[Toncheva-Panova, Tonka; Pouneva, Irina; Sholeva, Mariana] Bulgarian Acad Sci, Inst Plant Physiol, BU-1113 Sofia, Bulgaria; [Chernev, Georgi] Univ Chem Technol &amp; Met, BU-1756 Sofia, Bulgaria</t>
  </si>
  <si>
    <t>Bulgarian Academy of Sciences; University of Chemical Technology &amp; Metallurgy - Bulgaria</t>
  </si>
  <si>
    <t>Toncheva-Panova, T (corresponding author), Bulgarian Acad Sci, Inst Plant Physiol, Acad G Bonchev Str,Bl 21, BU-1113 Sofia, Bulgaria.</t>
  </si>
  <si>
    <t>ipuneva@bio.bas.bg</t>
  </si>
  <si>
    <t>Chernev, Georgi/0000-0001-7982-822X</t>
  </si>
  <si>
    <t>Ministry of Education and Science, Bulgaria [DOO2-317]; [NT2-01]; [NT2-03]</t>
  </si>
  <si>
    <t>Ministry of Education and Science, Bulgaria; ;</t>
  </si>
  <si>
    <t>These investigations were supported by research Grants NT2-01 and NT2-03, 2006 and partly by Grant DOO2-317 of the National Science Fund, Ministry of Education and Science, Bulgaria.</t>
  </si>
  <si>
    <t>PUBL HOUSE BULGARIAN ACAD SCI</t>
  </si>
  <si>
    <t>ACADEMICIAN G BONCEV ST, 1113 SOFIA, BULGARIA</t>
  </si>
  <si>
    <t>1310-1331</t>
  </si>
  <si>
    <t>CR ACAD BULG SCI</t>
  </si>
  <si>
    <t>C. R. Acad. Bulg. Sci.</t>
  </si>
  <si>
    <t>624YJ</t>
  </si>
  <si>
    <t>WOS:000279857900011</t>
  </si>
  <si>
    <t>Apostolova, E; Pouneva, I; Grigorova, I; Minkova, K; Nikolaeva, N; Rashkov, G</t>
  </si>
  <si>
    <t>Apostolova, Emilia; Pouneva, Irina; Grigorova, Irena; Minkova, Kaledona; Nikolaeva, Nezabravka; Rashkov, Georgi</t>
  </si>
  <si>
    <t>DIFFERENTIAL RESPONSE OF THE PHOTOSYNTHETIC APPARATUS OF ANTARCTIC ALGAE SYNECHOCYSTIS SALINA (CYANOPHYTA) AND CHLORELLA VULGARIS (CHLOROPHYTA) TO UV-B RADIATION</t>
  </si>
  <si>
    <t>UV-B; photosynthetic apparatus; photosynthetic oxygen evolution; Synechocystis salina; Chlorella vulgaris</t>
  </si>
  <si>
    <t>PHOTOSYSTEM-II; PHYCOBILISOMES; CYANOBACTERIA; FLUORESCENCE; DEPLETION; COMPLEX</t>
  </si>
  <si>
    <t>The sensitivity of the photosynthetic apparatus of Antarctic Synechocystis sauna and Chlorella vulgaris after UV-B irradiation was compared. Our results clearly demonstrate that UV-B induced changes in the energy transfer between chlorophyll-protein complexes, primary photochemistry of photosystem II and photosynthetic oxygen evolution, are stronger influenced in the cyanobacterium Synechocystis sauna than that in the green alga Chlorella vulgaris.</t>
  </si>
  <si>
    <t>[Apostolova, Emilia; Nikolaeva, Nezabravka; Rashkov, Georgi] Bulgarian Acad Sci, Inst Biophys, BU-1113 Sofia, Bulgaria; [Pouneva, Irina; Grigorova, Irena; Minkova, Kaledona] Bulgarian Acad Sci, Inst Plant Physiol, BU-1113 Sofia, Bulgaria</t>
  </si>
  <si>
    <t>Bulgarian Academy of Sciences; Bulgarian Academy of Sciences</t>
  </si>
  <si>
    <t>Apostolova, E (corresponding author), Bulgarian Acad Sci, Inst Biophys, Acad G Bonchev Str,Bl 21, BU-1113 Sofia, Bulgaria.</t>
  </si>
  <si>
    <t>Grigorova, Irena/AAF-6908-2020; Apostolova, Emilia/AFQ-3845-2022; Rashkov, Georgi/JSK-7501-2023</t>
  </si>
  <si>
    <t>Apostolova, Emilia/0000-0003-2081-4530; Rashkov, Georgi/0000-0003-0556-0990</t>
  </si>
  <si>
    <t>National Science Fund, Bulgaria [DOO2-317]</t>
  </si>
  <si>
    <t>National Science Fund, Bulgaria(National Science Fund of Bulgaria)</t>
  </si>
  <si>
    <t>The work was supported by contract DOO2-317 of the National Science Fund, Bulgaria.</t>
  </si>
  <si>
    <t>642SD</t>
  </si>
  <si>
    <t>WOS:000281236700010</t>
  </si>
  <si>
    <t>Markova, K; Stefanova, M; Ivanov, M; Valceva, S; Marinov, S; Pimpirev, C; Apostolova, D</t>
  </si>
  <si>
    <t>Markova, Kalinka; Stefanova, Maya; Ivanov, Marin; Valceva, Sevdalina; Marinov, Stefan; Pimpirev, Christo; Apostolova, Denitsa</t>
  </si>
  <si>
    <t>GEOCHEMICAL CHARACTERIZATION OF ORGANIC MATTER FROM THE SALLY ROCKS SECTION AND FROM THE ROCKS OF THE BASEMENT OF THE BULGARIAN ANTARCTIC BASE 1 SECTION (MIERS BLUFF FORMATION), LIVINGSTON ISLAND, ANTARCTICA</t>
  </si>
  <si>
    <t>Antarctica; organic matter; Rock-Eval pyrolysis; extraction</t>
  </si>
  <si>
    <t>EVAL PYROLYSIS; SEDIMENTS</t>
  </si>
  <si>
    <t>Two samples from the sediments of Sally Rocks section and from the basement of the Bulgarian Antarctic Base 1 (BAB1) section were under study. They were characterized by Rock-Eval pyrolysis. Vitrinite reflectance was determined as well. The content of bitumen A and C and soluble organic matter (SOM) were estimated using a sequential extraction by chloroform and ethanol-benzene (1 : 1). The group composition of the extracts, the type and amount of n-alkanes in the oils, CPI value and the Pr/Ph ratios were determined. Steranes, diasteranes and tri-, tetra- and pentacyclic terpanes were mass spectrometrically identified. It was proved that the sediments are poor in organic matter (OM) and most likely were generated in reducing environment. The OM of the Sally Rocks section is of II type while that of the basement of the BAB1 section - of III type. It is supposed that the OM of the first sample is of marine origin and that of the second one has humus-continental input. The results of the study confirm the rather advanced maturity of the OM in the sediments under study.</t>
  </si>
  <si>
    <t>[Markova, Kalinka; Ivanov, Marin; Valceva, Sevdalina; Pimpirev, Christo; Apostolova, Denitsa] St Kl Ohridski Univ Sofia, Sofia 1504, Bulgaria; [Stefanova, Maya; Marinov, Stefan] Bulgarian Acad Sci, Inst Organ Chem, BU-1113 Sofia, Bulgaria</t>
  </si>
  <si>
    <t>University of Sofia; Bulgarian Academy of Sciences</t>
  </si>
  <si>
    <t>Markova, K (corresponding author), St Kl Ohridski Univ Sofia, 15 Tsar Osvoboditel Blvd, Sofia 1504, Bulgaria.</t>
  </si>
  <si>
    <t>markova@gea.uni-sofia</t>
  </si>
  <si>
    <t>Stefanova, Maya/0000-0003-3163-2441</t>
  </si>
  <si>
    <t>National Science Fund of Bulgaria [SS-BU-06/06]</t>
  </si>
  <si>
    <t>National Science Fund of Bulgaria(National Science Fund of Bulgaria)</t>
  </si>
  <si>
    <t>This study was supported by the National Science Fund of Bulgaria, Project No SS-BU-06/06.</t>
  </si>
  <si>
    <t>682ZA</t>
  </si>
  <si>
    <t>WOS:000284440300014</t>
  </si>
  <si>
    <t>Toshkova, R; Ivanova, V; Yossifova, L; Gardeva, E; Zvetkova, E</t>
  </si>
  <si>
    <t>Toshkova, Reneta; Ivanova, Veneta; Yossifova, Liliya; Gardeva, Elena; Zvetkova, Elissaveta</t>
  </si>
  <si>
    <t>IN VITRO IMMUNOBIOLOGICAL ACTIVITY OF AN ANTARCTIC STREPTOMYCES POLYSACCHARIDE</t>
  </si>
  <si>
    <t>Antarctic Streptomyces sp 1010; Antarctic Streptomyces polysaccharide (ASMP); in vitro immunological activity; human peripheral blood mononuclear cells (hPBMCs)</t>
  </si>
  <si>
    <t>Antarctic Streptomyces sp. 1010, were obtained from sea water samples (Livingston Island, Antarctica), during the Third Bulgarian Antarctic Scientific Expedition (1994-1995). The ecophysiological methods for isolation and characterization of these active, cold-adapted, Gram-positive microorganisms (psychrophiles) in morphological, phenotypic, genetic and taxonomic aspects, have been earlier reported. In this study, a new extracellular polysaccharide (heteropolysaccharide) has been isolated and purified from cultured broth of the Antarctic Streptomyces sp. 1010. The monosaccharide content of the Antarctic streptomyces heteropolysaccharide has been examined by TLC and GC/MS. The mitogenic and immunopotential properties of the purified Antartic Streptomyces polysaccharide (ASMP) have been studied in vitro in the short-term cultures of human peripheral blood mononuclear cells (hPBMCs - lymphocytes and monocytes) and mouse spleen lymphocytes (mouse splenocytes - mSps). The results obtained show that ASMP has a double lectin-like effect on the proliferative activity of hPBMCs: similar to this of Con A on the lymphoid cells (preliminary T-lymphocytes) and to the effect of LPS on the mononuclears from monocyte-macrophage lineage. Expressed as proliferative index (PI), the mitogenic response of mSps to the in vitro influence of ASMP was also higher than PI in the negative, as well as in the positive controls (mSps, cultured in the presence of PHA, Con A and LPS). The new Antarctic Streptomyces' heteropolysaccharide examined could be useful in the future as an immunomodulative biologically active substance and its extracellular production may contribute to the development of thermobiochemistry, immunomodulative drug therapy and immunopharmaceutical industry.</t>
  </si>
  <si>
    <t>[Toshkova, Reneta; Yossifova, Liliya; Gardeva, Elena; Zvetkova, Elissaveta] Bulgarian Acad Sci, Inst Expt Pathol &amp; Parasitol, BU-1113 Sofia, Bulgaria; [Ivanova, Veneta] Bulgarian Acad Sci, Inst Microbiol, BU-1113 Sofia, Bulgaria</t>
  </si>
  <si>
    <t>Bulgarian Academy of Sciences; Bulgarian Academy of Sciences; Medical University Sofia</t>
  </si>
  <si>
    <t>Toshkova, R (corresponding author), Bulgarian Acad Sci, Inst Expt Pathol &amp; Parasitol, Acad G Bonchev Str,Bl 25, BU-1113 Sofia, Bulgaria.</t>
  </si>
  <si>
    <t>694DO</t>
  </si>
  <si>
    <t>WOS:000285275400017</t>
  </si>
  <si>
    <t>Buckley, R</t>
  </si>
  <si>
    <t>Buckley, Ralf</t>
  </si>
  <si>
    <t>Arctic and Antarctic</t>
  </si>
  <si>
    <t>CONSERVATION TOURISM</t>
  </si>
  <si>
    <t>Griffith Univ, Int Ctr Ecotourism Res, Gold Coast, Australia</t>
  </si>
  <si>
    <t>Griffith University; Griffith University - Gold Coast Campus</t>
  </si>
  <si>
    <t>Buckley, R (corresponding author), Griffith Univ, Int Ctr Ecotourism Res, Gold Coast, Australia.</t>
  </si>
  <si>
    <t>Buckley, Ralf/G-7032-2014</t>
  </si>
  <si>
    <t>Buckley, Ralf/0000-0003-0442-5818</t>
  </si>
  <si>
    <t>CABI PUBLISHING-C A B INT</t>
  </si>
  <si>
    <t>WALLINGFORD</t>
  </si>
  <si>
    <t>CABI PUBLISHING, WALLINGFORD 0X10 8DE, OXON, ENGLAND</t>
  </si>
  <si>
    <t>978-1-84593-665-5</t>
  </si>
  <si>
    <t>10.1079/9781845936655.0103</t>
  </si>
  <si>
    <t>10.1079/9781845936655.0000</t>
  </si>
  <si>
    <t>Hospitality, Leisure, Sport &amp; Tourism</t>
  </si>
  <si>
    <t>Book Citation Index – Social Sciences &amp; Humanities (BKCI-SSH)</t>
  </si>
  <si>
    <t>Social Sciences - Other Topics</t>
  </si>
  <si>
    <t>BVY10</t>
  </si>
  <si>
    <t>WOS:000293122800010</t>
  </si>
  <si>
    <t>Dalziel, IWD</t>
  </si>
  <si>
    <t>Law, RD; Butler, RWH; Holdsworth, RE; Krabbendam, M; Strachan, RA</t>
  </si>
  <si>
    <t>Dalziel, Ian W. D.</t>
  </si>
  <si>
    <t>The North-West Highlands memoir: a century-old legacy for understanding Earth before Pangaea</t>
  </si>
  <si>
    <t>CONTINENTAL TECTONICS AND MOUNTAIN BUILDING: THE LEGACY OF PEACH AND HORNE</t>
  </si>
  <si>
    <t>Geological Society Special Publication</t>
  </si>
  <si>
    <t>ARGENTINE PRECORDILLERA; LAURENTIAN ORIGIN; SOUTHERN MARGIN; COATS LAND; RODINIA; ANTARCTICA; GONDWANA; TERRANE; AUSTRALIA; BASEMENT</t>
  </si>
  <si>
    <t>Benjamin Peach, John Horne and their co-workers recognized a century ago that the identical fauna and lithofacies of the lower Palaeozoic strata in the NW Highlands of Scotland and the North American craton could only be explained if they were: 'part of one and the same geological and zoological province'. In this sense their work provided critical geological underpinning for the subsequent understanding of Mesozoic-Cenozoic seafloor spreading and continental drift. 'Tectonic tracers' such as the fragment of Laurentian craton in the NW Highlands of Scotland, provide the strongest evidence available for deciphering pre-Pangaea palaeogeography. The Laurentian craton appears to have left several such tectonic 'calling cards' in today's southern continents. Intriguingly, it is the presence in the Andean Precordillera of northwestern Argentina of an early Palaeozoic fauna identical to that of the NW Highlands that provides perhaps the most unequivocal geological clue to pre-Pangaea palaeogeography. Recent work in East Antarctic and Laurentian cratons has provided a positive test of the hypothesis that they were once juxtaposed prior to the Neoproterozoic opening of the Pacific Ocean basin. Geochronology and isotope geo-chemistry, supported by palaeomagnetic studies indicate that the Coats Land crustal block of East Antarctica at the head of the Weddell Sea is also a fragment of the Laurentian craton. These three 'tectonic tracers' permit tracking of the Laurentian craton in relation to the present southern continents from the Neoproterozoic break-up of the Rodinian supercontinent to the late Palaeozoic assembly of Pangaea.</t>
  </si>
  <si>
    <t>Univ Texas Austin, Inst Geophys, John A &amp; Katherine G Jackson Sch Geosci, Austin, TX 78758 USA</t>
  </si>
  <si>
    <t>University of Texas System; University of Texas Austin</t>
  </si>
  <si>
    <t>Dalziel, IWD (corresponding author), Univ Texas Austin, Inst Geophys, John A &amp; Katherine G Jackson Sch Geosci, JJ Pickle Res Campus,10100 Burnet Rd,Bldg 196, Austin, TX 78758 USA.</t>
  </si>
  <si>
    <t>ian@ig.utexas.edu</t>
  </si>
  <si>
    <t>Dalziel, Ian W. D./G-5926-2010</t>
  </si>
  <si>
    <t>GEOLOGICAL SOC PUBLISHING HOUSE</t>
  </si>
  <si>
    <t>UNIT 7, BRASSMILL ENTERPRISE CTR, BRASSMILL LANE, BATH BA1 3JN, AVON, ENGLAND</t>
  </si>
  <si>
    <t>0305-8719</t>
  </si>
  <si>
    <t>978-1-86239-300-4</t>
  </si>
  <si>
    <t>GEOL SOC SPEC PUBL</t>
  </si>
  <si>
    <t>Geol. Soc. Spec. Publ.</t>
  </si>
  <si>
    <t>10.1144/SP335.9</t>
  </si>
  <si>
    <t>Geochemistry &amp; Geophysics; Geology</t>
  </si>
  <si>
    <t>BUB96</t>
  </si>
  <si>
    <t>WOS:000288760800009</t>
  </si>
  <si>
    <t>De los Ríos-Escalante, PR</t>
  </si>
  <si>
    <t>DeLosRiosEscalante, PR</t>
  </si>
  <si>
    <t>De los Rios-Escalante, Patricio R.</t>
  </si>
  <si>
    <t>Crustacean Zooplankton Communities in Chilean Inland Waters PREFACE</t>
  </si>
  <si>
    <t>CRUSTACEAN ZOOPLANKTON COMMUNITIES IN CHILEAN INLAND WATERS</t>
  </si>
  <si>
    <t>Crustaceana Monographs</t>
  </si>
  <si>
    <t>SUB-ANTARCTIC LAKES; BOECKELLA-HAMATA COPEPODA; ATHALASSIC SALINE WATERS; BRANCHINECTA-GAINI DADAY; ULTRAVIOLET-RADIATION; NUTRIENT LIMITATION; PARABROTEAS-SARSI; PRIMARY PRODUCTIVITY; SHALLOW LAKES; SOUTH-AMERICA</t>
  </si>
  <si>
    <t>De los Rios Escalante, Patricio R./E-2775-2014</t>
  </si>
  <si>
    <t>De los Rios Escalante, Patricio R./0000-0001-5056-7003</t>
  </si>
  <si>
    <t>PO BOX 9000, 2300 PA LEIDEN, NETHERLANDS</t>
  </si>
  <si>
    <t>1570-7024</t>
  </si>
  <si>
    <t>978-90-474-2806-0; 978-90-04-17460-3</t>
  </si>
  <si>
    <t>CRUSTACEANA MONOGR</t>
  </si>
  <si>
    <t>Crustaceana Monogr.</t>
  </si>
  <si>
    <t>VII</t>
  </si>
  <si>
    <t>10.1163/9789047428060</t>
  </si>
  <si>
    <t>BE0JM</t>
  </si>
  <si>
    <t>WOS:000366167900001</t>
  </si>
  <si>
    <t>THE ECOLOGY OF THE CRUSTACEAN ZOOPLANKTON IN GLACIAL LAKES OF NORTHERN AND CENTRAL PATAGONIA</t>
  </si>
  <si>
    <t>The northern and central parts of Patagonia have numerous large and deep lakes of glacial origin, which are originally oligotrophic and accommodate assemblages of crustacean plankton characterized by the dominance of calanoid copepods instead of a predominance of daphniid cladocerans, and by low species richness. However, due to current anthropogenic intervention, a transition from oligotrophy to mesotrophy has been observed, with, as a consequence, the predictable alterations in zooplankton assemblages, i. e., a specific increase in the abundance of daphniids and an increase in numbers of species. Another important factor that nowadays would affect these zooplankton assemblages, is their increased exposure to natural ultraviolet radiation due to the atmospheric ozone depletion at Antarctic and sub-Antarctic latitudes. The representative species here are calanoids such as Boeckella gracilipes, B. gracilis, B. michaelseni, and Tumeodiaptomus diabolicus, cladocerans such as Ceriodaphnia dubia, Daphnia ambigua, D. pulex, and Neobosmina chilensis [= Eubosmina hagmanni], and cyclopoids such as Mesocyclops araucanus and Tropocyclops prasinus meridionalis. The descriptions of Chilean lakes agree with those of Argentinean and New Zealand lakes, whereas they are markedly different in comparison to Northern Hemisphere lakes that have a dominance of cladocerans and higher numbers of species. Yet, the species richness of Chilean lakes is only in part similar to the patterns observed for Northern Hemisphere lakes, because no direct correlation with the surface has been reported, and only a weak, squared correlation with primary productivity was found.</t>
  </si>
  <si>
    <t>PA LEIDEN</t>
  </si>
  <si>
    <t>PO BOX 9000, NL-2300 PA LEIDEN, NETHERLANDS</t>
  </si>
  <si>
    <t>WOS:000366167900008</t>
  </si>
  <si>
    <t>THE ECOLOGY OF THE CRUSTACEAN ZOOPLANKTON IN CENTRAL AND SOUTHERN PATAGONIAN SHALLOW PONDS</t>
  </si>
  <si>
    <t>The central and southern Patagonian plains (44-54 degrees S) have numerous shallow pools and lagoons, both permanent and ephemeral, without fish, that make nesting and feeding areas for aquatic birds such as ducks, swans, and flamingoes. The studies on aquatic invertebrates hitherto performed only describe the planktonic crustaceans, but these data already indicate these water bodies to harbour zooplankton assemblages characterized by their high species richness. Some of those species are endemic for southern Patagonia and the sub-Antarctic islands, and there are also widespread species. Calanoid copepods constitute the main dominant group in subsaline water bodies (&lt; 12 g/L), whereas in more saline waters the anostracan Artemia persimilis dominates. In some cases, this last-mentioned species can coexist with halophilic copepods, a situation obviously different from that encountered in northern Chilean saline lakes. The main regulating factors of zooplankton assemblages are salinity and trophic status, although it is possible that the exposure to natural ultraviolet radiation might also play a role of some importance as a regulator of species assemblages. Viewed in an ecological sense, the ecology of these water bodies is similar to that found in northern Chilean inland waters.</t>
  </si>
  <si>
    <t>WOS:000366167900009</t>
  </si>
  <si>
    <t>Cook, AJ; Vaughan, DG</t>
  </si>
  <si>
    <t>Cook, A. J.; Vaughan, D. G.</t>
  </si>
  <si>
    <t>Overview of areal changes of the ice shelves on the Antarctic Peninsula over the past 50 years</t>
  </si>
  <si>
    <t>CRYOSPHERE</t>
  </si>
  <si>
    <t>BREAK-UP; CLIMATE-CHANGE; RETREAT; DISINTEGRATION; COLLAPSE; ASSIMILATION; TEMPERATURE; STABILITY; TRENDS; SHEET</t>
  </si>
  <si>
    <t>In recent decades, seven out of twelve ice shelves around the Antarctic Peninsula (AP) have either retreated significantly or have been almost entirely lost. At least some of these retreats have been shown to be unusual within the context of the Holocene and have been widely attributed to recent atmospheric and oceanic changes. To date, measurements of the area of ice shelves on the AP have either been approximated, or calculated for individual shelves over dissimilar time intervals. Here we present a new dataset containing up-to-date and consistent area calculations for each of the twelve ice shelves on the AP over the past five decades. The results reveal an overall reduction in total ice-shelf area by over 28 000 km(2) since the beginning of the period. Individual ice shelves show different rates of retreat, ranging from slow but progressive retreat to abrupt collapse. We discuss the pertinent features of each ice shelf and also broad spatial and temporal patterns in the timing and rate of retreat. We believe that an understanding of this diversity and what it implies about the underlying dynamics and control will provide the best foundation for developing a reliable predictive skill for ice-shelf change.</t>
  </si>
  <si>
    <t>[Cook, A. J.; Vaughan, D. G.] British Antarctic Survey, Cambridge CB3 0ET, England</t>
  </si>
  <si>
    <t>Cook, AJ (corresponding author), British Antarctic Survey, Cambridge CB3 0ET, England.</t>
  </si>
  <si>
    <t>acook@bas.ac.uk</t>
  </si>
  <si>
    <t>Vaughan, David/C-8348-2011</t>
  </si>
  <si>
    <t>Vaughan, David/0000-0002-9065-0570</t>
  </si>
  <si>
    <t>Natural Environment Research Council; NERC [bas0100027] Funding Source: UKRI; Natural Environment Research Council [bas0100027]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</si>
  <si>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</si>
  <si>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programme Polar Science for Planet Earth. It was funded by The Natural Environment Research Council. We thank the US Geological Survey for providing the original funding that led to compilation of the coastal-change database and for access to the data for this research. We would also like to thank Doug Benn and an anonymous reviewer for their insightful and extremely thorough formal reviews, and Mauri Pelto, for the stimulating interactive comment on our paper, all of which led to a substantial improvement of our work.</t>
  </si>
  <si>
    <t>1994-0416</t>
  </si>
  <si>
    <t>1994-0424</t>
  </si>
  <si>
    <t>Cryosphere</t>
  </si>
  <si>
    <t>10.5194/tc-4-77-2010</t>
  </si>
  <si>
    <t>576QT</t>
  </si>
  <si>
    <t>Green Published, gold, Green Accepted</t>
  </si>
  <si>
    <t>WOS:000276162200007</t>
  </si>
  <si>
    <t>Haug, T; Kääb, A; Skvarca, P</t>
  </si>
  <si>
    <t>Haug, T.; Kaab, A.; Skvarca, P.</t>
  </si>
  <si>
    <t>Monitoring ice shelf velocities from repeat MODIS and Landsat data - a method study on the Larsen∼C ice shelf, Antarctic Peninsula, and 10 other ice shelves around Antarctica</t>
  </si>
  <si>
    <t>BREAK-UP; MOTION ESTIMATION; CLIMATE-CHANGE; GLACIER; RETREAT; FIELD; DISCHARGE; ACCURACY; DYNAMICS; COLLAPSE</t>
  </si>
  <si>
    <t>We investigate the velocity field of the Larsen similar to C ice shelf, Antarctic Peninsula, over the periods 2002-2006 and 2006-2009 based on repeat optical satellite data. The velocity field of the entire ice shelf is measured using repeat low resolution MODIS data (250 m spatial resolution). The measurements are validated for two ice shelf sections against repeat medium resolution Landsat 7 ETM + pan data (15 m spatial resolution). Horizontal surface velocities are obtained through image matching using both orientation correlation operated in the frequency domain and normalized crosscorrelation operated in the spatial domain, and the two methods compared. The uncertainty in the displacement measurements turns out to be about one fourth of the pixel size for the MODIS derived data, and about one pixel for the Landsat derived data. The difference between MODIS and Landsat based speeds is -15.4 m a(-1) and 13.0 m a(-1), respectively, for the first period for the two different validation sections on the ice shelf, and -26.7 m a(-1) and 27.9 m a(-1) for the second period for the same sections. This leads us to conclude that repeat MODIS images are well suited to measure ice shelf velocity fields and monitor their changes over time. Orientation correlation seems better suited for this purpose because it produces fewer mismatches, is able to match images with regular noise and data voids, and is faster. Since it can match images with regular data voids it is possible to match Landsat 7 ETM+ images even after the 2003 failure of the Scan Line Corrector (SLC off) that leaves significant image stripes with no data. Image matching based on the original 12-bit radiometric resolution MODIS data produced slightly better results than using the 8-bit version of the same images. Streamline interpolation from the obtained surface velocity field on Larsen similar to C indicates ice travel times of up to 450 to 550 years between the inland boundary and the ice shelf edge. In a second step of the study we test our method successfully on 10 other ice shelves around Antarctica demonstrating that the approach presented could in fact be used for large scale monitoring of ice shelf dynamics.</t>
  </si>
  <si>
    <t>[Haug, T.; Kaab, A.] Univ Oslo, Dept Geosci, N-0316 Oslo, Norway; [Skvarca, P.] Inst Antart Argentino, RA-1248 Buenos Aires, DF, Argentina</t>
  </si>
  <si>
    <t>University of Oslo; Instituto Antartico Argentino</t>
  </si>
  <si>
    <t>Haug, T (corresponding author), Univ Oslo, Dept Geosci, POB 1047 Blindern, N-0316 Oslo, Norway.</t>
  </si>
  <si>
    <t>torborg.haug@geo.uio.no</t>
  </si>
  <si>
    <t>Kääb, Andreas/AAG-8769-2020; Kääb, Andreas/A-3607-2012</t>
  </si>
  <si>
    <t>Kääb, Andreas/0000-0002-6017-6564;</t>
  </si>
  <si>
    <t>Research Council of Norway (NFR) [185906/V30]</t>
  </si>
  <si>
    <t>Research Council of Norway (NFR)(Research Council of Norway)</t>
  </si>
  <si>
    <t>Special thanks are due to Wolfgang Rack, an anonymous referee, Mauri Pelto, and the paper's editor, Jonathan Bamber, for their detailed, thoughtful and constructive comments. MODIS data are courtesy of NASA, and were prepocessed by Scambos et al. (2009) and obtained from NSIDC through http://www.nsidc.org. Landsat data are courtesy of USGS and were obtained through http://glovis.usgs.gov. We are grateful to these institutions for making their unique data available. We are also grateful to the NASA GSFC MODIS team for their insights into MODIS orbits. This study is funded by The Research Council of Norway (NFR) through the CORRIA project (no. 185906/V30) and serves in addition as test study for the ESA DUE GlobGlacier project and the NFR IPY Glaciodyn project.</t>
  </si>
  <si>
    <t>10.5194/tc-4-161-2010</t>
  </si>
  <si>
    <t>618XR</t>
  </si>
  <si>
    <t>Green Submitted, gold, Green Published</t>
  </si>
  <si>
    <t>WOS:000279389900003</t>
  </si>
  <si>
    <t>Lenaerts, JTM; van den Broeke, MR; Déry, SJ; König-Langlo, G; Ettema, J; Munneke, PK</t>
  </si>
  <si>
    <t>Lenaerts, J. T. M.; van den Broeke, M. R.; Dery, S. J.; Koenig-Langlo, G.; Ettema, J.; Munneke, P. K.</t>
  </si>
  <si>
    <t>Modelling snowdrift sublimation on an Antarctic ice shelf</t>
  </si>
  <si>
    <t>SURFACE MASS-BALANCE; ATMOSPHERIC BOUNDARY-LAYER; BLOWING SNOW MODEL; TEMPORAL VARIABILITY; CLIMATE MODEL; ACCUMULATION; HALLEY; SHEET; NEUMAYER; STATION</t>
  </si>
  <si>
    <t>In this paper, we estimate the contribution of snowdrift sublimation (SU(ds)) to the surface mass balance at Neumayer, located on the Ekstrom ice shelf in Eastern Antarctica. A single column version of the RACMO2-ANT model is used as a physical interpolation tool of high-quality radiosonde and surface measurements for a 15-yr period (1993-2007), and combined with a routine to calculate snowdrift sublimation and horizontal snow transport. The site is characterised by a relatively mild, wet and windy climate, so snowdrift is a common phenomenon. The modelled timing and frequency of snowdrift events compares well with observations. This is further illustrated by an additional simulation for Kohnen base, where the timing of snowdrift is realistic, although the modelled horizontal transport is overestimated. Snowdrift sublimation is mainly dependent on wind speed, but also on relative humidity and temperature. During high wind speeds, SU(ds) saturates and cools the air, limiting its own strength. We estimate that SU(ds) removes around 16%+/- 8% of the accumulated snow from the surface. The total sublimation more than triples when snowdrift is considered, although snowdrift sublimation limits sublimation at the surface. SU(ds) shows a strong seasonal cycle, as well as large inter-annual variability. This variability can be related to the variability of the atmospheric conditions in the surface layer.</t>
  </si>
  <si>
    <t>[Lenaerts, J. T. M.; van den Broeke, M. R.; Ettema, J.; Munneke, P. K.] Univ Utrecht, Inst Marine &amp; Atmospher Res Utrecht, Utrecht, Netherlands; [Dery, S. J.] Univ No British Columbia, Prince George, BC V2L 5P2, Canada; [Koenig-Langlo, G.] Alfred Wegener Inst Polar &amp; Marine Res, Bremerhaven, Germany</t>
  </si>
  <si>
    <t>Utrecht University; University of Northern British Columbia; Helmholtz Association; Alfred Wegener Institute, Helmholtz Centre for Polar &amp; Marine Research</t>
  </si>
  <si>
    <t>Lenaerts, JTM (corresponding author), Univ Utrecht, Inst Marine &amp; Atmospher Res Utrecht, Utrecht, Netherlands.</t>
  </si>
  <si>
    <t>j.lenaerts@uu.nl</t>
  </si>
  <si>
    <t>Van den Broeke, Michiel R./F-7867-2011; Ettema, Janneke/F-7950-2010; Lenaerts, Jan/D-9423-2012; Konig-Langlo, Gert/K-5048-2012</t>
  </si>
  <si>
    <t>Van den Broeke, Michiel R./0000-0003-4662-7565; Lenaerts, Jan/0000-0003-4309-4011; Kuipers Munneke, Peter/0000-0001-5555-3831; Ettema, Janneke/0000-0002-8621-6624; Konig-Langlo, Gert/0000-0002-6100-4107</t>
  </si>
  <si>
    <t>Natural Sciences and Engineering Research Council; Research Chair Program of Canada</t>
  </si>
  <si>
    <t>Natural Sciences and Engineering Research Council(Natural Sciences and Engineering Research Council of Canada (NSERC)); Research Chair Program of Canada</t>
  </si>
  <si>
    <t>Stephen J. Dery acknowledges support from the Natural Sciences and Engineering Research Council and the Research Chair Program of Canada. We thank Andy Clifton, Richard Essery and an anonymous reviewer for their constructive comments.</t>
  </si>
  <si>
    <t>10.5194/tc-4-179-2010</t>
  </si>
  <si>
    <t>WOS:000279389900004</t>
  </si>
  <si>
    <t>Dieckmann, GS; Nehrke, G; Uhlig, C; Göttlicher, J; Gerland, S; Granskog, MA; Thomas, DN</t>
  </si>
  <si>
    <t>Dieckmann, G. S.; Nehrke, G.; Uhlig, C.; Goettlicher, J.; Gerland, S.; Granskog, M. A.; Thomas, D. N.</t>
  </si>
  <si>
    <t>Brief Communication: Ikaite (CaCO3•6H2O) discovered in Arctic sea ice</t>
  </si>
  <si>
    <t>PRECIPITATION; FJORD; CARBONATE</t>
  </si>
  <si>
    <t>We report for the first time on the discovery of calcium carbonate crystals as ikaite (CaCO3 center dot 6H(2)O) in sea ice from the Arctic (Kongsfjorden, Svalbard) as confirmed by morphology and indirectly by X-ray diffraction as well as XANES spectroscopy of its amorophous decomposition product. This finding demonstrates that the precipitation of calcium carbonate during the freezing of sea ice is not restricted to the Antarctic, where it was observed for the first time in 2008. This observation is an important step in the quest to quantify its impact on the sea ice driven carbon cycle.</t>
  </si>
  <si>
    <t>[Dieckmann, G. S.; Nehrke, G.; Uhlig, C.] Alfred Wegener Inst Polar &amp; Marine Res, D-27570 Bremerhaven, Germany; [Goettlicher, J.] Karlsruhe Inst Technol, Inst Synchrotron Radiat, D-76344 Eggenstein Leopoldshafen, Germany; [Gerland, S.; Granskog, M. A.] Norwegian Polar Res Inst, Polar Environm Ctr, N-9296 Tromso, Norway; [Thomas, D. N.] Bangor Univ, Sch Ocean Sci, Menai Bridge LL59 5AB, Anglesey, Wales</t>
  </si>
  <si>
    <t>Helmholtz Association; Alfred Wegener Institute, Helmholtz Centre for Polar &amp; Marine Research; Helmholtz Association; Karlsruhe Institute of Technology; Norwegian Polar Institute; Bangor University</t>
  </si>
  <si>
    <t>Dieckmann, GS (corresponding author), Alfred Wegener Inst Polar &amp; Marine Res, Handelshafen 12, D-27570 Bremerhaven, Germany.</t>
  </si>
  <si>
    <t>gerhard.dieckmann@awi.de</t>
  </si>
  <si>
    <t>Thomas, David Neville/B-1448-2010; Uhlig, Christiane/Q-4019-2017; Dieckmann, Gerhard S/B-4307-2010</t>
  </si>
  <si>
    <t>Thomas, David Neville/0000-0001-8832-5907; Granskog, Mats/0000-0002-5035-4347; Uhlig, Christiane/0000-0001-7278-6522; Nehrke, Gernot/0000-0002-2851-3049</t>
  </si>
  <si>
    <t>Research Council of Norway; German DAAD</t>
  </si>
  <si>
    <t>Research Council of Norway(Research Council of Norway); German DAAD(Deutscher Akademischer Austausch Dienst (DAAD))</t>
  </si>
  <si>
    <t>We thank Olga Pavlova (NPI) for preparing the map of Kongsfjorden. Parts of this study was supported by the Research Council of Norway and the German DAAD under the project Developing methods for advanced modeling of sea ice physical properties (SALINE) within the bilateral scientist exchange programme DAADppp.</t>
  </si>
  <si>
    <t>10.5194/tc-4-227-2010</t>
  </si>
  <si>
    <t>WOS:000279389900007</t>
  </si>
  <si>
    <t>Basu, S; Ruiz-Columbié, A; Phillipson, JA; Harshan, S</t>
  </si>
  <si>
    <t>Basu, S.; Ruiz-Columbie, A.; Phillipson, J. A.; Harshan, S.</t>
  </si>
  <si>
    <t>Local scaling characteristics of Antarctic surface layer turbulence</t>
  </si>
  <si>
    <t>STABLE BOUNDARY-LAYER; LARGE-EDDY SIMULATION; ISCAT 2000; SIMILARITY; AIRCRAFT; MODEL</t>
  </si>
  <si>
    <t>Over the past years, several studies have validated Nieuwstadt's local scaling hypothesis by utilizing turbulence observations from the mid-latitude, nocturnal stable boundary layers. In this work, we probe into the local scaling characteristics of polar, long-lived stable boundary layers by analyzing turbulence data from the South Pole region of the antarctic plateau.</t>
  </si>
  <si>
    <t>[Basu, S.; Ruiz-Columbie, A.; Phillipson, J. A.; Harshan, S.] Texas Tech Univ, Dept Geosci, Atmospher Sci Grp, Lubbock, TX 79409 USA</t>
  </si>
  <si>
    <t>Texas Tech University System; Texas Tech University</t>
  </si>
  <si>
    <t>Basu, S (corresponding author), N Carolina State Univ, Dept Marine Earth &amp; Atmospher Sci, Box 8208, Raleigh, NC 27695 USA.</t>
  </si>
  <si>
    <t>sukanta_basu@ncsu.edu</t>
  </si>
  <si>
    <t>Basu, Sukanta/F-9286-2011</t>
  </si>
  <si>
    <t>Basu, Sukanta/0000-0002-0507-5349</t>
  </si>
  <si>
    <t>National Science Foundation [ANT-0538453]</t>
  </si>
  <si>
    <t>This paper is based on work supported by the National Science Foundation under grant ANT-0538453. The authors are grateful to the National Center for Atmospheric Research for making the ISCAT 2000 data public. We greatly acknowledge the valuable comments and suggestions made by the editor and the reviewers.</t>
  </si>
  <si>
    <t>10.5194/tc-4-325-2010</t>
  </si>
  <si>
    <t>674IR</t>
  </si>
  <si>
    <t>WOS:000283734000001</t>
  </si>
  <si>
    <t>Vieli, GJMCL; Gudmundsson, GH</t>
  </si>
  <si>
    <t>Vieli, G. J. -M. C. Leysinger; Gudmundsson, G. H.</t>
  </si>
  <si>
    <t>A numerical study of glacier advance over deforming till</t>
  </si>
  <si>
    <t>ICE STREAM-B; WEST ANTARCTICA; BASAL MECHANICS; BED DEFORMATION; CLIMATE-CHANGE; PUSH-MORAINES; TAKU GLACIER; FLOW; MODEL; SWITZERLAND</t>
  </si>
  <si>
    <t>The advance of a glacier over a deforming sediment layer is analysed numerically. We treat this problem as a contact problem involving two slowly-deforming viscous bodies. The surface evolution of the two bodies, and of the contact interface between them, is followed through time. Using various different non-linear till rheologies, we show how the mode of advance depends on the relative effective viscosities of ice and till. Three modes of advances are observed: (1) overriding, where the glacier advances through ice deformation only and without deforming the sediment; (2) plug-flow, where the sediment is strongly deformed, the ice moves forward as a block and a bulge is built in front of the glacier; and (3) mixed-flow, where the glacier advances through both ice and sediment deformation. For the cases of both overriding and mixed-flow, an inverse depth-age relationship within the ice is obtained. A series of model experiments show the contrast in effective viscosity between ice and till to be the single most important model parameter defining the mode of advance and the resulting thickness distribution of the till. Our model experiments indicate that the thickness of the deforming till layer is greatest close to the glacier front. Measurements of till thickness taken in such locations may not be representative of deforming till thickness elsewhere. Given sufficiently large contrast in effective viscosity between ice and till, a sediment bulge is formed in front of the glacier. During glacier advance, the bulge quickly reaches a steady state form strongly resembling single-crested push moraines. Inspection of particle paths within the sediment bulge, shows that particles within the till travel at a different speed from the bulge itself, and the push moraine to advance as a form-conserving non-linear wave.</t>
  </si>
  <si>
    <t>[Vieli, G. J. -M. C. Leysinger] ETH, Versuchsanstalt Wasserbau Hydrol &amp; Glaziol VAW, Zurich, Switzerland; [Gudmundsson, G. H.] British Antarctic Survey, NERC, Cambridge CB3 0ET, England; [Vieli, G. J. -M. C. Leysinger] Univ Durham, Dept Geog, Durham, England</t>
  </si>
  <si>
    <t>Swiss Federal Institutes of Technology Domain; ETH Zurich; UK Research &amp; Innovation (UKRI); Natural Environment Research Council (NERC); NERC British Antarctic Survey; Durham University</t>
  </si>
  <si>
    <t>Vieli, GJMCL (corresponding author), ETH, Versuchsanstalt Wasserbau Hydrol &amp; Glaziol VAW, Zurich, Switzerland.</t>
  </si>
  <si>
    <t>g.j.m.c.leysinger-vieli@durham.ac.uk</t>
  </si>
  <si>
    <t>Gudmundsson, Gudmundur Hilmar/AAU-5987-2020; Gudmundsson, Gudmundur Hilmar/F-6499-2012</t>
  </si>
  <si>
    <t>Gudmundsson, Gudmundur Hilmar/0000-0003-4236-5369; Gudmundsson, Gudmundur Hilmar/0000-0003-4236-5369</t>
  </si>
  <si>
    <t>ETH [TH-11/99-2]; Section of Glaciology at VAW ETH; Royal Society; British Antarctic Survey; Natural Environment Research Council [bas0100027] Funding Source: researchfish; NERC [bas0100027] Funding Source: UKRI</t>
  </si>
  <si>
    <t>ETH(ETH Zurich); Section of Glaciology at VAW ETH; Royal Society(Royal Society); British Antarctic Survey; Natural Environment Research Council(UK Research &amp; Innovation (UKRI)Natural Environment Research Council (NERC)); NERC(UK Research &amp; Innovation (UKRI)Natural Environment Research Council (NERC))</t>
  </si>
  <si>
    <t>This study was financed by ETH internal research grant number TH-11/99-2 and supported by the Section of Glaciology at VAW ETH and by the Royal Society BP Dorothy Hodgkin Fellowship, and by the British Antarctic Survey, PSPE program. We would like to thank M. Luthi for his helpful python programs to extract data from the output files of the commercial FE software MARC and A. Vieli for many constructive discussions. We would like to thank the reviewers D. Benn and M. Sharp and the Editor I. Howat for their very helpful comments.</t>
  </si>
  <si>
    <t>10.5194/tc-4-359-2010</t>
  </si>
  <si>
    <t>Green Accepted, gold, Green Published</t>
  </si>
  <si>
    <t>WOS:000283734000004</t>
  </si>
  <si>
    <t>Gladstone, RM; Payne, AJ; Cornford, SL</t>
  </si>
  <si>
    <t>Gladstone, R. M.; Payne, A. J.; Cornford, S. L.</t>
  </si>
  <si>
    <t>Parameterising the grounding line in flow-line ice sheet models</t>
  </si>
  <si>
    <t>Realistic predictions of the behaviour of marine ice sheets require that models are able to robustly simulate grounding line migration. Fixed-grid ice sheet models have been shown to exhibit inconsistent and hence unreliable grounding line migration, except at very high resolution not yet achievable in whole ice sheet simulations. In this study we present several different approaches to parameterising the grounding line. These are distinguished by choices regarding the ice thickness profile from the last grounded to the first floating grid point, and how this profile impacts the gravitational driving stress and basal drag. We demonstrate that the most obvious choice of thickness parameterisation, linear interpolation from the last grounded to the first floating grid point, is not the most effective. We show that use of a grounding line parameterisation greatly improves performance, and that choice of a better grounding line parameterisation over a simpler one can bring further improvements, in terms of both accuracy and self consistent behaviour, comparable to increasing the grid resolution by factor two (i.e. doubling the number of grid points). The approach presented here to parameterising the grounding line does not completely solve the grounding line problem, however it reduces the resolution required. The parameterisations are presented in the context of a one dimensional shelfy-stream flow-line model, but could be extended to cope with more than one dimension and other model formulations.</t>
  </si>
  <si>
    <t>[Gladstone, R. M.; Payne, A. J.; Cornford, S. L.] Univ Bristol, Sch Geog Sci, Bristol BS8 1SS, Avon, England</t>
  </si>
  <si>
    <t>University of Bristol</t>
  </si>
  <si>
    <t>Gladstone, RM (corresponding author), Univ Bristol, Sch Geog Sci, Univ Rd, Bristol BS8 1SS, Avon, England.</t>
  </si>
  <si>
    <t>r.gladstone@bristol.ac.uk</t>
  </si>
  <si>
    <t>; Gladstone, Rupert/C-1086-2013; payne, antony/A-8916-2008</t>
  </si>
  <si>
    <t>Cornford, Stephen/0000-0002-2461-1645; Gladstone, Rupert/0000-0002-1582-3857; payne, antony/0000-0001-8825-8425; Cornford, Stephen/0000-0003-1844-274X</t>
  </si>
  <si>
    <t>UK's National Centre for Earth Observation cryosphere and climate themes; NERC [NE/E006256/1, NE/E006108/1]; NERC [jwcrp01005, earth010002, NE/E006256/1] Funding Source: UKRI; Natural Environment Research Council [jwcrp01005, NE/E006256/1, earth010002] Funding Source: researchfish</t>
  </si>
  <si>
    <t>UK's National Centre for Earth Observation cryosphere and climate themes;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</si>
  <si>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Steve Price and Frank Pattyn for their constructive reviews which led to improvements in the clarity of the manuscript. This work was supported by the UK's National Centre for Earth Observation cryosphere and climate themes, the NERC Joint Weather and Climate Research Programme, and the project Understanding contemporary change in the West Antarctic ice sheet funded by NERC standard grants NE/E006256/1 and NE/E006108/1.</t>
  </si>
  <si>
    <t>10.5194/tc-4-605-2010</t>
  </si>
  <si>
    <t>698FK</t>
  </si>
  <si>
    <t>WOS:000285578700015</t>
  </si>
  <si>
    <t>Gould, P</t>
  </si>
  <si>
    <t>Maddrell, A; Sidaway, JD</t>
  </si>
  <si>
    <t>Gould, Polly</t>
  </si>
  <si>
    <t>Art and Mourning in an Antarctic Landscape</t>
  </si>
  <si>
    <t>DEATHSCAPES: SPACES FOR DEATH, DYING, MOURNING AND REMEMBRANCE</t>
  </si>
  <si>
    <t>UCL, Bartlett Sch Architecture, London, England</t>
  </si>
  <si>
    <t>University of London; University College London</t>
  </si>
  <si>
    <t>Gould, P (corresponding author), UCL, Bartlett Sch Architecture, London, England.</t>
  </si>
  <si>
    <t>ASHGATE PUBLISHING LTD</t>
  </si>
  <si>
    <t>ALDERSHOT</t>
  </si>
  <si>
    <t>GOWER HOUSE, CROFT ROAD, ALDERSHOT GU11 3HR, ENGLAND</t>
  </si>
  <si>
    <t>978-0-7546-9935-4; 978-0-7546-7975-2</t>
  </si>
  <si>
    <t>Social Sciences, Interdisciplinary</t>
  </si>
  <si>
    <t>BC3GJ</t>
  </si>
  <si>
    <t>WOS:000351627300017</t>
  </si>
  <si>
    <t>Smith, IJ; Stevens, DP; Heywood, KJ; Meredith, MP</t>
  </si>
  <si>
    <t>Smith, Inga J.; Stevens, David P.; Heywood, Karen J.; Meredith, Michael P.</t>
  </si>
  <si>
    <t>The flow of the Antarctic Circumpolar Current over the North Scotia Ridge</t>
  </si>
  <si>
    <t>Antarctic Circumpolar Current; Antarctic Polar Front; Subantarctic Front; Volume transport; South Atlantic Ocean; North Scotia Ridge; Shag Rocks Passage</t>
  </si>
  <si>
    <t>SOUTHERN-OCEAN; SOUTHWEST ATLANTIC; DRAKE PASSAGE; POLAR FRONT; DEEP-WATER; WEDDELL SEA; VARIABILITY; TRANSPORT; CIRCULATION; GEORGIA</t>
  </si>
  <si>
    <t>The transports associated with the Subantarctic Front (SAF) and the Polar Front (PF) account for the majority of the volume transport of the Antarctic Circumpolar Current (ACC). After passing through Drake Passage, the SAF and the PF veer northward over the steep topography of the North Scotia Ridge. Interaction of the ACC with the North Scotia Ridge influences the sources of the Malvinas Current. This ridge is a major obstacle to the flow of deep water, with the majority of the deep water passing through the 3100 m deep gap in the ridge known as Shag Rocks Passage. Volume transports associated with these fronts were measured during the North Scotia Ridge Overflow Project, which included the first extensive hydrographic survey of the ridge, carried out in April and May 2003. The total net volume transport northward over the ridge was found to be 117 +/- 10 Sv (1 Sv = 10(6) m(3) s(-1)). The total net transport associated with the SAF was approximately 52 +/- 4 Sv, and the total transport associated with the PF was approximately 58 +/- 5 Sv. Weddell Sea Deep Water was not detected passing through Shag Rocks Passage, contrary to some previous inferences. (C) 2009 Elsevier Ltd. All rights reserved.</t>
  </si>
  <si>
    <t>[Smith, Inga J.] Univ Otago, Dept Phys, Dunedin, New Zealand; [Smith, Inga J.; Heywood, Karen J.] Univ E Anglia, Sch Environm Sci, Norwich NR4 7TJ, Norfolk, England; [Stevens, David P.] Univ E Anglia, Sch Math, Norwich NR4 7TJ, Norfolk, England; [Meredith, Michael P.] British Antarctic Survey, Cambridge CB3 0ET, England</t>
  </si>
  <si>
    <t>University of Otago; University of East Anglia; University of East Anglia; UK Research &amp; Innovation (UKRI); Natural Environment Research Council (NERC); NERC British Antarctic Survey</t>
  </si>
  <si>
    <t>Smith, IJ (corresponding author), Univ Otago, Dept Phys, POB 56, Dunedin, New Zealand.</t>
  </si>
  <si>
    <t>inga@physics.otago.ac.nz</t>
  </si>
  <si>
    <t>; Stevens, David/F-2509-2010; Heywood, Karen/L-1757-2016</t>
  </si>
  <si>
    <t>Meredith, Michael/0000-0002-7342-7756; Stevens, David/0000-0002-7283-4405; Heywood, Karen/0000-0001-9859-0026</t>
  </si>
  <si>
    <t>Natural Environment Research Council [NER/G/S/2001/00006]; Natural Environment Research Council [bas0100028] Funding Source: researchfish; NERC [bas0100028] Funding Source: UKRI</t>
  </si>
  <si>
    <t>The North Scotia Ridge Overflow Project was funded by the Natural Environment Research Council Grant NER/G/S/2001/00006 through the Antarctic Funding Initiative. We wish to thank the officers and crew of cruise JR80 of the RRS James Clark Ross for all their efforts in collecting this data set. Our thanks go to Louise Sime, Glen Richardson, Manfredi Manizza, Louise Brown, and Claire Holeton for assistance in collecting and processing data, and to Ian Waddington, John Wynar, and Steve Mack for technical assistance. We particularly want to thank Alberto Naveira Garabato for his extensive help and advice in the preparation of this paper. Thanks also to the three anonymous reviewers for their very helpful and constructive comments.</t>
  </si>
  <si>
    <t>10.1016/j.dsr.2009.10.010</t>
  </si>
  <si>
    <t>553OM</t>
  </si>
  <si>
    <t>WOS:000274376700002</t>
  </si>
  <si>
    <t>Robinson, IS</t>
  </si>
  <si>
    <t>Robinson, Ian S.</t>
  </si>
  <si>
    <t>Mesoscale ocean features: Fronts</t>
  </si>
  <si>
    <t>DISCOVERING THE OCEAN FROM SPACE: THE UNIQUE APPLICATIONS OF SATELLITE OCEANOGRAPHY</t>
  </si>
  <si>
    <t>ANTARCTIC CIRCUMPOLAR CURRENT; SURFACE TEMPERATURE FRONTS; POLAR FRONT; CONTINENTAL-SHELF; EDGE-DETECTION; ALGORITHM; RADAR; JETS</t>
  </si>
  <si>
    <t>Univ Southampton, Sch Ocean &amp; Earth Sci, Natl Oceanog Ctr, Southampton, Hants, England</t>
  </si>
  <si>
    <t>University of Southampton; NERC National Oceanography Centre</t>
  </si>
  <si>
    <t>Robinson, IS (corresponding author), Univ Southampton, Sch Ocean &amp; Earth Sci, Natl Oceanog Ctr, European Way, Southampton, Hants, England.</t>
  </si>
  <si>
    <t>978-3-540-24430-1</t>
  </si>
  <si>
    <t>10.1007/978-3-540-68322-3_4</t>
  </si>
  <si>
    <t>10.1007/978-3-540-68322-3</t>
  </si>
  <si>
    <t>Oceanography; Remote Sensing</t>
  </si>
  <si>
    <t>BRF32</t>
  </si>
  <si>
    <t>WOS:000282608300004</t>
  </si>
  <si>
    <t>Planetary waves and large-scale ocean dynamics</t>
  </si>
  <si>
    <t>TROPICAL INSTABILITY WAVES; ANTARCTIC CIRCUMPOLAR WAVE; MADDEN-JULIAN OSCILLATION; VARYING MEAN FLOW; ROSSBY WAVES; PACIFIC-OCEAN; SEA-LEVEL; DISPERSION-RELATION; EQUATORIAL KELVIN; BOTTOM TOPOGRAPHY</t>
  </si>
  <si>
    <t>NERC National Oceanography Centre; University of Southampton</t>
  </si>
  <si>
    <t>10.1007/978-3-540-68322-3_6</t>
  </si>
  <si>
    <t>WOS:000282608300006</t>
  </si>
  <si>
    <t>Lubzens, E; Cerdà, J; Clark, MS</t>
  </si>
  <si>
    <t>Lubzens, E; Cerda, J; Clark, M</t>
  </si>
  <si>
    <t>Lubzens, Esther; Cerda, Joan; Clark, Melody S.</t>
  </si>
  <si>
    <t>Dormancy and Resistance in Harsh Environments Introduction</t>
  </si>
  <si>
    <t>DORMANCY AND RESISTANCE IN HARSH ENVIRONMENTS</t>
  </si>
  <si>
    <t>Topics in Current Genetics</t>
  </si>
  <si>
    <t>TREHALOSE; GROWTH; SEED</t>
  </si>
  <si>
    <t>Dormancy is a general term describing a state whereby metabolism and normal progression of life activities and development are dramatically reduced or brought to a halt. Dormancy facilitates the survival of organisms during environmental conditions that cannot support the regular course of life. Many organisms have evolved the capacity to enter dormancy and exit from it. Common pathways have been identified in several forms, in spite of the diversity and complexity in the survival strategies during dormancy in organisms displaying it. Revealing the mode of regulation of these pathways and the occurrence of other functions associated with dormancy are some of the great future challenges. This may open the way for revealing how cells, tissues or entire organisms can be made dormant or be revived effectively and lead to preserving cells, tissues and organs at ambient temperatures. These aspirations motivated the publication of this book.</t>
  </si>
  <si>
    <t>[Lubzens, Esther] Israel Oceanog &amp; Limnol Res, Dept Marine Biol, Haifa, Israel; [Cerda, Joan] CSIC, Inst Ciencies Mar, Lab IRTA, E-08003 Barcelona, Spain; [Clark, Melody S.] British Antarctic Survey, Div Ecosyst, Cambridge CB3 0ET, England</t>
  </si>
  <si>
    <t>Israel Oceanographic &amp; Limnological Research Institute; IRTA; Consejo Superior de Investigaciones Cientificas (CSIC); CSIC - Centro Mediterraneo de Investigaciones Marinas y Ambientales (CMIMA); CSIC - Instituto de Ciencias del Mar (ICM); UK Research &amp; Innovation (UKRI); Natural Environment Research Council (NERC); NERC British Antarctic Survey</t>
  </si>
  <si>
    <t>Lubzens, E (corresponding author), Israel Oceanog &amp; Limnol Res, Dept Marine Biol, Haifa, Israel.</t>
  </si>
  <si>
    <t>esther@ocean.org.il; joan.cerda@irta.cat; mscl@bas.ac.uk; esther@ocean.org.il</t>
  </si>
  <si>
    <t>Lubzens, Esther/KFE-8167-2024; Clark, Melody S/D-7371-2014; Cerdà, Joan/M-1099-2016</t>
  </si>
  <si>
    <t>1610-2096</t>
  </si>
  <si>
    <t>978-3-642-12421-1</t>
  </si>
  <si>
    <t>TOP CURR GENET</t>
  </si>
  <si>
    <t>Top. Curr. Genet.</t>
  </si>
  <si>
    <t>10.1007/978-3-642-12422-8_1</t>
  </si>
  <si>
    <t>10.1007/978-3-642-12422-8</t>
  </si>
  <si>
    <t>Biochemistry &amp; Molecular Biology; Cell Biology</t>
  </si>
  <si>
    <t>BQM93</t>
  </si>
  <si>
    <t>WOS:000281350300001</t>
  </si>
  <si>
    <t>Worland, MR; Grubor-Lajsic, G; Purac, J; Thorne, MAS; Clark, MS</t>
  </si>
  <si>
    <t>Worland, M. Roger; Grubor-Lajsic, Gordana; Purac, Jelena; Thorne, Michael A. S.; Clark, Melody S.</t>
  </si>
  <si>
    <t>Cryoprotective Dehydration: Clues from an Insect</t>
  </si>
  <si>
    <t>COLD TOLERANCE; SUBZERO TEMPERATURES; GENE-EXPRESSION; THERMAL ADAPTATION; UP-REGULATION; FATTY-ACIDS; TREHALOSE; WATER; STABILIZATION; DESICCATION</t>
  </si>
  <si>
    <t>Arthropods have evolved a number of different adaptations to survive extreme environmental temperatures including, in some regions, over-wintering temperatures well below 0 degrees C. One of the less common adaptations to surviving cold is that of cryoprotective dehydration, where the animal becomes almost anhydrobiotic with the loss of virtually all osmotically active water. In this chapter, we describe integrated studies utilising physiology, biochemistry and molecular biology to understand this phenomenon in the Arctic springtail (Megaphorura arctica) (formerly Onychiurus arcticus). These studies concentrate on the action of trehalose as a cryoprotectant, the production of antioxidants to reduce cell damage and changes in membrane composition.</t>
  </si>
  <si>
    <t>[Worland, M. Roger; Purac, Jelena; Thorne, Michael A. S.; Clark, Melody S.] British Antarctic Survey, Nat Environm Res Council, Div Biol Sci, Cambridge CB3 0ET, England; [Grubor-Lajsic, Gordana] Univ Novi Sad, Fac Sci, Novi Sad 21000, Serbia; [Purac, Jelena] Univ Novi Ad, Fac Sci, Novi Sad 21000, Serbia</t>
  </si>
  <si>
    <t>UK Research &amp; Innovation (UKRI); Natural Environment Research Council (NERC); NERC British Antarctic Survey; University of Novi Sad; University of Novi Sad</t>
  </si>
  <si>
    <t>Clark, MS (corresponding author), British Antarctic Survey, Nat Environm Res Council, Div Biol Sci, Madingley Rd, Cambridge CB3 0ET, England.</t>
  </si>
  <si>
    <t>mscl@bas.ac.uk</t>
  </si>
  <si>
    <t>Clark, Melody S/D-7371-2014</t>
  </si>
  <si>
    <t>Purac, Jelena/0000-0003-0028-9847; Thorne, Michael/0000-0001-7759-612X</t>
  </si>
  <si>
    <t>NERC [bas0100025] Funding Source: UKRI</t>
  </si>
  <si>
    <t>NERC(UK Research &amp; Innovation (UKRI)Natural Environment Research Council (NERC))</t>
  </si>
  <si>
    <t>10.1007/978-3-642-12422-8_9</t>
  </si>
  <si>
    <t>WOS:000281350300009</t>
  </si>
  <si>
    <t>Harlin-Cognato, AD</t>
  </si>
  <si>
    <t>Wursig, B; Wursig, M</t>
  </si>
  <si>
    <t>Harlin-Cognato, April D.</t>
  </si>
  <si>
    <t>The Dusky Dolphins' Place in the Delphinid Family Tree</t>
  </si>
  <si>
    <t>DUSKY DOLPHIN: MASTER ACROBAT OFF DIFFERENT SHORES</t>
  </si>
  <si>
    <t>It is a cool autumn Saturday in Michigan, and I am sitting in my office with a cup of coffee, scouring dusty volumes in search of yet another piece of the taxonomic puzzle of the dusky dolphin. My imagination wanders back in time to the British Museum of Natural History in the 1800s-smack dab in the middle of a period of discovery in biology. I wonder, what would it have been like to be a scientist during the great period of exploration in the 1700s and 1800s? Each new shipment that arrived at the British Museum from voyages of exploration contained an abundance of plants, animals, and geologic samples that had never been described before. I imagine myself as John Edward Gray, a preeminent taxonomist at the British Museum of Natural History in 1846, the day he received from the voyage of the HMS Erebus and Terror, a ship commissioned by Queen Victoria to explore Antarctic seas, the crate that contained the type specimen for the genus Lagenorhynchus. The excitement! As I lift the skull from its surrounding packaging materials, my eyes search for those features that I know from experience should identify the species. Aha! The head is rather convex, gradually sloping into the beak in front, and the beak is very short relative to its braincase. I reference my memory of the current specimens at the Museum that I have previously described, and do a quick mental comparison with this new specimen. I am certain it is unique! Once again, I am holding in my hand the representative of a species of marine mammal, amazing creatures in their own right for having adapted to life at sea, from a far off, exotic region of the Earth's oceans few have ever traversed. My imagination races! What was the bearer of this skull like when alive? What were its patterns of coloration, its behaviors? Did it live in groups, or alone? What was the nature of the habitat in which it lived? I must take this amazing specimen to my lab immediately to make a careful comparison with the collection ... The tools of taxonomy have changed drastically over the past 160 years since Gray first described the genus Lagenorhynchus, but the excitement of discovery, I imagine, is not all that different today. As scientists, we are driven to understand the origin of living things. It is this inherent curiosity that fuels my search to answer the questions about the evolutionary history of the dusky dolphin. Now my tools are not the features of bony remains, but those of individual pieces of DNA-the code that determines the physical characteristics of species that make them different from each other. In this sense, each chain of nucleic acids represents a unique snapshot of evolutionary time-the culmination of millions of years of natural selection that has shaped the amazing diversity of life on Earth. I never cease to be amazed by this process. I imagine Gray looking over my shoulder as I use DNA sequences from multiple species to produce a phylogeny, equally eager to discover where the newly added individuals will end up in the dolphin family tree. Decades of scientific advances lie between Gray and me, but the passion for the question, regardless of the approach taken to answer it, remains the same.</t>
  </si>
  <si>
    <t>Michigan State Univ, Dept Zool, E Lansing, MI 48824 USA</t>
  </si>
  <si>
    <t>Michigan State University</t>
  </si>
  <si>
    <t>Harlin-Cognato, AD (corresponding author), Michigan State Univ, Dept Zool, E Lansing, MI 48824 USA.</t>
  </si>
  <si>
    <t>Harlin Cognato, April/ABB-7480-2021</t>
  </si>
  <si>
    <t>978-0-08-092035-1</t>
  </si>
  <si>
    <t>10.1016/B978-0-12-373723-6.00001-1</t>
  </si>
  <si>
    <t>BHB68</t>
  </si>
  <si>
    <t>WOS:000324890700002</t>
  </si>
  <si>
    <t>Heinrich, S; Elwen, S; Bräger, S</t>
  </si>
  <si>
    <t>Heinrich, Sonja; Elwen, Simon; Braeger, Stefan</t>
  </si>
  <si>
    <t>Patterns of Sympatry in Lagenorhynchus and Cephalorhynchus: Dolphins in Different Habitats</t>
  </si>
  <si>
    <t>March 28, 2006, Southern South America: Several distant splashes to starboard catch my eye. Leaping dolphins! Our vessel has just entered the sheltered waters of the Beagle Channel and we are enjoying the welcome calm after a rocky ride across the (in)famous Drake's Passage that separates the southern tip of South America from the Antarctic Peninsula. We had just had an adventurous cruise in the Antarctic and are now northbound for milder climates to travel along the Pacific coast of South America. The splashes draw closer. Our vessel attracts the dolphins' attention. A quick count suggests that the group consists of at least 15 fast-moving individuals. Within a minute, six of the dolphins jostle for the best position at our vessel's bow wave to catch a free ride. I had not been able to get a good look at them as they raced over, but assumed them to be Peale's dolphins which are regularly found in these southern channels, though they usually occur in smaller groups. Leaning over the side I can now see dark gray bodies with a light blaze across the flanks moving in and out of the ship's wave beneath me. None of them have the characteristic dark face of Peale's dolphins. These friendly acrobats are very clearly dusky dolphins, the slightly smaller relative to Peale's in the somewhat ambiguous genus Lagenorhynchus. Finding dusky dolphins here at the entrance of the Beagle Channel near Isla Nueva (55 degrees S) is especially exciting as this constitutes pretty much the southern-most extreme of their known range. After several minutes of obvious fun, the six bow-riders turn away from the vessel and continue their high-speed energetic travel with the rest of the group. I do not see these boisterous dolphins again until about 2000 km further north along the Chilean coast. In the interim, we cruise through the remote, tannin-stained and rain-swept southern Chilean fjords where small groups of Peale's dolphins make up most of our cetacean sightings. At a few select locations, in tidal rips or in front of a glacier, we are treated to glimpses of yet another local species, the elusive Chilean dolphin. I am familiar with these little gray goblins from several years of research in an archipelago at the northern extent of the fjords where our team had been investigating how Chilean and Peale's dolphins differ in their ecology and coexist in these coastal waters. Seeing the small Mickey-Mouse ear shaped dorsal fins of Chilean dolphins reminds me of the rather similar and closely related Hector's dolphins in far away New Zealand, where I also met my first dusky dolphins years before. It seems curious that out of this group, only dusky dolphins range throughout the entire southern hemisphere, yet co-occur with closely related but geographically restricted species off each continent. As our vessel reaches the open coast of central Chile, Peale's and Chilean dolphins fade from sight, and groups of 10-20 dusky dolphins come back into view. And as we enter the upwelled, nutrient-rich waters of southern Peru we are in for a dusky treat. Large splashes at the horizon again provide the cue. This time, however, we are approaching a feeding aggregation and an impressively large group of dusky dolphins with a handful of common dolphins thrown into the mix. We watch in fascination as the dolphins work in subgroups of several dozens to corral fish (most likely anchovy) to the surface where hundreds of sea gulls, cormorants, and boobies join to take their share of the fishy feast. Our vessel slowly moves ahead as more and more groups of dusky dolphins come into sight, pushing the total number encountered to well over 1400 dolphins within a radius of several kilometers. Such large aggregations of dusky dolphins are well documented for other coastal upwelling areas, yet they don't seem to be the status quo, and such groupings are unheard of for related species such as Peale's, Chilean, or Hector's dolphins. What factors influence the different ecological strategies and mediate sympatry of these similarly sized and related species? We have much to know yet to answer these questions.</t>
  </si>
  <si>
    <t>[Heinrich, Sonja] Univ St Andrews, Sea Mammal Res Unit, St Andrews KY16 9AJ, Fife, Scotland; [Elwen, Simon] Univ Pretoria, Dept Zool &amp; Entomol, Mammal Res Inst, ZA-0002 Pretoria, South Africa; [Braeger, Stefan] German Oceanog Museum DMM, Stralsund, Germany</t>
  </si>
  <si>
    <t>University of St Andrews; University of Pretoria</t>
  </si>
  <si>
    <t>Heinrich, S (corresponding author), Univ St Andrews, Sea Mammal Res Unit, St Andrews KY16 9AJ, Fife, Scotland.</t>
  </si>
  <si>
    <t>Elwen, Simon/0000-0002-7467-6121; Brager, Stefan/0000-0001-9640-0479</t>
  </si>
  <si>
    <t>10.1016/B978-0-12-373723-6.00015-1</t>
  </si>
  <si>
    <t>WOS:000324890700016</t>
  </si>
  <si>
    <t>Fan, K; Wang, HJ; Lang, XM; Yue, X</t>
  </si>
  <si>
    <t>Brstilo, S; Madunic, Q</t>
  </si>
  <si>
    <t>Fan, Ke; Wang, Huijun; Lang, Xianmei; Yue, Xu</t>
  </si>
  <si>
    <t>DUST AND ITS PREDICTION IN NORTH CHINA</t>
  </si>
  <si>
    <t>DUST STORMS: ELEMENTAL COMPOSITION, CAUSES AND ENVIRONMENTAL IMPACTS</t>
  </si>
  <si>
    <t>Natural Disaster Research Prediction and Mitigation</t>
  </si>
  <si>
    <t>Dust weather frequency; dust climate prediction</t>
  </si>
  <si>
    <t>YELLOW SAND; ASIAN DUST; FREQUENCY; TRANSPORT; STORM</t>
  </si>
  <si>
    <t>The dust-related climate in North China and its prediction by statistical modeling and an Atmospheric General Circulation Model(AGCM) for climate are addressed. Dust weather frequency (DWF) denotes the number of clays of dust weather events (dust haze, blowing dust, and dust storms) in one year. It is found that the interannual variation of the Antarctic Oscillation (AAO) plays a significant role in dust-related atmospheric circulation during the boreal spring. The AAO and DWF have a high negative correlation, with a positive AAO tending to decrease the DWF in North China. Consequently, the AAO in the boreal winter is a predictor for the DWF in North China. The atmospheric low frequency oscillation in both hemispheres and its possible role in the formation of dust weather storm events over North China in 2002 are also analyzed as a case study. The results show that the Aleutian Low is linked with the Circumpolar Vortex in the Southern Hemisphere on a 30-60 day oscillation. A weak Circumpolar Vortex tends to deepen the Aleutian Low, and this may help promote the generation of dust storm events. Several seasonal predictive models have been established based on previous studies. First, the statistical model was developed by using limited important predictors, such as seasonally averaged surface air temperature, precipitation, the Arctic Oscillation, the Antarctic Oscillation, the South Oscillation, near surface meridional wind in North China, and the Eurasian westerly index. Two predictive models, i.e., model-I and model-II, were then set up based on the above predictors of observed climatic data (model 1) and the 32-year (1970-2001) extra-seasonal hindcast experimental data as reproduced by the Atmospheric General Circulation Model developed at the Institute of Atmospheric Physics (IAP9L-AGCM)(model -II). It is indicated that the correlation coefficient between the observed and predicted DWF reaches 0.933 in model-I during the training period of 1950-2001, suggesting that it has a high ability for the seasonal prediction of DWF. The corresponding value reaches as high as 0.948 for the subsequent model-II, which involves the synchronization of spring climatic data reproduced by the IAP9L-AGCM. The real-time predictability of the two models was evaluated. It was found that both of the models display high predictive ability for both the interannual variation and the linear trend of spring DWF in North China. With the goal of simulating the radiative and climatic effects of dust aerosols, we developed a Global transport Model of Dust (GMOD) within a general circulation model, using comprehensive parameterizations of the emission and deposition processes to simulate the dust aerosol radiative feedbacks. Comparisons with observations show that the GMOD reproduces dust concentrations, the total deposition logarithmically and the aerosol optical thickness reasonably well. The simulated dust particle size distribution is consistent with observations; both have a median volume radius in the range of 1.0-4.0 mu m. The temporal variation of dust transport on different time scales, especially the diurnal cycle, was also examined.</t>
  </si>
  <si>
    <t>[Fan, Ke; Wang, Huijun; Lang, Xianmei; Yue, Xu] Chinese Acad Sci, Inst Atmospher Phys, Beijing 100029, Peoples R China</t>
  </si>
  <si>
    <t>Fan, K (corresponding author), Chinese Acad Sci, Inst Atmospher Phys, Beijing 100029, Peoples R China.</t>
  </si>
  <si>
    <t>Fan, K/GXH-3734-2022; Fan, Ke/AAJ-2315-2020; Yue, Xu/ISV-0164-2023</t>
  </si>
  <si>
    <t>978-1-60876-456-3</t>
  </si>
  <si>
    <t>NAT DISASTER RES PR</t>
  </si>
  <si>
    <t>Environmental Sciences; Geosciences, Multidisciplinary; Meteorology &amp; Atmospheric Sciences</t>
  </si>
  <si>
    <t>Environmental Sciences &amp; Ecology; Geology; Meteorology &amp; Atmospheric Sciences</t>
  </si>
  <si>
    <t>BPB13</t>
  </si>
  <si>
    <t>WOS:000278418000008</t>
  </si>
  <si>
    <t>Cao, CY; Ma, LL; Uprety, S; Li, CR; Tang, LL</t>
  </si>
  <si>
    <t>Xiong, X; Kim, C; Shimoda, H</t>
  </si>
  <si>
    <t>Cao, Changyong; Ma, Lingling; Uprety, Sirish; Li, Chuanrong; Tang, Lingli</t>
  </si>
  <si>
    <t>Spectral Characterization of the Dunhuang Calibration/Validation Site using Hyperspectral Measurements</t>
  </si>
  <si>
    <t>EARTH OBSERVING MISSIONS AND SENSORS: DEVELOPMENT, IMPLEMENTATION, AND CHARACTERIZATION</t>
  </si>
  <si>
    <t>Conference on Earth Observing Missions and Sensors - Development, Implementation, and Characterization</t>
  </si>
  <si>
    <t>OCT 13-14, 2010</t>
  </si>
  <si>
    <t>Incheon, SOUTH KOREA</t>
  </si>
  <si>
    <t>There is a great need to establish satellite instrument calibration consistency using vicarious calibration sites with well-known spectral and radiometric characteristics. The Dunhuang calibration/validation site located in the Gobi desert, China, and the Dome C in the Antarctic are two of the eight reference sites endorsed by the Committee on Earth Observation Satellites (CEOS) Working Group on Cal/Val (WGCV). This paper presents results of the spectral characterization of the Dunhuang calibration/validation site using hyperspectral measurements. Its spectra are compared with those from the Dome C, as well as with ground sample measurements with radiative transfer calculations. Further comparisons are made with the spectra obtained by the HSI on China's HJ-1A environmental satellite. The results show that the Dunhuang and Dome C sites have distinct spectral characteristics that complement each other for satellite instrument calibration in the reflective solar bands. This study is part of the collaboration effort by the CEOS/WGCV towards consistent satellite observations for the global earth observation system of systems (GEOSS).</t>
  </si>
  <si>
    <t>[Cao, Changyong; Ma, Lingling; Uprety, Sirish; Li, Chuanrong; Tang, Lingli] NOAA, NESDIS, STAR, Washington, DC 20230 USA</t>
  </si>
  <si>
    <t>Cao, CY (corresponding author), NOAA, NESDIS, STAR, Washington, DC 20230 USA.</t>
  </si>
  <si>
    <t>978-0-8194-8392-8</t>
  </si>
  <si>
    <t>78620J</t>
  </si>
  <si>
    <t>10.1117/12.869606</t>
  </si>
  <si>
    <t>Remote Sensing; Optics</t>
  </si>
  <si>
    <t>BTO93</t>
  </si>
  <si>
    <t>WOS:000287661700012</t>
  </si>
  <si>
    <t>Suzuki, A; Yamanoi, Y; Nakamura, T; Nakashima, S</t>
  </si>
  <si>
    <t>Suzuki, A.; Yamanoi, Y.; Nakamura, T.; Nakashima, S.</t>
  </si>
  <si>
    <t>Micro-spectroscopic characterization of organic and hydrous components in weathered Antarctic micrometeorites</t>
  </si>
  <si>
    <t>EARTH PLANETS AND SPACE</t>
  </si>
  <si>
    <t>5th Annual Meeting of the Asia-Oceania-Geoscience-Society</t>
  </si>
  <si>
    <t>JUN 16-20, 2008</t>
  </si>
  <si>
    <t>Busan, SOUTH KOREA</t>
  </si>
  <si>
    <t>Antarctic micrometeorites (AMMs); IR; Raman; visible; micro-spectroscopy; organics; hydrous minerals</t>
  </si>
  <si>
    <t>TAGISH LAKE; IN-SITU; INDIVIDUAL MICROMETEORITES; CARBONACEOUS CHONDRITE; INTERPLANETARY DUST; ACCRETION RATE; RAMAN-SPECTRA; WATER; MINERALOGY; METEORITE</t>
  </si>
  <si>
    <t>Eight unmelted Antarctic micrometeorite (AMMs) recovered from Kuwagata Nunatak were Studied oil Al-foils by infrared (IR), Raman, and visible reflection micro-spectroscopy in combination with electron microscopy. Major element abundances of the AMMs studied were found to be similar to solar abundance, although all have the common characteristic of Mg-depletion. Absorption hands around 500 run were detected for some of the AMMs by the visible micro-spectroscopic method, and these AMMs can be assigned to Fe-hydroxide-like materials. These results suggest that the studied AMMs experienced weathering in Antarctica. Four grains showed file presence of IR H2O and CH hands similar to those of type 2 carbonaceous chondrites, while these were found to be absent in two grains, as in type 3 carbonaceous chondrites. D (disordered: 1360 cm(-1)) and G (graphite: 1600 cm(-1)) Raman hand features of graphitic carbonaceous materials in these AMMs were not similar to those for type 3 but were rather close to those for type 2 and 1 carbonaceous chondrites, although some data showed it degree of deviation. The genetic classification of individual AMM grains can thus be Studied by these methods, although the weathering effects and the atmospheric entry heating oil organics and hydrous components need to be evaluated. These multiple micro-spectroscopic reflectance methods are useful for file characterization of precious small samples.</t>
  </si>
  <si>
    <t>[Suzuki, A.; Yamanoi, Y.; Nakashima, S.] Osaka Univ, Dept Earth &amp; Space Sci, Osaka 5600043, Japan; [Nakamura, T.] Kyushu Univ, Dept Earth &amp; Planetary Sci, Fukuoka 8128581, Japan</t>
  </si>
  <si>
    <t>Osaka University; Kyushu University</t>
  </si>
  <si>
    <t>Suzuki, A (corresponding author), Osaka Univ, Dept Earth &amp; Space Sci, 1-1 Machikaneyama, Osaka 5600043, Japan.</t>
  </si>
  <si>
    <t>akiko.s@ess.sci.osaka-u.ac.jp</t>
  </si>
  <si>
    <t>Nakashima, Satoru/ABA-2157-2021</t>
  </si>
  <si>
    <t>Nakashima, Satoru/0000-0001-6997-5998</t>
  </si>
  <si>
    <t>1880-5981</t>
  </si>
  <si>
    <t>EARTH PLANETS SPACE</t>
  </si>
  <si>
    <t>Earth Planets Space</t>
  </si>
  <si>
    <t>10.5047/eps.2008.11.001</t>
  </si>
  <si>
    <t>563TH</t>
  </si>
  <si>
    <t>WOS:000275156600007</t>
  </si>
  <si>
    <t>Torta, JM; Marsal, S; Curto, JJ; Gaya-Piqué, LR</t>
  </si>
  <si>
    <t>Torta, J. Miguel; Marsal, Santiago; Curto, Juan J.; Gaya-Pique, Luis R.</t>
  </si>
  <si>
    <t>Behaviour of the quiet-day geomagnetic variation at Livingston Island and variability of the Sq focus position in the South American-Antarctic Peninsula region</t>
  </si>
  <si>
    <t>S-q variation; quiet day; focus position; Livingston Island Observatory; South American-Antarctic Peninsula region; ionospheric current system; solar cycle 23</t>
  </si>
  <si>
    <t>SOLAR-CYCLE; MAGNETOSPHERIC CURRENTS; SECULAR VARIATION; MAGNETIC-FIELD; CURRENT SYSTEM; DRAKE PASSAGE; GEOPHYSICISTS; MODELS; RIDGE</t>
  </si>
  <si>
    <t>Characteristics of the regular daily variation, including seasonal and solar cycle variabilites, at the relatively new geomagnetic observatory of Livingston Island (Antarctica) have been studied. Such studies of solar cycle variability were possible due to the current availability of more than 11 years of definitive data. The seasonal behaviour of the quiet-time daily field variations are in agreement with those of earlier studies for a mid-latitude observatory placed at the south of the southern hemisphere current focus. We also found a clear dependence of the S-q amplitude on solar activity, although the Sq amplitude maximum occurs about 2 years later than the sunspot maximum. An analysis of contemporary data for solar cycle 23 was carried out for observatories located in the same longitudinal sector, with the aim of identifying the latitudinal displacements of the current focus that affect the observed Sq variations. This was also determined for solar cycle 20 using data from a different set of observatories. The uncertainties associated with the method employed for determining the focus positions are due to the scarcity of observatory data in the South American-Antarctic Peninsula region, but based on our analysis, we can state with a certain reliability that focus latitudes are higher during the summer and at equinoxes than during the winter. However, it is difficult to establish a correlation between focus latitudes and solar sunspot numbers.</t>
  </si>
  <si>
    <t>[Torta, J. Miguel; Marsal, Santiago; Curto, Juan J.; Gaya-Pique, Luis R.] Univ Ramon Llull, CSIC, Observ Ebre, Roquetes 43520, Spain</t>
  </si>
  <si>
    <t>Consejo Superior de Investigaciones Cientificas (CSIC); Universitat Ramon Llull; Ebre Observatory</t>
  </si>
  <si>
    <t>Torta, JM (corresponding author), Univ Ramon Llull, CSIC, Observ Ebre, Horta Alta 38, Roquetes 43520, Spain.</t>
  </si>
  <si>
    <t>jmtorta@obsebre.es</t>
  </si>
  <si>
    <t>Torta, Joan Miquel/C-7614-2014; Marsal, Santiago/K-4415-2014</t>
  </si>
  <si>
    <t>Torta, Joan Miquel/0000-0002-4340-7308; Marsal, Santiago/0000-0001-8675-7781</t>
  </si>
  <si>
    <t>MEC [CGL2006-12437-0O2-02/ANT]</t>
  </si>
  <si>
    <t>MEC</t>
  </si>
  <si>
    <t>The research results presented in this paper rely on the data collected at several geomagnetic observatories, and we thank the agencies that support them and the individuals who maintain them and collect and process their data. For obvious reasons, we are especially grateful to our colleagues of the Ebro Observatory, who have contributed to installing and maintaining the Livingston Island Observatory since 1995. This research has been supported by Spanish project CGL2006-12437-0O2-02/ANT of MEC.</t>
  </si>
  <si>
    <t>TERRA SCIENTIFIC PUBL CO</t>
  </si>
  <si>
    <t>2003 SANSEI JIYUGAOKA HAIMU, 5-27-19 OKUSAWA, SETAGAYA-KU, TOKYO, 158-0083, JAPAN</t>
  </si>
  <si>
    <t>1343-8832</t>
  </si>
  <si>
    <t>10.5047/eps.2009.11.004</t>
  </si>
  <si>
    <t>575GV</t>
  </si>
  <si>
    <t>hybrid, Green Submitted</t>
  </si>
  <si>
    <t>WOS:000276055900007</t>
  </si>
  <si>
    <t>Nagashima, K; Kondo, I; Morishita, I; Jacklyn, RM</t>
  </si>
  <si>
    <t>Nagashima, K.; Kondo, I.; Morishita, I.; Jacklyn, R. M.</t>
  </si>
  <si>
    <t>The influence of the sidereal cosmic-ray anisotropies originated on the tail- and nose-boundaries of the heliomagnetosphere (HMS) upon the solar cosmic-ray anisotropy produced inside the HMS</t>
  </si>
  <si>
    <t>Cosmic rays (CR); solar and sidereal anisotropies of CR; solar modulation of CR; seasonal variation of CR sidereal anisotropy; neutron monitors; polarity of solar magnetic field; heliomagnetosphere (HMS); CR acceleration on HMS boundary; major axis of HMS</t>
  </si>
  <si>
    <t>HELIOTAIL-IN ANISOTROPIES; PARTICLE DRIFT; ENERGY REGION; MODULATION; TRANSPORT; HYDROGEN</t>
  </si>
  <si>
    <t>The solar diurnal variation of cosmic rays was considered to be fully explained by the diffusion-convection theory. Recently, however, it has been found that the geographic latitude distribution of the yearly averaged diurnal variations observed with the neutron monitors and the muon telescopes on the ground does not agree with that expected from the theory. The difference between the two distributions is observed almost every year, and it is especially remarkable in the solar activity minimum period in the positive polarity state of the solar polar magnetic field, when the diurnal variation reduces its magnitude and shifts its phase towards the morning side. It is shown that such a difference is produced by the seasonal variation of the sidereal heliotail-in and helionose-in anisotropies with respective right ascensions of 6 h and 18 h according to the following process. Generally, if any sidereal anisotropy from the right ascension alpha is subject to the seasonal variation with its maximum and minimum at the times when the Earth is closest to and farthest from the source of the anisotropy, respectively, located through its direction at the boundary of the HMS, it produces a yearly averaged residual flux from 0 h LT in solar geographic polar coordinates regardless of its direction (alpha). This residual flux from 0 h LT produces the difference mentioned above.</t>
  </si>
  <si>
    <t>[Nagashima, K.] Nagoya Univ, Solar Terr Environm Lab, Chikusa Ku, Nagoya, Aichi 4048601, Japan; [Kondo, I.] Univ Tokyo, Inst Cosm Ray Res, Kashiwa, Chiba 2778582, Japan; [Morishita, I.] Asahi Univ, Dept Informat Management, Gifu 5010296, Japan; [Jacklyn, R. M.] Dept Sci &amp; Technol, Antarctic Div, Kingston, Tas, Australia</t>
  </si>
  <si>
    <t>Nagoya University; University of Tokyo; Asahi University; Australian Antarctic Division</t>
  </si>
  <si>
    <t>Nagashima, K (corresponding author), Nagoya Univ, Solar Terr Environm Lab, Chikusa Ku, Nagoya, Aichi 4048601, Japan.</t>
  </si>
  <si>
    <t>isao@alice.asahi-u.ac.jp</t>
  </si>
  <si>
    <t>10.5047/eps.2010.02.012</t>
  </si>
  <si>
    <t>646NC</t>
  </si>
  <si>
    <t>WOS:000281546900004</t>
  </si>
  <si>
    <t>Suzuki, H; Tomikawa, Y; Taguchi, M; Nakamura, T; Tsutsumi, M</t>
  </si>
  <si>
    <t>Suzuki, Hidehiko; Tomikawa, Yoshihiro; Taguchi, Makoto; Nakamura, Takuji; Tsutsumi, Masaki</t>
  </si>
  <si>
    <t>Variations of OH rotational temperature over Syowa Station in the austral winter of 2008</t>
  </si>
  <si>
    <t>Hydroxyl airglow; OH rotational temperature; Antarctic; Syowa Station; mesopause; ground-based observations</t>
  </si>
  <si>
    <t>HYDROXYL TEMPERATURES; MIDDLE ATMOSPHERE; POLAR MESOSPHERE; MODEL; NIGHTGLOW; AIRGLOW; THERMOSPHERE; 69-DEGREES-S; OSCILLATIONS; ANTARCTICA</t>
  </si>
  <si>
    <t>A grating spectrometer for hydroxyl (OH) airglow installed at Syowa Station (69 degrees S, 39.6 degrees E) by the 49th Japanese Antarctic Research Expedition (JARE49) has been in operation since late February, 2008. A dataset of 153 nights was acquired at this location in the austral winter season of 2008. This dataset shows variations in the rotational temperature over a range of temporal scales. The rotational temperature around the polar mesopause region is high in winter and decreases toward summer, which is a pattern similar to that observed at Davis Station, located at almost the same latitude as Syowa Station. A large temperature variation with a period of several days was observed in early May, 2008. Based on a comparison with a simultaneous dataset obtained by the SABER instrument onboard the TIMED satellite, it is inferred that this rotational temperature variation was due to the modulation of vertical motions around the mesopause.</t>
  </si>
  <si>
    <t>[Suzuki, Hidehiko; Tomikawa, Yoshihiro; Nakamura, Takuji; Tsutsumi, Masaki] Natl Inst Polar Res, Tokyo 1908518, Japan; [Taguchi, Makoto] Rikkyo Univ, Toshima Ku, Tokyo 1718501, Japan</t>
  </si>
  <si>
    <t>Research Organization of Information &amp; Systems (ROIS); National Institute of Polar Research (NIPR) - Japan; Rikkyo University</t>
  </si>
  <si>
    <t>Suzuki, H (corresponding author), Natl Inst Polar Res, 10-3 Midoricho, Tokyo 1908518, Japan.</t>
  </si>
  <si>
    <t>hsuzuki@nipr.ac.jp</t>
  </si>
  <si>
    <t>Tomikawa, Yoshihiro/D-5304-2012</t>
  </si>
  <si>
    <t>Tomikawa, Yoshihiro/0000-0002-5652-3017; Nakamura, Takuji/0000-0002-3876-2946</t>
  </si>
  <si>
    <t>10.5047/eps.2010.07.010</t>
  </si>
  <si>
    <t>687IA</t>
  </si>
  <si>
    <t>WOS:000284771000005</t>
  </si>
  <si>
    <t>Chenuil, A; Egea, E; Rocher, C; Féral, JP</t>
  </si>
  <si>
    <t>Harris, LG; Bottger, SA; Walker, CW; Lesser, MP</t>
  </si>
  <si>
    <t>Chenuil, A.; Egea, E.; Rocher, C.; Feral, J-P</t>
  </si>
  <si>
    <t>Comparing substitution rates in spatangoid sea urchins with putatively different effective sizes, and other echinoderm datasets</t>
  </si>
  <si>
    <t>ECHINODERMS: DURHAM</t>
  </si>
  <si>
    <t>12th International Echinoderm Conference</t>
  </si>
  <si>
    <t>AUG 07-11, 2006</t>
  </si>
  <si>
    <t>Univ New Hampshire, Durham, NH</t>
  </si>
  <si>
    <t>Univ New Hampshire</t>
  </si>
  <si>
    <t>MITOCHONDRIAL-DNA; NUCLEOTIDE SUBSTITUTIONS; MOLECULAR EVOLUTION; POPULATION-SIZE; PHYLOGENY; MODE; REPRODUCTION</t>
  </si>
  <si>
    <t>We analysed mitochondrial DNA sequences in spatangoid sea urchins. Substitution rates are significantly smaller in species of the Schizasterid family. These species are likely to have smaller effective sizes they brood their offspring while the others disperse by planctonic larvae, and their distribution area is restricted to antarctic or subantarctic regions - their lower substitution rate thus seems to contradict the nearly neutral theory of molecular evolution. However, the observation of a higher ratio of non synonymous to synonymous substitutions (Ka/Ks) in Schizasterids follows expectations of the nearly neutral theory, suggesting that it is the mutation rate, not the fixation rate, which is lower in Schizasterids. Other echinoderm groups in which we could apply this approach fit the nearly neutral theory better then the genetic draft theory, contradicting recent results suggesting a general influence of positive selection in animal mitochondrial DNA.</t>
  </si>
  <si>
    <t>[Chenuil, A.; Egea, E.; Rocher, C.; Feral, J-P] Univ Aix Marseille 2, UMR 6540, DIMAR, CNRS,Ctr Oceanol Marseille,Stn Marine Endoume, Marseille, France</t>
  </si>
  <si>
    <t>Centre National de la Recherche Scientifique (CNRS); Aix-Marseille Universite</t>
  </si>
  <si>
    <t>Chenuil, A (corresponding author), Univ Aix Marseille 2, UMR 6540, DIMAR, CNRS,Ctr Oceanol Marseille,Stn Marine Endoume, Marseille, France.</t>
  </si>
  <si>
    <t>EGEA, Emilie/B-2559-2012; FERAL, Jean-Pierre/A-8199-2008; Feral, Jean-Pierre/C-8368-2012; CHENUIL, Anne/E-3902-2012</t>
  </si>
  <si>
    <t>FERAL, Jean-Pierre/0000-0001-7627-0160;</t>
  </si>
  <si>
    <t>CRC PRESS-TAYLOR &amp; FRANCIS GROUP</t>
  </si>
  <si>
    <t>BOCA RATON</t>
  </si>
  <si>
    <t>6000 BROKEN SOUND PARKWAY NW, STE 300, BOCA RATON, FL 33487-2742 USA</t>
  </si>
  <si>
    <t>978-0-415-40819-6</t>
  </si>
  <si>
    <t>BPB76</t>
  </si>
  <si>
    <t>WOS:000278474900024</t>
  </si>
  <si>
    <t>Moura, RB; Rodrigues, DS; Carvalho, ALPS; Campos, LS</t>
  </si>
  <si>
    <t>Moura, R. B.; Rodrigues, D. S.; Carvalho, A. L. P. S.; Campos, L. S.</t>
  </si>
  <si>
    <t>On the Holothuroidea from the collection of Echinodermata, Institute of Biology, Federal University of Rio de Janeiro, Brazil</t>
  </si>
  <si>
    <t>The collection of Echinodermata from the Department of Zoology, Institute of Biology, Federal University of Rio de Janeiro (DZ\IB\UFRJ), currently has over 3,400 lots, from which 244 comprise holothuroids. These lots contain 713 holothuroid specimens that were classified into 12 families and 27 species. This material represents around 68% of the holothuroid species recorded in Brazilian waters. Around 70% of the lots have specimens from the Brazilian continental shelf. Specimens collected from 700 m to 1700 m at Campos Basin, Southwest Atlantic, and also through the Brazilian Antarctic Programme have increased the number of species and expanded the geographic representation of the collection. Detailed information on the material has been checked and re-organized, so that it can be aggregated to international programmes and databases such as those from the Census of Marine Life (e.g., OBIS, CAML/SCARMarBIN, and others). The DZ/IB/UFRJ echinoderm collection has been registered in the Brazilian Reference Center on Environmental Information (CRIA) (http://www.cria.org.br/zoo/list?action=show&amp;id=ZOO1139453276). and the material deposited has been systematically studied in order to update the Brazilian echinoderm information.</t>
  </si>
  <si>
    <t>[Moura, R. B.; Rodrigues, D. S.; Carvalho, A. L. P. S.; Campos, L. S.] Univ Fed Rio de Janeiro, Dept Zool, Inst Biol, BR-21941 Rio De Janeiro, Brazil</t>
  </si>
  <si>
    <t>Universidade Federal do Rio de Janeiro</t>
  </si>
  <si>
    <t>Moura, RB (corresponding author), Univ Fed Rio de Janeiro, Dept Zool, Inst Biol, BR-21941 Rio De Janeiro, Brazil.</t>
  </si>
  <si>
    <t>Rodrigues, Danielle/JYQ-1064-2024</t>
  </si>
  <si>
    <t>WOS:000278474900040</t>
  </si>
  <si>
    <t>Vasconcelos, RF; Campos, LS; Carvalho, ALPS; Moura, RB</t>
  </si>
  <si>
    <t>Vasconcelos, R. F.; Campos, L. S.; Carvalho, A. L. P. S.; Moura, R. B.</t>
  </si>
  <si>
    <t>On the Collection of Asteroidea from the Institute of Biology, Federal University of Rio de Janeiro, Brazil</t>
  </si>
  <si>
    <t>The Collection of Echinodermata currently has over 3,400 lots, from which 452 comprise asteroids. This collection contains 1,555 asteroid specimen; classified into 11 families and 23 species. These species represent 36% of those asteroids recorded in Brazil so far. Around 89% of the deposited asteroids are originated in the SE Brazilian coastal region, 3% in the South, and 1% in the NE Brazil. Specimens collected in Argentina, Uruguay and Chile represent 7% of the deposited material. Even though this collection so far has represented mainly the southwestern Brazilian continental shelf, it has increased with specimens from the SE slope down to 1,700 m, and also from recent Brazilian Antarctic sampling programme.</t>
  </si>
  <si>
    <t>[Vasconcelos, R. F.; Campos, L. S.; Carvalho, A. L. P. S.; Moura, R. B.] Univ Fed Rio de Janeiro, Inst Biol, Rio De Janeiro, Brazil</t>
  </si>
  <si>
    <t>Vasconcelos, RF (corresponding author), Univ Fed Rio de Janeiro, Inst Biol, Rio De Janeiro, Brazil.</t>
  </si>
  <si>
    <t>WOS:000278474900046</t>
  </si>
  <si>
    <t>Slattery, M</t>
  </si>
  <si>
    <t>Slattery, M.</t>
  </si>
  <si>
    <t>Bioactive compounds from echinoderms: Ecological and evolutionary perspectives</t>
  </si>
  <si>
    <t>URCHIN STRONGYLOCENTROTUS-DROEBACHIENSIS; GREAT-BARRIER-REEF; ANTARCTIC SEA STARS; GULF-OF-MEXICO; ULTRAVIOLET-RADIATION; AMINO-ACIDS; CHEMICAL DEFENSE; COMATULID CRINOIDS; ARM REGENERATION; MARINE ORGANISMS</t>
  </si>
  <si>
    <t>Marine natural products are hypothesized to have evolved in response to abiotic and biotic pressures. Photo-protective compounds prevent cellular and molecular damage from UV light, with many additional chemical structural classes providing defense against predators, competitors and pathogens. Echinoderm natural products were originally isolated as potential marine biotechnology products, however the ecological roles of these compounds were not addressed due to other perceived defensive strategies of the phyla (e.g., crypsis, motility, spines, regenerative ability, etc.). Feeding assays using tissues and extracts from echinoderm eggs and larvae, indicate that these early life history stages are chemically-defended. In addition, Mycosporine-like Amino Acids (MAAs) are translocated from mothers to eggs and larvae to reduce UV damage. Echinoderm extracts have also been shown to act as predator deterrent and/or antifoulant defenses in adults, and pure compounds from crinoids have demonstrated antifeedant activity.</t>
  </si>
  <si>
    <t>[Slattery, M.] Univ Mississippi, Dept Pharmacognosy, University, MS 38677 USA; [Slattery, M.] Univ Mississippi, Natl Ctr Nat Prod Res, University, MS 38677 USA</t>
  </si>
  <si>
    <t>University of Mississippi; University of Mississippi</t>
  </si>
  <si>
    <t>Slattery, M (corresponding author), Univ Mississippi, Dept Pharmacognosy, University, MS 38677 USA.</t>
  </si>
  <si>
    <t>NSF OPP; Sea Grant; EPA; NOAA</t>
  </si>
  <si>
    <t>NSF OPP(National Science Foundation (NSF)NSF - Directorate for Geosciences (GEO)); Sea Grant; EPA(United States Environmental Protection Agency); NOAA(National Oceanic Atmospheric Admin (NOAA) - USA)</t>
  </si>
  <si>
    <t>Id like to thank Michael Lesser for his continued encouragement (= relentless badgering) relevant to the publication of this paper. Deb Gochfeld provided helpful editorial advice for which I am grateful. Colleagues too numerous to list have provided compelling discussions and insights into echinoderm biology and chemical ecology that are reflected in this paper, but I would like to specifically thank Jim McClintock, John Pearse, StephenWatts, Mike Foster, Rick Brusca and Roy Houston for their time and consideration in my development as a marine scientist with a more than passing interest in echinoderms. Funding by NSF OPP (to JB McClintock), Sea Grant, EPA, and NOAA (to M Slattery) is appreciated.</t>
  </si>
  <si>
    <t>WOS:000278474900083</t>
  </si>
  <si>
    <t>Smirnov, IS</t>
  </si>
  <si>
    <t>Smirnov, I. S.</t>
  </si>
  <si>
    <t>Symbiotic relation between Antarctic ophiuroids of genus Ophiacantha</t>
  </si>
  <si>
    <t>Approximately 30 species or nearly 30% of a total number of ophiuroids living in the Antarctic and Subantarctic area are known. In samples collected by Islas Orcadas the specimens of two close ophiacanthid species were detected: O. vivipata and O. pentactis. Six-armed juvenile has found in one bursa of the specimen of five-arm non-brooding species O. pentactis. Based on this find supposition was made about presence of juvenile symbiosis (probably parasitism) in Antarctic brittlestars of genus Ophiacantha.</t>
  </si>
  <si>
    <t>RAS, Inst Zool, St Petersburg, Russia</t>
  </si>
  <si>
    <t>Smirnov, IS (corresponding author), RAS, Inst Zool, St Petersburg, Russia.</t>
  </si>
  <si>
    <t>Smirnov, Igor/R-2792-2017</t>
  </si>
  <si>
    <t>Smirnov, Igor/0000-0003-3098-3346</t>
  </si>
  <si>
    <t>WOS:000278474900090</t>
  </si>
  <si>
    <t>Patterson, TA; McConnell, BJ; Fedak, MA; Bravington, MV; Hindell, MA</t>
  </si>
  <si>
    <t>Patterson, Toby A.; McConnell, Bernie J.; Fedak, Mike A.; Bravington, Mark V.; Hindell, Mark A.</t>
  </si>
  <si>
    <t>Using GPS data to evaluate the accuracy of state-space methods for correction of Argos satellite telemetry error</t>
  </si>
  <si>
    <t>Argos error; Fastloc GPS; gray seal; Halichoerus grypus; Kalman filter; marine mammals; state space model</t>
  </si>
  <si>
    <t>LEATHERBACK TURTLES; LOCATION ACCURACY; ELEPHANT SEALS; MOVEMENT; TRACKING; CONSERVATION; BEHAVIOR; HABITAT; MODEL; METAANALYSIS</t>
  </si>
  <si>
    <t>Recent Studies have applied state-space models to satellite telemetry data in order to remove noise from raw location estimates and infer the true tracks of animals. However, while the resulting tracks May appear plausible, it is difficult to determine the accuracy of the estimated positions, especially for position estimates interpolated to times between satellite locations. In this study, we use data from two gray seals (Halichoerus grypus) carrying, tags that transmitted Fastloc GPS positions via Argos satellites. This combination of Service Argos data and highly accurate GPS data allowed examination of the accuracy of state-space position estimates and their uncertainty derived from satellite telemetry data After applying a speed filter to remove aberrant satellite telemetry locations. we fit a continuous-time Kalman filter to estimate the parameters of I random walk, used Kalman smoothing to infer positions at the times of the GPS Measurements. and then compared the filtered telemetry estimates with the actual GPS Measurements. We investigated the effect of varying maximum speed thresholds in the speed-filtering algorithm oil the root mean-square error (RMSE) estimates and used minimum RMSE as a criterion to guide the final choice of speed threshold. The optimal speed thresholds differed between the two animals (1.1 m/s and 2.5 m/s) and retained 50% and 65% of the data for each seal. However, using a speed filter of 1.1 m/s resulted in very similar RMSE for both animals. For the two seals. the RMSE of the Kalman-filtered estimates of location were 5.9 and 12.76 km, respectively, and 75% of the modeled positions had errors less than 6.25 km and 11.7 km for each seal. Confidence interval coverage was close to correct at typical levels (80-95%), although it tended to be overly generous at smaller sizes. The reliability Of uncertainty estimates was also affected by the chosen sliced threshold. The combination of sliced and Kalman filtering allows for effective calculation of location and also indicates the limits of accuracy when correcting service Argos locations and linking satellite telemetry data to spatial covariate and habitat data.</t>
  </si>
  <si>
    <t>[Patterson, Toby A.] CSIRO Marine &amp; Atmospher Res, Hobart, Tas 7001, Australia; [Patterson, Toby A.; Hindell, Mark A.] Univ Tasmania, Antarctic Wildlife Res Unit, Sch Zool, Hobart, Tas 7001, Australia; [McConnell, Bernie J.; Fedak, Mike A.] Univ St Andrews, NERC Sea Mammal Res Unit, Gatty Marine Lab, St Andrews KY16 8LB, Fife, Scotland; [Bravington, Mark V.] CSIRO Math &amp; Informat Sci, Hobart, Tas 7001, Australia</t>
  </si>
  <si>
    <t>Commonwealth Scientific &amp; Industrial Research Organisation (CSIRO); University of Tasmania; University of St Andrews; Commonwealth Scientific &amp; Industrial Research Organisation (CSIRO)</t>
  </si>
  <si>
    <t>Patterson, TA (corresponding author), CSIRO Marine &amp; Atmospher Res, GPO Box 1538, Hobart, Tas 7001, Australia.</t>
  </si>
  <si>
    <t>Toby.Patterson@csiro.au</t>
  </si>
  <si>
    <t>Hindell, Mark A/C-8368-2013; Patterson, Toby A/B-3836-2011; Hindell, Mark A/K-1131-2013; Bravington, Mark V/E-8897-2010; McConnell, Bernie/G-6553-2019; Fedak, Michael/B-3987-2009</t>
  </si>
  <si>
    <t>McConnell, Bernie/0000-0001-7575-5270; Hindell, Mark/0000-0002-7823-7185; Fedak, Michael/0000-0002-9569-1128</t>
  </si>
  <si>
    <t>CSIRO-UTAS QMS; Australian Postgraduate Award</t>
  </si>
  <si>
    <t>CSIRO-UTAS QMS; Australian Postgraduate Award(Australian Government)</t>
  </si>
  <si>
    <t>We thank M. Lonergan for his valuable contributions through many discussions of Argos error. P. Jumpannen provided programming assistance. C. Wilcox, R. Sharples, and P. Jumppanen gave valuable comments on an earlier draft. I. Jonsen, G. Breed, and two anonymous reviewers contributed suggestions that greatly improved the manuscript. T. Patterson was supported by a joint CSIRO-UTAS QMS scholarship and an Australian Postgraduate Award.</t>
  </si>
  <si>
    <t>10.1890/08-1480.1</t>
  </si>
  <si>
    <t>567PG</t>
  </si>
  <si>
    <t>WOS:000275458500030</t>
  </si>
  <si>
    <t>Cziferszky, A; Fleming, AH; Fox, A</t>
  </si>
  <si>
    <t>Fleming, C; Marsh, SH; Giles, JRA</t>
  </si>
  <si>
    <t>Cziferszky, A.; Fleming, A. H.; Fox, A.</t>
  </si>
  <si>
    <t>An assessment of ASTER elevation data over glaciated terrain on Pourquois Pas Island, Antarctic Peninsula</t>
  </si>
  <si>
    <t>ELEVATION MODELS FOR GEOSCIENCE</t>
  </si>
  <si>
    <t>This paper assesses the accuracy of digital elevation models (DEMs) generated from ASTER (Advanced Spaceborne Thermal Emission and Reflection Radiometer) satellite imagery in glaciated and mountainous terrain. This is an especially attractive technique for inaccessible glaciated regions of the Antarctic Peninsula. Our aims are to determine the best option for generating elevation data from ASTER data and to determine the errors involved for different terrain types. We use a near-coincident and contemporaneous airborne photogrammetric dataset to provide sufficiently accurate reference data. Three different software options for derivation of the ASTER DEM are assessed in order to determine the best available method of generating elevation data for this type of terrain. DEM accuracy is highly correlated to the steepness of the terrain. For areas of low to moderate relief errors are less than 20 m RMSE (root mean square error), but areas of high relief show much larger errors of up to 200 m RMSE.</t>
  </si>
  <si>
    <t>[Cziferszky, A.; Fleming, A. H.; Fox, A.] British Antarctic Survey, Cambridge CB3 0ET, England</t>
  </si>
  <si>
    <t>Fleming, AH (corresponding author), British Antarctic Survey, High Cross,Madingley Rd, Cambridge CB3 0ET, England.</t>
  </si>
  <si>
    <t>ahf@bas.ac.uk</t>
  </si>
  <si>
    <t>978-1-86239-313-4</t>
  </si>
  <si>
    <t>10.1144/SP345.4</t>
  </si>
  <si>
    <t>Geology; Geosciences, Multidisciplinary</t>
  </si>
  <si>
    <t>BUB81</t>
  </si>
  <si>
    <t>WOS:000288751000004</t>
  </si>
  <si>
    <t>Phillips, RA</t>
  </si>
  <si>
    <t>Phillips, Richard A.</t>
  </si>
  <si>
    <t>Eradications of invasive mammals from islands: why, where, how and what next?</t>
  </si>
  <si>
    <t>EMU-AUSTRAL ORNITHOLOGY</t>
  </si>
  <si>
    <t>NONTARGET WILDLIFE; MACQUARIE ISLAND; SPECIES REMOVAL; RAT ERADICATION; NEW-ZEALAND; CONSERVATION; POPULATION; SEABIRDS; CONSEQUENCES; BRODIFACOUM</t>
  </si>
  <si>
    <t>[Phillips, Richard A.] British Antarctic Survey, Nat Environm Res Council, Cambridge CB3 0ET, England</t>
  </si>
  <si>
    <t>Phillips, RA (corresponding author), British Antarctic Survey, Nat Environm Res Council, Madingley Rd, Cambridge CB3 0ET, England.</t>
  </si>
  <si>
    <t>raphil@bas.ac.uk</t>
  </si>
  <si>
    <t>TAYLOR &amp; FRANCIS AUSTRALIA</t>
  </si>
  <si>
    <t>MELBOURNE</t>
  </si>
  <si>
    <t>LEVEL 2, 11 QUEENS RD, MELBOURNE, VIC 3004, AUSTRALIA</t>
  </si>
  <si>
    <t>0158-4197</t>
  </si>
  <si>
    <t>1448-5540</t>
  </si>
  <si>
    <t>EMU</t>
  </si>
  <si>
    <t>Emu</t>
  </si>
  <si>
    <t>I</t>
  </si>
  <si>
    <t>10.1071/MUv110n4_ED</t>
  </si>
  <si>
    <t>686MF</t>
  </si>
  <si>
    <t>WOS:000284699700001</t>
  </si>
  <si>
    <t>Wilson, JW; Burle, MH; Cuthbert, R; Stirnemann, RL; Ryan, PG</t>
  </si>
  <si>
    <t>Wilson, J. W.; Burle, M. -H.; Cuthbert, R.; Stirnemann, R. L.; Ryan, P. G.</t>
  </si>
  <si>
    <t>Breeding success of Northern Rockhopper Penguins (Eudyptes moseleyi) at Gough Island, South Atlantic Ocean</t>
  </si>
  <si>
    <t>REPRODUCTIVE SUCCESS; POPULATION TRENDS; COLONIAL SEABIRD; CHRYSOCOME; CAPENSIS; SIZE</t>
  </si>
  <si>
    <t>Populations of Northern Rockhopper Penguins (Eudyptes moseleyi) are declining, and their breeding success is low compared with that of other species of Eudyptes. We tracked loss of broods and investigated how the response to threats by breeding birds and the density of nests in a colony influence breeding success of Northern Rockhopper Penguins on Gough Island. Brood loss was greatest (33-61%) during incubation and the early chick stage. Most (71%) hatchlings survived to form creches, and 73% of chicks present during early creche formation moulted into juvenile plumage. Breeding success was significantly positively correlated with the response to threats by breeding birds and the number of other breeding birds within a 1.5-m radius, a relationship that may be increasingly important in a declining penguin population.</t>
  </si>
  <si>
    <t>[Wilson, J. W.; Burle, M. -H.; Ryan, P. G.] Univ Cape Town, DST NRF Ctr Excellence, Percy FitzPatrick Inst, ZA-7701 Rondebosch, South Africa; [Stirnemann, R. L.] Trinity Coll Dublin, Dept Bot, Dublin 2, Ireland; [Wilson, J. W.; Burle, M. -H.; Cuthbert, R.] Royal Soc Protect Birds, Sandy SG19 2DL, Beds, England</t>
  </si>
  <si>
    <t>National Research Foundation - South Africa; University of Cape Town; Trinity College Dublin; Royal Society for Protection of Birds</t>
  </si>
  <si>
    <t>Wilson, JW (corresponding author), N Carolina State Univ, Dept Biol, Campus Box 7617, Raleigh, NC 27695 USA.</t>
  </si>
  <si>
    <t>johnnybirder@gmail.com</t>
  </si>
  <si>
    <t>Wilson, John W./E-9601-2011</t>
  </si>
  <si>
    <t>Wilson, John W./0000-0002-7230-1449; Ryan, Peter/0000-0002-3356-2056</t>
  </si>
  <si>
    <t>Royal Society for the Protection of Birds; University of Cape Town</t>
  </si>
  <si>
    <t>Logistical support at Gough Island was provided by the then South African Department of Environmental Affairs and Tourism through the South African National Antarctic Program. Financial support was obtained from the Royal Society for the Protection of Birds and the University of Cape Town. The Administrator of Tristan da Cunha granted us permission to undertake research at Gough Island. Mike Scantlebury and two anonymous reviewers provided useful comments on earlier versions of the manuscript.</t>
  </si>
  <si>
    <t>10.1071/MU09095</t>
  </si>
  <si>
    <t>600WS</t>
  </si>
  <si>
    <t>WOS:000278020200005</t>
  </si>
  <si>
    <t>Williams, J; Custer, T; Riede, H; Sander, R; Jöckel, P; Hoor, P; Pozzer, A; Wong-Zehnpfennig, S; Beygi, ZH; Fischer, H; Gros, V; Colomb, A; Bonsang, B; Yassaa, N; Peeken, I; Atlas, EL; Waluda, CM; van Aardenne, JA; Lelieveld, J</t>
  </si>
  <si>
    <t>Williams, J.; Custer, T.; Riede, H.; Sander, R.; Joeckel, P.; Hoor, P.; Pozzer, A.; Wong-Zehnpfennig, S.; Beygi, Z. Hosaynali; Fischer, H.; Gros, V.; Colomb, A.; Bonsang, B.; Yassaa, N.; Peeken, I.; Atlas, E. L.; Waluda, C. M.; van Aardenne, J. A.; Lelieveld, J.</t>
  </si>
  <si>
    <t>Assessing the effect of marine isoprene and ship emissions on ozone, using modelling and measurements from the South Atlantic Ocean</t>
  </si>
  <si>
    <t>ENVIRONMENTAL CHEMISTRY</t>
  </si>
  <si>
    <t>SUBMODEL SYSTEM MESSY; TECHNICAL NOTE; ILLEX-ARGENTINUS; CHEMISTRY; SEA; AEROSOL; LIGHT; IMPLEMENTATION; IMPACTS; SURFACE</t>
  </si>
  <si>
    <t>Ship-borne measurements have been made in air over the remote South Atlantic and Southern Oceans in January-March 2007. This cruise encountered a large-scale natural phytoplankton bloom emitting reactive hydrocarbons (e. g. isoprene); and a high seas squid fishing fleet emitting NOx (NO and NO2). Using an atmospheric chemistry box model constrained by in-situ measurements, it is shown that enhanced ozone production ensues from such juxtaposed marine biogenic and anthropogenic emissions. The relative impact of shipping and phytoplankton emissions on ozone was examined on a global scale using the EMAC model. Ozone in the marine boundary layer was found to be over ten times more sensitive to NOx emissions from ships, than to marine isoprene in the region south of 45 degrees. Although marine isoprene emissions make little impact on the global ozone budget, co-located ship and phytoplankton emissions may explain the increasing ozone reported for the 40-60 degrees S southern Atlantic region.</t>
  </si>
  <si>
    <t>[Williams, J.; Custer, T.; Riede, H.; Sander, R.; Joeckel, P.; Hoor, P.; Pozzer, A.; Wong-Zehnpfennig, S.; Beygi, Z. Hosaynali; Fischer, H.; Yassaa, N.; Lelieveld, J.] Max Planck Inst Chem, D-55128 Mainz, Germany; [Pozzer, A.] Cyprus Inst, Energy Environm &amp; Water Res Ctr, CY-1645 Nicosia, Cyprus; [Gros, V.; Bonsang, B.] Univ Versailles St Quentinen Yvelines, Lab Sci Climat &amp; Environm, CEA, CNRS, F-91191 Gif Sur Yvette, France; [Colomb, A.] Univ Paris 12, Lab Interuniv Syst Atmospher, CNRS, UMR 7583, F-94010 Creteil, France; [Peeken, I.] Alfred Wegener Inst Polar &amp; Marine Res, D-27570 Bremerhaven, Germany; [Atlas, E. L.] Univ Miami, Rosenstiel Sch Marine &amp; Atmospher Sci, Miami, FL 33149 USA; [Waluda, C. M.] British Antarctic Survey, NERC, Div Biol Sci, Cambridge CB3 0ET, England; [van Aardenne, J. A.] Commiss European Communities, Inst Environm &amp; Sustainabil, I-21020 Ispra, Italy</t>
  </si>
  <si>
    <t>Max Planck Society; Universite Paris Saclay; CEA; Centre National de la Recherche Scientifique (CNRS); Universite Paris-Est-Creteil-Val-de-Marne (UPEC); Universite Paris Cite; Centre National de la Recherche Scientifique (CNRS); CNRS - National Institute for Earth Sciences &amp; Astronomy (INSU); Universite Gustave-Eiffel; Helmholtz Association; Alfred Wegener Institute, Helmholtz Centre for Polar &amp; Marine Research; University of Miami; UK Research &amp; Innovation (UKRI); Natural Environment Research Council (NERC); NERC British Antarctic Survey; European Commission Joint Research Centre; EC JRC ISPRA Site</t>
  </si>
  <si>
    <t>Williams, J (corresponding author), Max Planck Inst Chem, JJ Becherweg 27, D-55128 Mainz, Germany.</t>
  </si>
  <si>
    <t>williams@mpch-mainz.mpg.de</t>
  </si>
  <si>
    <t>Williams, Jonathan/K-7686-2017; Atlas, Elliot/AAE-4605-2021; Pozzer, Andrea/L-4872-2013; Williams, Jonathan/HJA-2081-2022; Atlas, Elliot/J-8171-2015; Jöckel, Patrick/C-3687-2009; Yassaa, Noureddine/A-3438-2011; hoor, peter m/G-5421-2010; Custer, Thomas/U-4377-2018; Lelieveld, Johannes (Jos)/A-1986-2013; Sander, Rolf/A-5725-2011</t>
  </si>
  <si>
    <t>Pozzer, Andrea/0000-0003-2440-6104; Jöckel, Patrick/0000-0002-8964-1394; hoor, peter m/0000-0001-6582-6864; Custer, Thomas/0000-0003-2336-4248; Riede, Hella/0000-0003-3266-2757; Lelieveld, Johannes (Jos)/0000-0001-6307-3846; Sander, Rolf/0000-0001-6479-2092; Peeken, Ilka/0000-0003-1531-1664; Atlas, Elliot/0000-0003-3847-5346</t>
  </si>
  <si>
    <t>EU [018419, 003893]</t>
  </si>
  <si>
    <t>EU(European Union (EU))</t>
  </si>
  <si>
    <t>The OOMPH project was funded under the EU sixth framework program (018419). The QUANTIFY project was funded by the EU within the sixth framework program under 003893. The authors are grateful for logistical support from the IPEV/Aerotrace program during the Southern Ocean cruise. In particular, we thank Jean Sciare for help with co-ordination and Roland Sarda-Esteve, Rolf Hofmann and Thomas Klupfel for help with instrument operation.</t>
  </si>
  <si>
    <t>COLLINGWOOD</t>
  </si>
  <si>
    <t>150 OXFORD ST, PO BOX 1139, COLLINGWOOD, VICTORIA 3066, AUSTRALIA</t>
  </si>
  <si>
    <t>1448-2517</t>
  </si>
  <si>
    <t>1449-8979</t>
  </si>
  <si>
    <t>ENVIRON CHEM</t>
  </si>
  <si>
    <t>Environ. Chem.</t>
  </si>
  <si>
    <t>10.1071/EN09154</t>
  </si>
  <si>
    <t>Chemistry, Analytical; Environmental Sciences</t>
  </si>
  <si>
    <t>Chemistry; Environmental Sciences &amp; Ecology</t>
  </si>
  <si>
    <t>586GN</t>
  </si>
  <si>
    <t>WOS:000276894500006</t>
  </si>
  <si>
    <t>Grotti, M; Lagomarsino, C; Goessler, W; Francesconi, KA</t>
  </si>
  <si>
    <t>Grotti, Marco; Lagomarsino, Cristina; Goessler, Walter; Francesconi, Kevin A.</t>
  </si>
  <si>
    <t>Arsenic speciation in marine organisms from Antarctic coastal environments</t>
  </si>
  <si>
    <t>TERRA-NOVA BAY; SCALLOP ADAMUSSIUM-COLBECKI; TREMATOMUS-BERNACCHII; NOTOTHENIID FISH; SOUTHERN-OCEAN; ARSENOBETAINE; QUANTIFICATION; CONTAMINATION; VARIABILITY; NSW</t>
  </si>
  <si>
    <t>Antarctic coastal environments offer the unique opportunity to study elemental cycling under pristine conditions. We report arsenic species in various tissues from a range of Antarctic organisms collected from coastal environments, and compare our results with those from similar studies in temperate and tropical waters. The arsenic species were determined in aqueous methanol extracts of tissues (including muscle, liver, gonads and spleen) by HPLC/ICPMS. The major compounds were arsenobetaine and oxo-arsenosugars, with their relative proportions depending on the position of the organism in the food chain and, for some species, on the type of tissue analysed. Several minor compounds, such as dimethylarsinate, trimethylarsine oxide, trimethylarsoniopropionate and arsenocholine were also found; the concentrations of these arsenic species were significantly lower in muscle compared with the other tissues. The transfer of the arsenic through the Antarctic marine food web and the speciation patterns found in the organisms were similar to those reported for comparable organisms from other marine ecosystems. Our study supports the view that the high levels of arsenic occurring in various forms in marine samples is a natural phenomenon, and is little influenced by anthropogenic activities.</t>
  </si>
  <si>
    <t>[Grotti, Marco; Lagomarsino, Cristina] Univ Genoa, Dept Chem &amp; Ind Chem, I-16146 Genoa, Italy; [Goessler, Walter; Francesconi, Kevin A.] Karl Franzens Univ Graz, Inst Chem Analyt Chem, A-8010 Graz, Austria</t>
  </si>
  <si>
    <t>10.1071/EN09131</t>
  </si>
  <si>
    <t>WOS:000276894500009</t>
  </si>
  <si>
    <t>Xu, SQ; Xie, ZQ; Li, B; Liu, W; Sun, LG; Kang, H; Yang, HX; Zhang, PF</t>
  </si>
  <si>
    <t>Xu, Siqi; Xie, Zhouqing; Li, Bing; Liu, Wei; Sun, Liguang; Kang, Hui; Yang, Hongxia; Zhang, Pengfei</t>
  </si>
  <si>
    <t>Iodine speciation in marine aerosols along a 15000-km round-trip cruise path from Shanghai, China, to the Arctic Ocean</t>
  </si>
  <si>
    <t>iodate; iodide; sea ice</t>
  </si>
  <si>
    <t>ATMOSPHERIC AEROSOL; ORGANIC IODINE; BOUNDARY-LAYER; CHEMISTRY; BROMINE; EMISSIONS; SNOW; SEA</t>
  </si>
  <si>
    <t>Total iodine (TI) and water-soluble iodine species in the total suspended particle samples collected onboard a round-trip cruise from Shanghai, China to the Arctic Ocean were measured using inductively coupled plasma mass spectrometry and ion chromatography-inductively coupled plasma mass spectrometry respectively. TI and total soluble iodine (TSI) levels varied considerably both spatially and temporally over the length of the voyage. The maximum iodine levels occurred in the Arctic Ocean in September, whereas the minimum levels occurred in the Western and Northern Pacific Ocean in July. Iodate (IO3-) was found to be the dominant species in most samples, accounting for 57.8% of TSI on average, whereas iodide and soluble organic iodine only accounted for 16.8% of TSI on average. There was also a significant fraction of insoluble iodine. This finding confirms model predictions of atmospheric iodine speciation, i.e. the predominant iodine species is iodate rather than iodide.</t>
  </si>
  <si>
    <t>[Xu, Siqi; Xie, Zhouqing; Sun, Liguang; Kang, Hui] Univ Sci &amp; Technol China, Inst Polar Environm, Hefei 230026, Anhui, Peoples R China; [Li, Bing; Liu, Wei; Yang, Hongxia] Natl Res Ctr Geoanal, Beijing 100037, Peoples R China; [Zhang, Pengfei] CUNY City Coll, Dept Earth &amp; Atmospher Sci, New York, NY 10031 USA</t>
  </si>
  <si>
    <t>Chinese Academy of Sciences; University of Science &amp; Technology of China, CAS; City University of New York (CUNY) System; City College of New York (CUNY)</t>
  </si>
  <si>
    <t>Xie, ZQ (corresponding author), Univ Sci &amp; Technol China, Inst Polar Environm, Hefei 230026, Anhui, Peoples R China.</t>
  </si>
  <si>
    <t>zqxie@ustc.edu.cn</t>
  </si>
  <si>
    <t>Zhang, Pengfei/C-2264-2013; xie, zhouqing/P-9661-2019</t>
  </si>
  <si>
    <t>Zhang, Pengfei/0000-0002-1765-5965;</t>
  </si>
  <si>
    <t>China National Natural Science Foundation [40776001, 40773048]; Foundation for the Author of National Excellent Doctoral Dissertation of PR China [200354]; Ministry of Education of China; Chinese Academy of Sciences [KZCX2-YW-QN506]; Basic Scientific Research [2008CSJ01]; Chinese Arctic and Antarctic Administration; third China Arctic Research Expedition</t>
  </si>
  <si>
    <t>China National Natural Science Foundation(National Natural Science Foundation of China (NSFC)); Foundation for the Author of National Excellent Doctoral Dissertation of PR China(Foundation for the Author of National Excellent Doctoral Dissertation of China); Ministry of Education of China(Ministry of Education, China); Chinese Academy of Sciences(Chinese Academy of Sciences); Basic Scientific Research; Chinese Arctic and Antarctic Administration; third China Arctic Research Expedition</t>
  </si>
  <si>
    <t>This study was supported by the China National Natural Science Foundation (Grant No. 40776001 and No. 40773048), the Foundation for the Author of National Excellent Doctoral Dissertation of PR China (Grant 200354), the Ministry of Education of China and the Chinese Academy of Sciences (Grant KZCX2-YW-QN506) and Basic Scientific Research (No. 2008CSJ01). Fieldwork was supported by the Chinese Arctic and Antarctic Administration and the third China Arctic Research Expedition. The authors thank Jingjing Yu for sample analysis. The authors gratefully acknowledge the NOAA Air Resources Laboratory (ARL) for the provision of the HYSPLIT transport and dispersion model or READY website (www.ready.arl.noaa.gov) used in this publication.</t>
  </si>
  <si>
    <t>10.1071/EN10048</t>
  </si>
  <si>
    <t>663GV</t>
  </si>
  <si>
    <t>WOS:000282872300003</t>
  </si>
  <si>
    <t>Kukucka, P; Lammel, G; Dvorská, A; Klánová, J; Möller, A; Fries, E</t>
  </si>
  <si>
    <t>Kukucka, Petr; Lammel, Gerhard; Dvorska, Alice; Klanova, Jana; Moeller, Andrea; Fries, Elke</t>
  </si>
  <si>
    <t>Contamination of Antarctic snow by polycyclic aromatic hydrocarbons dominated by combustion sources in the polar region</t>
  </si>
  <si>
    <t>air pollution; Antarctica; GC-MS; long-range transport; SPME</t>
  </si>
  <si>
    <t>SOLID-PHASE MICROEXTRACTION; PERSISTENT ORGANIC POLLUTANTS; SEDIMENT PORE-WATER; KING GEORGE ISLAND; GAS-CHROMATOGRAPHY; ANTHROPOGENIC HYDROCARBONS; ADMIRALTY BAY; ICE; SURFACE; SULFUR</t>
  </si>
  <si>
    <t>Firn samples attributed to the period between 2002 and 2005 were collected from a snow pit on the Ekstrom Shelf Ice in the Weddell Sea (70 degrees 43.8'S, 8 degrees 25.1'W). Low-volume meltwater samples (5 mL) were extracted by solid-phase microextraction (SPME) and analysed for polycyclic aromatic hydrocarbons (PAHs) by gas chromatography-mass spectrometry. The recovery of the analytical method for the 4-6 ring PAHs was low. PAH concentrations in snow were found within the range of 26-197 ng L-1. The most prevailing substances were determined to be naphthalene, 1- and 2-methylnaphthalene, acenaphthylene, acenaphthene and phenanthrene, with naphthalene accounting for an overall mean of 82% of total PAH. Potential emission sources of PAHs in snow were studied using back-trajectory statistics and available emission data of combustion sources in and around Antarctica. The distance to the sources (ships and research stations) in this region was found to control the snow PAH concentrations. There was no indication for intercontinental transport or marine sources.</t>
  </si>
  <si>
    <t>[Kukucka, Petr; Lammel, Gerhard; Dvorska, Alice; Klanova, Jana] Masaryk Univ, Res Ctr Tox Cpds Environm, CZ-62500 Brno, Czech Republic; [Lammel, Gerhard] Max Planck Inst Chem, D-55128 Mainz, Germany; [Moeller, Andrea] Alfred Wegener Inst Polar &amp; Maritime Res, D-27568 Bremerhaven, Germany; [Fries, Elke] Univ Osnabruck, Inst Environm Syst Res, D-49076 Osnabruck, Germany</t>
  </si>
  <si>
    <t>Masaryk University Brno; Max Planck Society; Helmholtz Association; Alfred Wegener Institute, Helmholtz Centre for Polar &amp; Marine Research; University Osnabruck</t>
  </si>
  <si>
    <t>Lammel, G (corresponding author), Masaryk Univ, Res Ctr Tox Cpds Environm, Kamenice 3, CZ-62500 Brno, Czech Republic.</t>
  </si>
  <si>
    <t>lammel@recetox.muni.cz</t>
  </si>
  <si>
    <t>Dvorska, Alice/G-4491-2014; Lammel, Gerhard/ABE-1446-2021; Möller, Andrea/GNP-5183-2022; Kukucka, Petr/F-7064-2016; Klanova, Jana/H-1207-2012</t>
  </si>
  <si>
    <t>Lammel, Gerhard/0000-0003-2313-0628; Möller, Andrea/0000-0002-2345-1299; Klanova, Jana/0000-0002-8818-5307; Kukucka, Petr/0000-0003-1733-8334</t>
  </si>
  <si>
    <t>European Union [CZ.1.05/2.1.00/01.0001]; Ministry of Environment of the Czech Republic [SP/1B1/30/07]; European Commission [226534]</t>
  </si>
  <si>
    <t>European Union(European Union (EU)); Ministry of Environment of the Czech Republic; European Commission(European Union (EU)European Commission Joint Research Centre)</t>
  </si>
  <si>
    <t>We are grateful to Werner Haunold (University of Frankfurt) for construction of the sampling device, Rolf Weller (AWI) for snow gauge and snow density and ion chromatography data and to Hans Graf (Cambridge University) for emission data. The authors acknowledge the NOAA Air Resources Laboratory for providing the HYSPLIT model. This research received financial support from the CETOCOEN (CZ.1.05/2.1.00/01.0001) project granted by the European Union and administered by the Ministry of Education, Youth and Sports of the Czech Republic, the Ministry of Environment of the Czech Republic (SP/1B1/30/07) and by the European Commission (7th FWP R&amp;D 226534, ArcRisk, and ERASMUS program).</t>
  </si>
  <si>
    <t>10.1071/EN10066</t>
  </si>
  <si>
    <t>696UK</t>
  </si>
  <si>
    <t>WOS:000285466700003</t>
  </si>
  <si>
    <t>Cong, ZY; Kang, SC; Dong, SP; Liu, XD; Qin, DH</t>
  </si>
  <si>
    <t>Cong, Zhiyuan; Kang, Shichang; Dong, Shuping; Liu, Xiande; Qin, Dahe</t>
  </si>
  <si>
    <t>Elemental and individual particle analysis of atmospheric aerosols from high Himalayas</t>
  </si>
  <si>
    <t>ENVIRONMENTAL MONITORING AND ASSESSMENT</t>
  </si>
  <si>
    <t>Aerosols; Himalayas; Chemical composition; Individual particle analysis; SEM-EDX</t>
  </si>
  <si>
    <t>CHEMICAL-COMPOSITION; CHEMISTRY; AIR; CLIMATE; POLLUTION; SULFATE; STATION; EVEREST; CITY; SNOW</t>
  </si>
  <si>
    <t>Atmospheric aerosols were collected during the scientific expedition to Mt. Qomolangma (Everest) in May-June, 2005. The elemental concentrations of the aerosols were determined by inductively coupled plasma mass spectrometry. This yielded data for the concentration of 14 elements: Na, Mg, Al, K, Ca, Ti, V, Cr, Mn, Fe, Ni, Cu, Zn, and Pb. The mean elemental concentrations were generally comparable with those from central Asia and the Arctic, while much higher than those from Antarctic. Size, morphology, and chemical composition of 900 individual aerosol particles were determined by scanning electron microscopy and energy-dispersive X-ray microanalysis. Based on morphology and elemental composition, the particles were clustered into eight groups: soot (8%), tar ball (3%), alumosilicates/silica (55%), calcium sulfate (16%), Ca/Mg carbonate (2%), Fe/Ti-rich particles (3%), Pb-rich particles (1%), and biological particles (12%). The sampling site, located at 6,520 m in the Himalayas, is particularly remote and located at high altitude. Nonetheless, high aerosol enrichment factors for copper, chromium, lead, nickel, vanadium, and zinc all suggest the influence of long-range transported pollution, while enrichment in calcium and the presence of alumino-silicates in individual particle analyses indicates a distinct mineral dust influence. The backward air mass trajectories showed that the northwestern part of India may contribute to the atmospheric aerosol in the central high Himalayas.</t>
  </si>
  <si>
    <t>[Cong, Zhiyuan; Kang, Shichang] Chinese Acad Sci, Inst Tibetan Plateau Res, Beijing 100085, Peoples R China; [Kang, Shichang; Qin, Dahe] Chinese Acad Sci, State Key Lab Cryospher Sci, Lanzhou 730000, Peoples R China; [Dong, Shuping] Natl Ctr Environm Anal &amp; Measurements, Beijing 100029, Peoples R China; [Liu, Xiande] Chinese Res Inst Environm Sci, Beijing 100012, Peoples R China</t>
  </si>
  <si>
    <t>Chinese Academy of Sciences; Institute of Tibetan Plateau Research, CAS; Chinese Academy of Sciences; Chinese Research Academy of Environmental Sciences</t>
  </si>
  <si>
    <t>Kang, SC (corresponding author), Chinese Acad Sci, Inst Tibetan Plateau Res, 18 Shuangqing Rd, Beijing 100085, Peoples R China.</t>
  </si>
  <si>
    <t>Shichang.kang@itpcas.ac.cn</t>
  </si>
  <si>
    <t>丛, 志远/E-5237-2012; li, fei/JYP-3334-2024; cong, z/KCF-0053-2024; Kang, Shichang/I-6830-2018</t>
  </si>
  <si>
    <t>Kang, Shichang/0000-0003-2115-9005</t>
  </si>
  <si>
    <t>National Natural Science Foundation of China [40605034, 40771187, 40771877, 40830743]; National Basic Research Program of China [2005CB422004]; Chinese Academy of Sciences</t>
  </si>
  <si>
    <t>National Natural Science Foundation of China(National Natural Science Foundation of China (NSFC)); National Basic Research Program of China(National Basic Research Program of China); Chinese Academy of Sciences(Chinese Academy of Sciences)</t>
  </si>
  <si>
    <t>This study was supported by the National Natural Science Foundation of China (40605034, 40771187, 40771877, 40830743), the National Basic Research Program of China (2005CB422004), and the Knowledge Innovation Program of the Chinese Academy of Sciences. The authors also wish to thank the NOAA Air Resources Laboratory for the provision of the HYSPLIT model used in this publication. Special thanks are due to anonymous reviewers for their helpful comments on the manuscript.</t>
  </si>
  <si>
    <t>0167-6369</t>
  </si>
  <si>
    <t>1573-2959</t>
  </si>
  <si>
    <t>ENVIRON MONIT ASSESS</t>
  </si>
  <si>
    <t>Environ. Monit. Assess.</t>
  </si>
  <si>
    <t>10.1007/s10661-008-0698-3</t>
  </si>
  <si>
    <t>530TO</t>
  </si>
  <si>
    <t>WOS:000272615400027</t>
  </si>
  <si>
    <t>Anderson, ORJ; Phillips, RA; Shore, RF; McGill, RAR; McDonald, RA; Bearhop, S</t>
  </si>
  <si>
    <t>Anderson, O. R. J.; Phillips, R. A.; Shore, R. F.; McGill, R. A. R.; McDonald, R. A.; Bearhop, S.</t>
  </si>
  <si>
    <t>Element patterns in albatrosses and petrels: Influence of trophic position, foraging range, and prey type</t>
  </si>
  <si>
    <t>Elements; Procellariiformes; Trophic position; Diet; South Georgia</t>
  </si>
  <si>
    <t>HEAVY-METAL CONCENTRATIONS; STABLE-ISOTOPE SIGNATURES; WHITE-CHINNED PETRELS; SOUTH-ATLANTIC-OCEAN; NORTH PACIFIC-OCEAN; TRACE-ELEMENTS; FOOD-WEB; MERCURY CONCENTRATIONS; MARINE-ENVIRONMENT; SEABIRD COMMUNITY</t>
  </si>
  <si>
    <t>We investigated the concentrations of 22 essential and non-essential elements among a community of Procellariiformes (and their prey) to identify the extent to which trophic position and foraging range governed element accumulation. Stable isotope analysis (SIA) was used to characterise trophic (delta(15)N) and spatial patterns (delta(13)C) among species. Few consistent patterns were observed in element distributions among species and diet appeared to be highly influential in some instances. Arsenic levels in seabird red blood cells correlated with delta(15)N and delta(13)C, demonstrating the importance of trophic position and foraging range for arsenic distribution. Arsenic concentrations in prey varied significantly across taxa, and in the strength of association with delta(15)N values (trophic level). In most instances, element patterns in Procellariiformes showed the clearest separation among species, indicating that a combination of prey selection and other complex species-specific characteristics (e.g. moult patterns) were generally more important determining factors than trophic level per se. (C) 2009 Elsevier Ltd. All rights reserved</t>
  </si>
  <si>
    <t>[Anderson, O. R. J.; Bearhop, S.] Queens Univ Belfast, MBC, Sch Biol Sci, Belfast BT9 7BL, Antrim, North Ireland; [Phillips, R. A.] British Antarctic Survey, NERC, Cambridge CB3 0ET, England; [Shore, R. F.] Lancaster Environm Ctr, Ctr Ecol &amp; Hydrol, Lancaster LA1 4AP, England; [McGill, R. A. R.] Scottish Univ, Environm Res Ctr, E Kilbride G75 0QF, Lanark, Scotland; [McDonald, R. A.] Cent Sci Lab, York YO41 1LZ, N Yorkshire, England; [Bearhop, S.] Univ Exeter, Sch Biosci, Ctr Ecol &amp; Conservat, Penryn TR10 9EZ, England</t>
  </si>
  <si>
    <t>Queens University Belfast; UK Research &amp; Innovation (UKRI); Natural Environment Research Council (NERC); NERC British Antarctic Survey; Lancaster University; UK Centre for Ecology &amp; Hydrology (UKCEH); Scottish Universities Research &amp; Reactor Center; Food &amp; Environment Research Agency; University of Exeter</t>
  </si>
  <si>
    <t>Anderson, ORJ (corresponding author), Queens Univ Belfast, MBC, Sch Biol Sci, Lisburn Rd, Belfast BT9 7BL, Antrim, North Ireland.</t>
  </si>
  <si>
    <t>oanderson02@qub.ac.uk</t>
  </si>
  <si>
    <t>McDonald, Robbie A/A-2931-2012; Bond, Alexander L/A-3786-2010; McGill, Rona/F-1793-2010; McDonald, Robbie/AAK-2718-2020; McGill, Rona/JAC-6969-2023; Bearhop, Stuart/G-3105-2012; Shore, Richard/A-2638-2012</t>
  </si>
  <si>
    <t>McGill, Rona/0000-0003-0400-7288; McDonald, Robbie/0000-0002-6922-3195; Bearhop, Stuart/0000-0002-5864-0129; Shore, Richard/0000-0002-9337-8883</t>
  </si>
  <si>
    <t>NERC Life Sciences Stable Isotope Facility Grant; NERC [lsmsf010002, bas0100025] Funding Source: UKRI; Natural Environment Research Council [lsmsf010002, bas0100025, ceh010023] Funding Source: researchfish</t>
  </si>
  <si>
    <t>NERC Life Sciences Stable Isotope Facility Grant; NERC(UK Research &amp; Innovation (UKRI)Natural Environment Research Council (NERC)); Natural Environment Research Council(UK Research &amp; Innovation (UKRI)Natural Environment Research Council (NERC))</t>
  </si>
  <si>
    <t>Our thanks go to the many field workers on Bird Island, and to B. Phalan and D. Roberts in particular, for their efforts in collecting samples. We are grateful to the fisheries observers and field workers of King Edward Point, South Georgia for provision of fish samples and to A. Atkinson for his assistance in obtaining krill samples. O.A. was funded by a Dept. of Employment and Learning (DEL) grant. Stable isotope analyses were conducted at SUERC, East Kilbride with financial support from a NERC Life Sciences Stable Isotope Facility Grant. Element sample analyses were conducted at CEH Lancaster. We are particularly grateful to Gill Ainsworth for her time and assistance in the preparation and running of these samples, as well as for her tuition on the laboratory techniques.</t>
  </si>
  <si>
    <t>10.1016/j.envpol.2009.07.040</t>
  </si>
  <si>
    <t>539HQ</t>
  </si>
  <si>
    <t>WOS:000273245000013</t>
  </si>
  <si>
    <t>Martins, CC; Bícego, MC; Rose, NL; Taniguchi, S; Lourenço, RA; Figueira, RCL; Mahiques, MM; Montone, RC</t>
  </si>
  <si>
    <t>Martins, Cesar C.; Bicego, Marcia C.; Rose, Neil L.; Taniguchi, Satie; Lourenco, Rafael A.; Figueira, Rubens C. L.; Mahiques, Michel M.; Montone, Rosalinda C.</t>
  </si>
  <si>
    <t>Historical record of polycyclic aromatic hydrocarbons (PAHs) and spheroidal carbonaceous particles (SCPs) in marine sediment cores from Admiralty Bay, King George Island, Antarctica</t>
  </si>
  <si>
    <t>Antarctica; Fly-ash; Hydrocarbons; Sediments</t>
  </si>
  <si>
    <t>SOUTH SHETLAND ISLANDS; FRASER-RIVER BASIN; LAKE-SEDIMENTS; FLY-ASH; VERTICAL-DISTRIBUTION; ORGANIC POLLUTANTS; HEAVY-METALS; CS-137; SOIL; PENINSULA</t>
  </si>
  <si>
    <t>This paper describes the first results of polycyclic aromatic hydrocarbons (PAHs) and spheroidal carbonaceous particles (SCPs) in sediment cores of Admiralty Bay, Antarctica. These markers were used to assess the local input of anthropogenic materials (particulate and organic compounds) as a result of the influence of human occupation in a sub-Antarctic region and a possible long-range atmospheric transport of combustion products from sources in South America. The highest SCPs and PAHs concentrations were observed during the last 30 years, when three research stations were built in the area and industrial activities in South America increased. The concentrations of SCPs and PAHs were much lower than those of other regions in the northern hemisphere and other reported data for the southern hemisphere. The PAH isomer ratios showed that the major sources of PAHs are fossil fuels/petroleum, biomass combustion and sewage contribution generally close to the Brazilian scientific station. (C) 2009 Elsevier Ltd. All rights reserved.</t>
  </si>
  <si>
    <t>[Martins, Cesar C.] Univ Fed Parana, Ctr Estudos Mar, BR-83255000 Pontal Do Parana, PR, Brazil; [Bicego, Marcia C.; Taniguchi, Satie; Lourenco, Rafael A.; Figueira, Rubens C. L.; Mahiques, Michel M.; Montone, Rosalinda C.] Univ Sao Paulo, Inst Oceanog, BR-05508120 Sao Paulo, Brazil; [Rose, Neil L.] UCL, Environm Change Res Ctr, London WC1E 6BT, England</t>
  </si>
  <si>
    <t>Universidade Federal do Parana; Universidade de Sao Paulo; University of London; University College London</t>
  </si>
  <si>
    <t>Martins, CC (corresponding author), Univ Fed Parana, Ctr Estudos Mar, Caixa Postal 50-002, BR-83255000 Pontal Do Parana, PR, Brazil.</t>
  </si>
  <si>
    <t>ccmart@ufpr.br</t>
  </si>
  <si>
    <t>Figueira, Rubens/AAC-1045-2022; Mahiques, Michel/D-1526-2010; Rose, Neil L/C-5739-2008; Figueira, Rubens RCL/C-5958-2013; de Castro Martins, Cesar C/I-1086-2012; Lourenço, Rafael André/I-7041-2015; Bicego, Marcia C/D-1996-2013; Montone, Rosalinda C/J-9110-2012; Lourenço, Rafael/IZD-8070-2023; Taniguchi, Satie/D-2552-2013</t>
  </si>
  <si>
    <t>Figueira, Rubens/0000-0001-8945-4540; Mahiques, Michel/0000-0002-5249-5610; Lourenço, Rafael André/0000-0002-1446-5074; Rose, Neil/0000-0002-5697-7334; de Castro Martins, Cesar/0000-0002-2515-5565; Taniguchi, Satie/0000-0002-6825-6390; Bicego, Marcia/0000-0002-9939-9853</t>
  </si>
  <si>
    <t>CNPq (Brazilian National Council for Scientific and Technological Development) [154938/2006-8, 557306/2005-1]</t>
  </si>
  <si>
    <t>CNPq (Brazilian National Council for Scientific and Technological Development)(Conselho Nacional de Desenvolvimento Cientifico e Tecnologico (CNPQ))</t>
  </si>
  <si>
    <t>C.C. Martins wishes to thank CNPq (Brazilian National Council for Scientific and Technological Development) for the Post-Ph.D. Grant (154938/2006-8), Dr. Simon Tuner (Environmental Change Research Centre, University College of London) for help with SCP analysis, Lourival Pereira de Souza from Institutc, Oceanogrsfico, Universidade de Sao Paulo for help with PAH analyses, Mylene Gisele do Nascimento for help with the cesium analyses and three anonymous reviewers for their comments on the manuscript. This research forms part of the project Historic evolution of the human activities based on indicators of burning of fossil fuels in sediment of the Admiralty Bay, King George Island, Antarctic Peninsula. (CNPq 557306/2005-1) coordinated by Prof. Dr. R. C. Montone. The authors express their gratitude to the Ferraz station staff and scuba diver Marta Markowka from the Polish station for their assistance in the collection of samples.</t>
  </si>
  <si>
    <t>10.1016/j.envpol.2009.07.025</t>
  </si>
  <si>
    <t>WOS:000273245000026</t>
  </si>
  <si>
    <t>Antony, R; Thamban, M; Krishnan, KP; Mahalinganathan, K</t>
  </si>
  <si>
    <t>Antony, Runa; Thamban, Meloth; Krishnan, K. P.; Mahalinganathan, K.</t>
  </si>
  <si>
    <t>Is cloud seeding in coastal Antarctica linked to bromine and nitrate variability in snow?</t>
  </si>
  <si>
    <t>ENVIRONMENTAL RESEARCH LETTERS</t>
  </si>
  <si>
    <t>bromide; methanesulfonate; snow; nitrate; algae; Antarctica</t>
  </si>
  <si>
    <t>CENTRAL ARCTIC-OCEAN; BOUNDARY-LAYER; ATMOSPHERIC SULFUR; SURFACE MICROLAYER; MARINE ATMOSPHERE; WINDMILL ISLANDS; ICE ALGAE; CHEMISTRY; SUMMER; PHYTOPLANKTON</t>
  </si>
  <si>
    <t>Considering the significance of methanesulfonate (MSA) in the sulfur cycle and global climate, we analyzed MSA and other ionic species in snow from the coastal Larsemann Hills, East Antarctica. MSA concentrations recorded were high (0.58 +/- 0.7 mu M) with ice-cap regions showing significantly higher concentrations (df = 10, p &lt; 0.001) than ice-free regions. High nutrient concentration in ice-cap snow appears to have favored algal growth (7.6 x 10(2) cells l(-1)) with subsequent production of brominated compounds. The consequent elevated Br- (3.2 +/- 2.2 mu M) in the ice-cap region could result in the release of Br atoms through photoactivated reactions on aerosols and the snow surface. Activated Br atoms in the atmosphere could react with ozone leading to BrO enhancement with subsequent dimethylsulfide (DMS) oxidation and production of sulfur aerosols. Since BrO based DMS oxidation is much faster than the OH/NO3 pathway, elevated Br- in ice-cap snow could contribute more than ice-free sites towards formation of cloud condensation nuclei at the expense of ozone.</t>
  </si>
  <si>
    <t>[Antony, Runa; Thamban, Meloth; Krishnan, K. P.; Mahalinganathan, K.] Natl Ctr Antarctic &amp; Ocean Res, Vasco Da Gama 403804, Goa, India</t>
  </si>
  <si>
    <t>Ministry of Earth Sciences (MoES) - India; National Centre for Polar and Ocean Research (NCPOR)</t>
  </si>
  <si>
    <t>Antony, R (corresponding author), Natl Ctr Antarctic &amp; Ocean Res, Vasco Da Gama 403804, Goa, India.</t>
  </si>
  <si>
    <t>runa@ncaor.org</t>
  </si>
  <si>
    <t>P, Krishnan K/ABF-8783-2020</t>
  </si>
  <si>
    <t>, K. P. Krishnan/0000-0003-1101-657X; Antony, Runa/0000-0003-4829-4207; Kanthanathan, Mahalinganathan/0000-0003-3407-3972; Thamban, Meloth/0000-0003-3379-8189</t>
  </si>
  <si>
    <t>1748-9326</t>
  </si>
  <si>
    <t>ENVIRON RES LETT</t>
  </si>
  <si>
    <t>Environ. Res. Lett.</t>
  </si>
  <si>
    <t>10.1088/1748-9326/5/1/014009</t>
  </si>
  <si>
    <t>575VR</t>
  </si>
  <si>
    <t>WOS:000276097900010</t>
  </si>
  <si>
    <t>Bulygina, ON; Groisman, PY; Razuvaev, VN; Radionov, VF</t>
  </si>
  <si>
    <t>Bulygina, Olga N.; Groisman, Pavel Ya; Razuvaev, Vyacheslav N.; Radionov, Vladimir F.</t>
  </si>
  <si>
    <t>Snow cover basal ice layer changes over Northern Eurasia since 1966</t>
  </si>
  <si>
    <t>snow cover; basal ice crust; Northern Eurasia; climate change</t>
  </si>
  <si>
    <t>An analysis is made of changes in basal ice crust layer characteristics from snow cover surveys made at 958 Russian stations since 1966. The analysis revealed that substantial changes have occurred in response to two competing processes: an increase in thaws associated with strong regional warming and an increase in the duration of the basal ice layer presence on the ground, and a shortening of the snowmelt period associated with a decrease in basal ice layer event frequency and severity. The latter appears to be the more significant process over the past 40 years. Our findings support the notion that the entire spring snowmelt process has become shorter in duration and more intense when taking into account a concomitant trend toward increasing snow depths over large regions of Russia. A more intense spring melt period has important consequences for spring flood dynamics and deserves further study.</t>
  </si>
  <si>
    <t>[Bulygina, Olga N.; Razuvaev, Vyacheslav N.] All Russian Res Inst Hydrometeorol Informat, World Data Ctr, Obninsk, Russia; [Groisman, Pavel Ya] NOAA, Univ Corp Atmospher Res, Natl Climat Data Ctr, Asheville, NC USA; [Radionov, Vladimir F.] Arctic &amp; Antarctic Res Inst, St Petersburg 199226, Russia</t>
  </si>
  <si>
    <t>National Oceanic Atmospheric Admin (NOAA) - USA; National Center Atmospheric Research (NCAR) - USA; Arctic &amp; Antarctic Research Institute</t>
  </si>
  <si>
    <t>Bulygina, ON (corresponding author), All Russian Res Inst Hydrometeorol Informat, World Data Ctr, Obninsk, Russia.</t>
  </si>
  <si>
    <t>bulygina@meteo.ru; Pasha.Groisman@noaa.gov; razuvaev@meteo.ru; vradion@aari.ru</t>
  </si>
  <si>
    <t>Groisman, Pavel Y/C-8145-2016; Bulygina, Olga/H-1251-2016; Radionov, Vladimir F./O-3038-2017</t>
  </si>
  <si>
    <t>Groisman, Pavel/0000-0001-6255-324X</t>
  </si>
  <si>
    <t>Swedish Academy of Sciences (Abisco Science Research Station), Russian World Data Center for Hydrometeorological Information, Obninsk, Russia; NOAA Climate Program Office, Washington, DC, USA</t>
  </si>
  <si>
    <t>Swedish Academy of Sciences (Abisco Science Research Station), Russian World Data Center for Hydrometeorological Information, Obninsk, Russia; NOAA Climate Program Office, Washington, DC, USA(National Oceanic Atmospheric Admin (NOAA) - USA)</t>
  </si>
  <si>
    <t>This study was conducted with the support of the Swedish Academy of Sciences (Abisco Science Research Station), Russian World Data Center for Hydrometeorological Information, Obninsk, Russia, and the NOAA Climate Program Office, Washington, DC, USA.</t>
  </si>
  <si>
    <t>10.1088/1748-9326/5/1/015004</t>
  </si>
  <si>
    <t>WOS:000276097900027</t>
  </si>
  <si>
    <t>Sodeau, J</t>
  </si>
  <si>
    <t>Sodeau, John</t>
  </si>
  <si>
    <t>Snow matters in the polar regions</t>
  </si>
  <si>
    <t>ANTARCTIC BOUNDARY-LAYER; OZONE; FORMALDEHYDE; BROMINE; IMPACT; ION; NOX</t>
  </si>
  <si>
    <t>[Sodeau, John] Natl Univ Ireland Univ Coll Cork, Dept Chem, Cork, Ireland; [Sodeau, John] Natl Univ Ireland Univ Coll Cork, Environm Res Inst, Cork, Ireland</t>
  </si>
  <si>
    <t>University College Cork; University College Cork</t>
  </si>
  <si>
    <t>Sodeau, J (corresponding author), Natl Univ Ireland Univ Coll Cork, Dept Chem, Cork, Ireland.</t>
  </si>
  <si>
    <t>j.sodeau@ucc.ie</t>
  </si>
  <si>
    <t>Sodeau, John/IAM-0533-2023</t>
  </si>
  <si>
    <t>10.1088/1748-9326/5/1/011001</t>
  </si>
  <si>
    <t>WOS:000276097900001</t>
  </si>
  <si>
    <t>Blas, M; Cichala-Kamrowska, K; Sobik, M; Polkowska, Z; Namiesnik, J</t>
  </si>
  <si>
    <t>Blas, Marek; Cichala-Kamrowska, Katarzyna; Sobik, Mieczyslaw; Polkowska, Zaneta; Namiesnik, Jacek</t>
  </si>
  <si>
    <t>Conditions controlling atmospheric pollutant deposition via snowpack</t>
  </si>
  <si>
    <t>ENVIRONMENTAL REVIEWS</t>
  </si>
  <si>
    <t>wash-out; snow chemistry; snow cover; ionic pulse; pollutant deposition</t>
  </si>
  <si>
    <t>POLYCYCLIC AROMATIC-HYDROCARBONS; SEMIVOLATILE ORGANIC-COMPOUNDS; SOLID-PHASE EXTRACTION; CLOUD-WATER CHEMISTRY; SHORT-TERM VARIATIONS; WIND-INDUCED ERROR; CHEMICAL-COMPOSITION; ANTARCTIC SNOW; TRACE-ELEMENTS; MASS-SPECTROMETRY</t>
  </si>
  <si>
    <t>Solid precipitation represents a potentially important addition to other measures of deposition. However, an accurate estimate of snowfall amount and pollutant loading is not a trivial matter. There are obvious distinctions between regular precipitation collection and snowpack sampling that represent the cumulative chemistry of bulk deposition. The main goal is to show the most important processes and factors that may influence the rate and magnitude of pollutants deposition affected by the snowfall and snow cover: atmospheric pollutant enhancement of snowfall, pollutants deposition at snow cover surface, drifting and blowing snow, formation of the snow cover and its internal changes, as well as pollutants flow through the snowpack. These phenomena lead to continuous changes in the chemistry of the snow cover and the deposition calculated on the basis of pollutants concentrations in daily portions of atmospheric precipitation. The real deposition released from snowpack is strictly related to the number and depth of thaw episodes. If the amount of stored pollutants is large, first portions of ablation water flushing from the snowpack can carry the load of pollutants, and potentially affecting the environment in a detrimental way. Igneous bedrock is especially sensitive to acidic ions because of its low buffering capacity.</t>
  </si>
  <si>
    <t>[Cichala-Kamrowska, Katarzyna; Polkowska, Zaneta; Namiesnik, Jacek] Gdansk Univ Technol, Dept Analyt Chem, Fac Chem, PL-80233 Gdansk, Poland; [Blas, Marek; Sobik, Mieczyslaw] Univ Wroclaw, Dept Climatol &amp; Atmospher Protect, Inst Geog &amp; Reg Dev, PL-51670 Wroclaw, Poland</t>
  </si>
  <si>
    <t>Fahrenheit Universities; Gdansk University of Technology; University of Wroclaw</t>
  </si>
  <si>
    <t>Cichala-Kamrowska, K (corresponding author), Gdansk Univ Technol, Dept Analyt Chem, Fac Chem, 11-12 G Narutowicza St, PL-80233 Gdansk, Poland.</t>
  </si>
  <si>
    <t>katarzyna.cichala@wp.pl</t>
  </si>
  <si>
    <t>Polkowska, Zaneta/AAA-3578-2020</t>
  </si>
  <si>
    <t>Blas, Marek/0000-0002-3928-5950; Namiesnik, Jacek/0000-0001-9598-2198; Polkowska, Zaneta/0000-0002-2730-0068; Sobik, Mieczyslaw/0000-0003-3806-2170</t>
  </si>
  <si>
    <t>Committee on Scientific Research [N N305 373438]</t>
  </si>
  <si>
    <t>Committee on Scientific Research</t>
  </si>
  <si>
    <t>This work was financially supported by Grant No. N N305 373438 from the Committee on Scientific Research.</t>
  </si>
  <si>
    <t>1208-6053</t>
  </si>
  <si>
    <t>1181-8700</t>
  </si>
  <si>
    <t>ENVIRON REV</t>
  </si>
  <si>
    <t>Environ. Rev.</t>
  </si>
  <si>
    <t>10.1139/A10-003</t>
  </si>
  <si>
    <t>699RL</t>
  </si>
  <si>
    <t>WOS:000285680400005</t>
  </si>
  <si>
    <t>Zhu, GH; Ohtani, S; Hu, CY; He, JF</t>
  </si>
  <si>
    <t>Warren, H</t>
  </si>
  <si>
    <t>Zhu Genhai; Ohtani, Shuji; Hu Chuanyu; He Jianfeng</t>
  </si>
  <si>
    <t>Study on the Impact of Water Temperature Change on Antarctic Freshwater Algae</t>
  </si>
  <si>
    <t>ENVIRONMENTAL SCIENCE AND ENGINEERING</t>
  </si>
  <si>
    <t>Advanced Engineering Research</t>
  </si>
  <si>
    <t>SREE Conference on Environmental Science and Engineering, CESE 2010</t>
  </si>
  <si>
    <t>NOV 06-07, 2010</t>
  </si>
  <si>
    <t>Soc Resources Environm &amp; Engn, Hong Kong, JAPAN</t>
  </si>
  <si>
    <t>Soc Resources Environm &amp; Engn</t>
  </si>
  <si>
    <t>Antarctica; Larsemann Hills; Fildes Peninsula; Global climate change; Freshwater algae</t>
  </si>
  <si>
    <t>PLANKTON; LAKES</t>
  </si>
  <si>
    <t>The Chinese Great Wall Station (58 degrees 57'52 '' W, 62 degrees 12'59 '' S) lies in the southwest end of the Fildes Peninsula, West Antarctica, and the Chinese Zhongshan Station(76 degrees 22'40 '' E, 69 degrees 22'24 '' S) is located in the north end of the Mirror Peninsula, Larsemann Hills, East Antarctica. The distance between the two stations is 4980 km. In 1982-2008, field investigations were carried out which mainly included lakes and snows around the two stations. Abundant species have been identified; they are Hantzschia amphioxys, Luticola mutica, Lutiola muticopsis, Aphanocapsa elachista, Chroococcus minimus, Phormidium frigidum, Lyngbya Gloecapsa ralfsiana, Phormidium Chlamydomonas nivalis, Pleurococcus antarcticus, Synechococcus elongates and Scotiella antarctica. Climate change will affect species abundance and population structure. The Regression analysis showed that the cell abundance of nano- and microalgae was in a remarkable positive correlation with the water temperature, but in a remarkable negative correlation with Phosphate and Nitrate. Antarctic climate change reflects the changes in lake characteristics of algae communities.</t>
  </si>
  <si>
    <t>[Zhu Genhai; Hu Chuanyu] SOA, Inst Oceanog 2, Key Lab Marine Ecosyst &amp; Biogeochem, Hangzhou 310012, Zhejiang, Peoples R China; [Ohtani, Shuji] Shimane Univ, Dept Biol, Fac Educ, Matsue, Shimane 690, Japan; [He Jianfeng] SOA, Polar Res Inst China, Key Lab Polar Sci, Shanghai 200136, Peoples R China</t>
  </si>
  <si>
    <t>Ministry of Natural Resources of the People's Republic of China; Second Institute of Oceanography, Ministry of Natural Resources; Shimane University; Polar Research Institute of China</t>
  </si>
  <si>
    <t>Zhu, GH (corresponding author), SOA, Inst Oceanog 2, Key Lab Marine Ecosyst &amp; Biogeochem, Hangzhou 310012, Zhejiang, Peoples R China.</t>
  </si>
  <si>
    <t>National Natural Science Foundation of China [40876105]; Key Project in the National Pillar Program [2006BAB18B04]; Project with Special Operating Expense for Basic Scientific Research [JT0706]; Project of the Chinese Polar Scientific Strategic Research; Polar Program Office of the State Oceanic Administration</t>
  </si>
  <si>
    <t>National Natural Science Foundation of China(National Natural Science Foundation of China (NSFC)); Key Project in the National Pillar Program; Project with Special Operating Expense for Basic Scientific Research; Project of the Chinese Polar Scientific Strategic Research; Polar Program Office of the State Oceanic Administration</t>
  </si>
  <si>
    <t>The work was supported by the National Natural Science Foundation of China (Grant No. 40876105), the Key Project in the National Pillar Program (Grant No. 2006BAB18B04), the Project with Special Operating Expense for Basic Scientific Research (Grant No. JT0706), and the Funded Project of the Chinese Polar Scientific Strategic Research and Funded by the Polar Program Office of the State Oceanic Administration.</t>
  </si>
  <si>
    <t>SOCIETY RESOURCES ENVIRONMENT &amp; ENGINEERING</t>
  </si>
  <si>
    <t>145-157 ST JOHN ST, LONDON, EC1V 4PW, ENGLAND</t>
  </si>
  <si>
    <t>2045-8339</t>
  </si>
  <si>
    <t>978-1-908074-01-0</t>
  </si>
  <si>
    <t>ADV ENG RES</t>
  </si>
  <si>
    <t>BVT36</t>
  </si>
  <si>
    <t>WOS:000292709700007</t>
  </si>
  <si>
    <t>Fattorini, D; Notti, A; Nigro, M; Regoli, F</t>
  </si>
  <si>
    <t>Fattorini, Daniele; Notti, Alessandra; Nigro, Marco; Regoli, Francesco</t>
  </si>
  <si>
    <t>Hyperaccumulation of vanadium in the Antarctic polychaete Perkinsiana littoralis as a natural chemical defense against predation</t>
  </si>
  <si>
    <t>ENVIRONMENTAL SCIENCE AND POLLUTION RESEARCH</t>
  </si>
  <si>
    <t>Trace metals; Vanadium; Hyperaccumulation; Chemical defenses; Polychaetes; Perkinsiana littoralis; Antarctica</t>
  </si>
  <si>
    <t>ASCIDIA-SYDNEIENSIS-SAMEA; TERRA-NOVA BAY; SABELLA-SPALLANZANII; TRACE-METALS; PSEUDOPOTAMILLA-OCCELATA; NEREIS-DIVERSICOLOR; OXIDATIVE STRESS; BINDING PROTEIN; MARINE; ACCUMULATION</t>
  </si>
  <si>
    <t>Exceptionally high levels of trace metals have been reported in specific tissues of certain polychaetes. In the present study, the Antarctic fan worm Perkinsiana littoralis was shown to hyperaccumulate vanadium in the branchial tissues, and the hypothesis of an antipredatory strategy has been investigated Trace metals (Ag, Al, As, Ba, Cd, Co, Cr, Cu, Fe, Hg, Mn, Ni, Pb, Se, V, Zn) were measured by atomic absorption spectrophotometry in tissues of P. littoralis and, only for V, in two Antarctic bivalves and in various Mediterranean polychaetes. Subcellular distribution of vanadium was investigated in P. littoralis after differential centrifugations; feeding trials with the Antarctic rock cod Trematomus berancchii were performed to test the palatability of P. littoralis Analyses of trace metals in tissues of P. littoralis confirmed the naturally high bioavailability of cadmium due to upwelling phenomena in the investigated area and revealed extremely high concentrations of vanadium up to 10,000 A mu g/g, in the branchial crowns; much lower concentrations were measured in the body portions and even less in the Antarctic bivalves and in Mediterranean polychaetes. The subcellular distribution indicated that this metal was associated in branchial crowns with both heavy components and vanadium binding proteins; the latter predominated in body tissues, although with a different pattern of molecular weight. Feeding trials suggested that the elevated levels of vanadium in branchial crown of P. littoralis act as chemical deterrents against predation in more exposed tissues The hyperaccumulation of toxic metals might represent a common antipredatory strategy for unpalatable branchial crowns of sabellid polychaetes, as recently hypothesized also for the high concentrations of arsenic in the Mediterranean Sabella spallanzanii. The evolution of such adaptation and the reasons behind the possibility for different species to accumulate different metals represent a stimulating field of investigation for future studies.</t>
  </si>
  <si>
    <t>[Fattorini, Daniele; Notti, Alessandra; Regoli, Francesco] Univ Politecn Marche, Dipartimento Biochim Biol &amp; Genet, I-60131 Ancona, Italy; [Nigro, Marco] Univ Pisa, Dipartimento Morfol Umana &amp; Biol Applicata, Pisa, Italy</t>
  </si>
  <si>
    <t>Regoli, F (corresponding author), Univ Politecn Marche, Dipartimento Biochim Biol &amp; Genet, Via Ranieri Montedago 65, I-60131 Ancona, Italy.</t>
  </si>
  <si>
    <t>Fattorini, Daniele/A-2969-2010; Regoli, Francesco/K-2719-2018</t>
  </si>
  <si>
    <t>Fattorini, Daniele/0000-0002-5847-4722; Regoli, Francesco/0000-0001-6084-6188</t>
  </si>
  <si>
    <t>0944-1344</t>
  </si>
  <si>
    <t>1614-7499</t>
  </si>
  <si>
    <t>ENVIRON SCI POLLUT R</t>
  </si>
  <si>
    <t>Environ. Sci. Pollut. Res.</t>
  </si>
  <si>
    <t>10.1007/s11356-009-0243-0</t>
  </si>
  <si>
    <t>540DN</t>
  </si>
  <si>
    <t>WOS:000273311100023</t>
  </si>
  <si>
    <t>Heller, MI; Croot, PL</t>
  </si>
  <si>
    <t>Heller, Maija I.; Croot, Peter L.</t>
  </si>
  <si>
    <t>Superoxide Decay Kinetics in the Southern Ocean</t>
  </si>
  <si>
    <t>HYDROGEN-PEROXIDE; ANTARCTIC WATERS; PHOTOCHEMICAL PRODUCTION; CHATTONELLA-MARINA; COASTAL WATERS; SURFACE WATERS; NATURAL-WATERS; SEA-WATER; SEAWATER; IRON</t>
  </si>
  <si>
    <t>Measurements of superoxide (O(2)(-)) reaction kinetics were made during a transect with the research icebreaker Polarstern (ANT24-3) in the Antarctic through the Drake Passage in austral autumn 2008. Our sampling strategy was designed to investigate the sinks of superoxide in Polar waters; principally through reactions with dissolved organic matter (DOM) or metals (copper and iron). We modified an existing chemiluminescence flow injection system using methyl Cypridina luciferin analog (MCLA) for the detection of O(2)(-) and added O(2)(-) using KO(2) as the source. Our results indicate that O(2)(-) in ambient seawater had a half-life ranging from 9.3 to 194 s. DTPA additions to seawater, to remove the effects of reactions with metals, revealed O(2)(-) decay rates consistent with a second order reaction, indicating that the dismutation reaction dominated and that reactions with DOM were not significant. Titrations of seawater by the addition of nanomolar amounts of iron or copper revealed the importance of organic chelation of Fe and/or Cu in controlling the reactivity with O(2)(-). Throughout the water column reactions with Cu appeared to be the major sink for superoxide in the Southern Ocean. This new strategy suggests an alternative approach for speciation measurements of Fe and Cu in seawater.</t>
  </si>
  <si>
    <t>[Heller, Maija I.; Croot, Peter L.] Leibniz Inst Meereswisschaften IFM GEOMAR, Marine Biogeochem FB2, D-24105 Kiel, Germany</t>
  </si>
  <si>
    <t>Helmholtz Association; GEOMAR Helmholtz Center for Ocean Research Kiel</t>
  </si>
  <si>
    <t>Croot, PL (corresponding author), Leibniz Inst Meereswisschaften IFM GEOMAR, Marine Biogeochem FB2, D-24105 Kiel, Germany.</t>
  </si>
  <si>
    <t>pcroot@ifm-geomar.de</t>
  </si>
  <si>
    <t>Croot, Peter/U-5296-2019; Croot, Peter/C-8460-2009; Heller, Maija I/AAU-4901-2020</t>
  </si>
  <si>
    <t>Croot, Peter/0000-0003-1396-0601; Heller, Maija I/0000-0002-1258-8660</t>
  </si>
  <si>
    <t>DFG [SPP 1158, CR145/10-1]</t>
  </si>
  <si>
    <t>We gratefully acknowledge the officers and crew of the P.S. Polarstern whose help and cooperation made this work possible. Special thanks also to the chief scientist Prof. Eberhard Fahrbach (AM) for making our participation possible. Shipboard work was only possible with the help of the onboard NIOZ team led by Hein de Baar, and our IFM-GEOMAR colleagues Oliver Baars and Katrin Bluhrn. Thanks also to Peter Streu (IFM-GEOMAR) for the laboratory analysis in Kiel. The comments of Dr. Andrew Rose and two anonymous-reviewers are gratefully appreciated in helping to improve this manuscript. This work is a contribution to IPY GEOTRACES and was financed by the DFG Antarctic Program (SPP 1158) via a grant to P.C. (CR145/10-1).</t>
  </si>
  <si>
    <t>JAN 1</t>
  </si>
  <si>
    <t>10.1021/es901766r</t>
  </si>
  <si>
    <t>539PB</t>
  </si>
  <si>
    <t>WOS:000273267000034</t>
  </si>
  <si>
    <t>Margesin, R; Feller, G</t>
  </si>
  <si>
    <t>Margesin, Rosa; Feller, Georges</t>
  </si>
  <si>
    <t>Biotechnological applications of psychrophiles</t>
  </si>
  <si>
    <t>ENVIRONMENTAL TECHNOLOGY</t>
  </si>
  <si>
    <t>psychrophiles; bioremediation; cold-active enzymes; heat inactivation; biomolecules</t>
  </si>
  <si>
    <t>COLD-ADAPTED BACTERIUM; ALKALINE-PHOSPHATASE; ANTARCTIC BACTERIA; FAMILY-8 XYLANASE; ESCHERICHIA-COLI; TEMPERATURE; ADAPTATION; EXPRESSION; BIOREMEDIATION; STABILITY</t>
  </si>
  <si>
    <t>Low temperature environments are numerous on Earth and have been successfully colonized by cold-loving organisms termed psychrophiles. Cold-adapted microorganisms can be used as cell factories for the production of unstable compounds as well as for bioremediation of polluted cold soils and wastewaters. Furthermore, their biomolecules, mainly proteins and enzymes characterized by a high catalytic activity and pronounced heat-lability, have already found useful applications in various domains such as molecular biology, medical research, industrial food or feed technologies, detergents or cosmetics.</t>
  </si>
  <si>
    <t>[Feller, Georges] Univ Liege, Biochem Lab, Ctr Prot Engn, Liege, Belgium; [Margesin, Rosa] Univ Innsbruck, Inst Microbiol, A-6020 Innsbruck, Austria</t>
  </si>
  <si>
    <t>University of Liege; University of Innsbruck</t>
  </si>
  <si>
    <t>European Union; Region wallonne (Belgium); Fonds National de la Recherche Scientifique (Belgium); Autonome Provinz Bozen/Sudtirol; Universities of Liege (Belgium); Innsbruck (Austria)</t>
  </si>
  <si>
    <t>European Union(European Union (EU)); Region wallonne (Belgium); Fonds National de la Recherche Scientifique (Belgium)(Fonds de la Recherche Scientifique - FNRS); Autonome Provinz Bozen/Sudtirol; Universities of Liege (Belgium); Innsbruck (Austria)</t>
  </si>
  <si>
    <t>Research at the authors' laboratories was supported by the European Union, the Region wallonne (Belgium), the Fonds National de la Recherche Scientifique (Belgium), the Autonome Provinz Bozen/Sudtirol and the Universities of Liege (Belgium) and Innsbruck (Austria). The facilities offered by the Institut Polaire Francais are also acknowledged.</t>
  </si>
  <si>
    <t>0959-3330</t>
  </si>
  <si>
    <t>1479-487X</t>
  </si>
  <si>
    <t>ENVIRON TECHNOL</t>
  </si>
  <si>
    <t>Environ. Technol.</t>
  </si>
  <si>
    <t>8-9</t>
  </si>
  <si>
    <t>PII 923051902</t>
  </si>
  <si>
    <t>10.1080/09593331003663328</t>
  </si>
  <si>
    <t>611AC</t>
  </si>
  <si>
    <t>WOS:000278781700003</t>
  </si>
  <si>
    <t>Wilson, SL; Walker, VK</t>
  </si>
  <si>
    <t>Wilson, Sandra L.; Walker, Virginia K.</t>
  </si>
  <si>
    <t>Selection of low-temperature resistance in bacteria and potential applications</t>
  </si>
  <si>
    <t>antifreeze proteins; freeze-thaw stress; ice-affinity; ice-nucleation proteins; osmotic stress</t>
  </si>
  <si>
    <t>FREEZE-THAW DAMAGE; ICE NUCLEATION ACTIVITY; PSEUDOMONAS-PUTIDA GR12-2; RIBOSOMAL-RNA SEQUENCES; COLD SHOCK RESPONSE; ESCHERICHIA-COLI; ANTIFREEZE PROTEIN; SACCHAROMYCES-CEREVISIAE; ANTARCTIC BACTERIUM; ERWINIA-HERBICOLA</t>
  </si>
  <si>
    <t>Microbial consortia may harbour an array of resistance mechanisms that facilitate survival under harsh conditions, including antifreeze and ice-nucleation proteins. Antifreeze proteins lower freezing points as well as inhibit the growth of large, potentially damaging ice crystals from small ice embryos. In contrast, ice-nucleation proteins prevent supercooling and allow ice formation at high, sub-zero temperatures. Psychrophiles and psychrotolerant microbes are typically sought in extremely cold environments. However, given that geography is unlikely to present an insurmountable barrier to microbial dispersal, we reasoned that species with low-temperature adaptations should also be present, although rare, in more temperate environments. In consequence, the challenge then becomes one of selecting for rare microbes present in a larger community. Following the introductory commentary, we demonstrate that both freeze-thaw survival and ice-affinity selection can be used to identify microbes, which demonstrate low-temperature resistance, from enrichments derived from temperate environments. Selection resulted in a drastic decrease in cell abundance and diversity, allowing the isolation of a subset of resistant microbes. Depending on the origin of the consortia, these resistant microbes demonstrated cross-tolerance to osmotic stress, or a high proportion of antifreeze and/or ice-nucleation protein activities. Both types of ice-associating proteins presumably facilitate microbial survival at low temperatures. These proteins, as well as molecules that maintain osmotic balance, are also of commercial interest, with applications in the food, energy and medical industries. In addition, the resistant phenotypes described here provide a glimpse into the breadth of strategies microbes use to survive and thrive at low temperatures.</t>
  </si>
  <si>
    <t>[Wilson, Sandra L.] Queens Univ, Dept Biol, Kingston, ON K7L 3N6, Canada; [Walker, Virginia K.] Queens Univ, Dept Microbiol &amp; Immunol, Kingston, ON K7L 3N6, Canada; [Walker, Virginia K.] Queens Univ, Dept Environm Studies, Kingston, ON K7L 3N6, Canada</t>
  </si>
  <si>
    <t>Queens University - Canada; Queens University - Canada; Queens University - Canada</t>
  </si>
  <si>
    <t>Walker, VK (corresponding author), Queens Univ, Dept Biol, 116 Barrie St, Kingston, ON K7L 3N6, Canada.</t>
  </si>
  <si>
    <t>walkervk@queensu.ca</t>
  </si>
  <si>
    <t>NSERC (Canada); Queen's Research Chair; OGS (Canada)</t>
  </si>
  <si>
    <t>NSERC (Canada)(Natural Sciences and Engineering Research Council of Canada (NSERC)); Queen's Research Chair; OGS (Canada)(Ontario Graduate Scholarship)</t>
  </si>
  <si>
    <t>This work was financially supported by NSERC (Canada), an International Polar Year (CiCAT) grant and a Queen's Research Chair award to V. K. Walker and NSERC or OGS (Canada) scholarships to S. L. Wilson. Drs. B. Cummings, P. Grogan and G. Voordouw are thanked for the initial lake sediment samples, the Daring Lake soil sample, and the E. coli TG-2, respectively. Dr. G. Palmer is thanked for his technical assistance. V. Nesbitt and T. Vanderveer are acknowledged for assistance with the data collection, and A. Kanawaty, S. Franchuk, B. Momciu, R. Murray and A. Stanczak, for some preliminary analysis.</t>
  </si>
  <si>
    <t>PII 923042447</t>
  </si>
  <si>
    <t>10.1080/09593331003782417</t>
  </si>
  <si>
    <t>WOS:000278781700011</t>
  </si>
  <si>
    <t>Nicolaus, B; Kambourova, M; Oner, ET</t>
  </si>
  <si>
    <t>Nicolaus, Barbara; Kambourova, Margarita; Oner, Ebru Toksoy</t>
  </si>
  <si>
    <t>Exopolysaccharides from extremophiles: from fundamentals to biotechnology</t>
  </si>
  <si>
    <t>exopolysaccharide; sugar composition; extremophile; exopolysaccharide production; ecology</t>
  </si>
  <si>
    <t>EXTRACELLULAR POLYMERIC SUBSTANCES; DELBRUECKII SUBSP BULGARICUS; ARCHAEON THERMOCOCCUS-LITORALIS; XANTHAN GUM PRODUCTION; SP-NOV.; BACTERIAL EXOPOLYSACCHARIDES; EXOCELLULAR POLYSACCHARIDE; HYDROTHERMAL VENTS; GEN.-NOV.; GROWTH</t>
  </si>
  <si>
    <t>Exopolysaccharides (EPSs) make up a substantial component of the extracellular polymers surrounding most microbial cells in extreme environments like Antarctic ecosystems, saline lakes, geothermal springs or deep sea hydrothermal vents. The extremophiles have developed various adaptations, enabling them to compensate for the deleterious effects of extreme conditions, e.g. high temperatures, salt, low pH or temperature, high radiation. Among these adaptation strategies, EPS biosynthesis is one of the most common protective mechanisms. The unusual metabolic pathways revealed in some extremophiles raised interest in extremophilic microorganisms as potential producers of EPSs with novel and unusual characteristics and functional activities under extreme conditions. Even though the accumulated knowledge on the structural and rheological properties of EPSs from extremophiles is still very limited, it reveals a variety in properties, which may not be found in more traditional polymers. Both extremophilic microorganisms and their EPSs suggest several biotechnological advantages, like short fermentation processes for thermophiles and easily formed and stable emulsions of EPSs from psychrophiles. Unlike mesophilic producers of EPSs, many of them being pathogenic, extremophilic microorganisms provide non-pathogenic products, appropriate for applications in the food, pharmaceutical and cosmetics industries as emulsifiers, stabilizers, gel agents, coagulants, thickeners and suspending agents. The commercial value of EPSs synthesized by microorganisms from extreme habitats has been established recently.</t>
  </si>
  <si>
    <t>[Nicolaus, Barbara] CNR, ICB, I-80078 Pozzuoli, Na, Italy; [Kambourova, Margarita] BAS, Inst Microbiol, Dept Extremophil Bacteria, Sofia, Bulgaria; [Oner, Ebru Toksoy] Marmara Univ, Dept Bioengn, Istanbul, Turkey</t>
  </si>
  <si>
    <t>Consiglio Nazionale delle Ricerche (CNR); Istituto di Chimica Biomolecolare (ICB-CNR); Bulgarian Academy of Sciences; Medical University Sofia; Marmara University</t>
  </si>
  <si>
    <t>Nicolaus, B (corresponding author), CNR, ICB, Via Campi Flegrei 34, I-80078 Pozzuoli, Na, Italy.</t>
  </si>
  <si>
    <t>barbara.nicolaus@icb.cnr.it</t>
  </si>
  <si>
    <t>Kambourova, Margarita/L-9545-2016; Toksoy Oner, Ebru/E-2637-2014; Oner, Ebru Toksoy/X-2183-2019</t>
  </si>
  <si>
    <t>Toksoy Oner, Ebru/0000-0001-6054-8842; Oner, Ebru Toksoy/0000-0001-6054-8842</t>
  </si>
  <si>
    <t>BAN Academy-CNR; TUBITAK-CNR</t>
  </si>
  <si>
    <t>BAN Academy-CNR; TUBITAK-CNR(Turkiye Bilimsel ve Teknolojik Arastirma Kurumu (TUBITAK))</t>
  </si>
  <si>
    <t>This study was partly funded by Bilateral Projects: BAN Academy-CNR and TUBITAK-CNR. The authors thank Dr. GianLuca Anzelmo for his helpful assistance.</t>
  </si>
  <si>
    <t>PII 923113253</t>
  </si>
  <si>
    <t>10.1080/09593330903552094</t>
  </si>
  <si>
    <t>611WV</t>
  </si>
  <si>
    <t>WOS:000278856500010</t>
  </si>
  <si>
    <t>Werner, M</t>
  </si>
  <si>
    <t>Boutron, C</t>
  </si>
  <si>
    <t>Werner, M.</t>
  </si>
  <si>
    <t>Modelling stable water isotopes: Status and perspectives</t>
  </si>
  <si>
    <t>ERCA 9: FROM THE GLOBAL MERCURY CYCLE TO THE DISCOVERIES OF KUIPER BELT OBJECTS</t>
  </si>
  <si>
    <t>EPJ Web of Conferences</t>
  </si>
  <si>
    <t>Conference on European Research Course on Atmospheres (ERCA 9) - From the Global Mercury Cycle to the Discoveries of Kuiper Belt Objects</t>
  </si>
  <si>
    <t>JAN 11-FEB 12, 2010</t>
  </si>
  <si>
    <t>Grenoble, FRANCE</t>
  </si>
  <si>
    <t>GENERAL-CIRCULATION MODEL; ANTARCTIC PRECIPITATION; INTERANNUAL VARIABILITY; O-18; DEUTERIUM; SIMULATION; DELTA-O-18; ORIGIN; ICE; FRACTIONATION</t>
  </si>
  <si>
    <t>Modelling of stable water isotopes H-2 O-18 and HDO within various parts of the Earth's hydrological cycle has clearly improved our understanding of the interplay between climatic variations and related isotope fractionation processes. In this article key principles and major research results of stable water isotope modelling studies are described. Emphasis is put on research work using explicit isotope diagnostics within general circulation models as this highly complex model setup bears many resemblances with studies using simpler isotope modelling approaches.</t>
  </si>
  <si>
    <t>Alfred Wegener Inst Polar &amp; Marine Res, Bremerhaven, Germany</t>
  </si>
  <si>
    <t>Werner, M (corresponding author), Alfred Wegener Inst Polar &amp; Marine Res, Bremerhaven, Germany.</t>
  </si>
  <si>
    <t>Werner, Martin/C-8067-2014</t>
  </si>
  <si>
    <t>Werner, Martin/0000-0002-6473-0243</t>
  </si>
  <si>
    <t>E D P SCIENCES</t>
  </si>
  <si>
    <t>CEDEX A</t>
  </si>
  <si>
    <t>17 AVE DU HOGGAR PARC D ACTIVITES COUTABOEUF BP 112, F-91944 CEDEX A, FRANCE</t>
  </si>
  <si>
    <t>2100-014X</t>
  </si>
  <si>
    <t>978-2-7598-0599-0</t>
  </si>
  <si>
    <t>EPJ WEB CONF</t>
  </si>
  <si>
    <t>10.1051/epjconf/201009005</t>
  </si>
  <si>
    <t>Physics, Applied; Physics, Multidisciplinary</t>
  </si>
  <si>
    <t>BUY92</t>
  </si>
  <si>
    <t>gold, Green Submitted, Green Published</t>
  </si>
  <si>
    <t>WOS:000290751000005</t>
  </si>
  <si>
    <t>Kehrwald, N; Zangrando, R; Gambaro, A; Barbante, C</t>
  </si>
  <si>
    <t>Kehrwald, N.; Zangrando, R.; Gambaro, A.; Barbante, C.</t>
  </si>
  <si>
    <t>Fire and climate: Biomass burning recorded in ice and lake cores</t>
  </si>
  <si>
    <t>POLYCYCLIC AROMATIC-HYDROCARBONS; LIGHT CARBOXYLIC-ACIDS; VEGETATION EMISSIONS; PARTICULATE MATTER; ORGANIC AEROSOL; ANTARCTIC ICE; GREENLAND ICE; FOREST-FIRES; LEVOGLUCOSAN; CARBON</t>
  </si>
  <si>
    <t>Human activities including fossil fuel burning are currently altering the global climate system at rates faster than ever recorded in geologic time. Biomass burning causes carbon dioxide emissions equal to 50% of those from fossil-fuel combustion and so are highly likely to influence future climate change. However, aerosols continue to be one of the least understood aspects of the modern climate system and even less is known about their past influence. Ice and lake core proxy records provide quantifiable data on past fire regimes across most spatial and temporal scales. Some monosaccharide anhydrides such as levoglucosan, mannosan and galactosan are used as specific molecular markers for biomass burning as they can only be produced by combustion processes at temperatures greater than 300 degrees C and are present in both ice and lake cores. Other paleofire tracers such as microcharcoal, polycyclic aromatic hydrocarbons, and pollen records augment the fire history derived at single sites or across regions. As both pyrochemical and climate parameters are determined from the same depth and time within the ice or sediment matrix, the multi-proxy nature of ice and lake cores presents an ideal material to investigate the links between fires and climate change.</t>
  </si>
  <si>
    <t>[Kehrwald, N.; Zangrando, R.; Gambaro, A.; Barbante, C.] Univ Venice, CNR, Inst Dynam Environm Proc, I-30123 Venice, Italy</t>
  </si>
  <si>
    <t>Universita Ca Foscari Venezia; Consiglio Nazionale delle Ricerche (CNR); Istituto per la Dinamica dei Processi Ambientali (IDPA-CNR)</t>
  </si>
  <si>
    <t>Kehrwald, N (corresponding author), Univ Venice, CNR, Inst Dynam Environm Proc, I-30123 Venice, Italy.</t>
  </si>
  <si>
    <t>Kehrwald, Natalie M/A-3848-2013; Barbante, Carlo/B-3195-2011</t>
  </si>
  <si>
    <t>Kehrwald, Natalie M/0000-0002-9160-2239; Barbante, Carlo/0000-0003-4177-2288</t>
  </si>
  <si>
    <t>10.1051/epjconf/201009008</t>
  </si>
  <si>
    <t>WOS:000290751000008</t>
  </si>
  <si>
    <t>van den Broeke, MR</t>
  </si>
  <si>
    <t>van den Broeke, M. R.</t>
  </si>
  <si>
    <t>How Greenland melts</t>
  </si>
  <si>
    <t>ANTARCTIC ICE SHEETS; ACCELERATION; GLACIER; MODEL</t>
  </si>
  <si>
    <t>Satellite altimetry and gravimetry show that the Greenland ice sheet has been losing volume and mass since the beginning of this century. However, from these short time series of direct measurements we cannot infer what the causes of the mass loss are, i.e. ice dynamics or surface processes, or that maybe the ice sheet returns to normal after a period of volume increase and mass gain. By modelling and observing the individual components of the ice sheet mass balance, i.e. snowfall, meltwater runoff and iceberg production, we are able to identify the processes that led to the recent mass loss. We conclude that the Greenland ice sheet is significantly out of balance. Acceleration of outlet glaciers and increased runoff have contributed equally to recent Greenland mass loss. The potential for mass loss by surface processes, however, was three times greater than actually observed, due to refreezing and enhanced snowfall.</t>
  </si>
  <si>
    <t>Univ Utrecht, Inst Marine &amp; Atmospher Res, NL-3508 TA Utrecht, Netherlands</t>
  </si>
  <si>
    <t>Utrecht University</t>
  </si>
  <si>
    <t>van den Broeke, MR (corresponding author), Univ Utrecht, Inst Marine &amp; Atmospher Res, POB 8005, NL-3508 TA Utrecht, Netherlands.</t>
  </si>
  <si>
    <t>Van den Broeke, Michiel R./F-7867-2011</t>
  </si>
  <si>
    <t>Van den Broeke, Michiel R./0000-0003-4662-7565</t>
  </si>
  <si>
    <t>10.1051/epjconf/201009011</t>
  </si>
  <si>
    <t>WOS:000290751000011</t>
  </si>
  <si>
    <t>Molodkov, A; Bolikhovskaya, N</t>
  </si>
  <si>
    <t>Molodkov, Anatoly; Bolikhovskaya, Nataliya</t>
  </si>
  <si>
    <t>Climato-chronostratigraphic framework of Pleistocene terrestrial and marine deposits of Northern Eurasia, based on pollen, electron spin resonance, and infrared optically stimulated luminescence analyses</t>
  </si>
  <si>
    <t>ESTONIAN JOURNAL OF EARTH SCIENCES</t>
  </si>
  <si>
    <t>climate-chronostratigraphic framework; electron spin resonance; palaeoclimatic record; palynostratigraphy; correlation; Quaternary</t>
  </si>
  <si>
    <t>SOUTHERN KOLA-PENINSULA; EUSTATIC SEA-LEVEL; MOLLUSK SHELLS; LOESS-PALEOSOL; ESR-CHRONOSTRATIGRAPHY; MIDDLE PLEISTOCENE; LATE QUATERNARY; ANTARCTIC ICE; STRATIGRAPHY; BAHAMAS</t>
  </si>
  <si>
    <t>Marine and terrestrial records spanning the Brunhes Chron (0-780 000 years) were synthesized using data from palaeoshelf, glacial, periglacial, and extraglacial zones of Northern Eurasia. The chronostratigraphic position of the identified palaeoenvironmental events and respective horizons in the composite chronostratigraphic column were established on the basis of electron spin resonance analysis of subfossil mollusc shells collected from marine, freshwater, and terrestrial deposits. Environment and vegetation evolution during this period is characterized by pollen data from a series of spaced-apart reference sections on the East European Plain. The climate-chronostratigraphic record displays a sequence of eight intervals (the Holocene included) of warm climate and sea level highstand when marine sedimentation occurred on North Eurasian palaeo-shelves, and seven glacial epochs. A clear agreement between long pollen records and reliably dated warm-climate-related deposits was established for at least the last 600 000 years (from marine isotope stages 15 to 1). When integrated, these records have a potential of assigning warm/cold-climate-related deposits to the chronostratigraphically-organized sequence of the middle and late Quaternary palaeoenvironmental events.</t>
  </si>
  <si>
    <t>[Molodkov, Anatoly] Tallinn Univ Technol, Inst Geol, Res Lab Quaternary Geochronol, EE-19086 Tallinn, Estonia; [Bolikhovskaya, Nataliya] Moscow MV Lomonosov State Univ, Dept Geog, Moscow 119991, Russia</t>
  </si>
  <si>
    <t>Tallinn University of Technology; Lomonosov Moscow State University</t>
  </si>
  <si>
    <t>Molodkov, A (corresponding author), Tallinn Univ Technol, Inst Geol, Res Lab Quaternary Geochronol, Ehitajate Tee 5, EE-19086 Tallinn, Estonia.</t>
  </si>
  <si>
    <t>molodkov@gi.ee; nbolikh@geogr.msu.ru</t>
  </si>
  <si>
    <t>Bolikhovskaya, Nataliya S./L-7904-2015</t>
  </si>
  <si>
    <t>Estonian Science Foundation [6112]; Russian Foundation for Basic Research [08-05-00773]; Estonian Ministry of Education and Research [0320080s07]</t>
  </si>
  <si>
    <t>Estonian Science Foundation; Russian Foundation for Basic Research(Russian Foundation for Basic Research (RFBR)Spanish Government); Estonian Ministry of Education and Research(Ministry of Education and Research, Estonia)</t>
  </si>
  <si>
    <t>The authors wish to thank Prof. Dr Thijs van Kolfschoten and Prof. Dr Leszek Marks for their valuable suggestions and critical reviews of the manuscript. This study was supported by the Estonian Science Foundation (grant No. 6112), the Russian Foundation for Basic Research (grant No. 08-05-00773), and by the Estonian Ministry of Education and Research (project No. 0320080s07).</t>
  </si>
  <si>
    <t>ESTONIAN ACADEMY PUBLISHERS</t>
  </si>
  <si>
    <t>TALLINN</t>
  </si>
  <si>
    <t>6 KOHTU, TALLINN 10130, ESTONIA</t>
  </si>
  <si>
    <t>1736-4728</t>
  </si>
  <si>
    <t>EST J EARTH SCI</t>
  </si>
  <si>
    <t>Est. J. Earth Sci.</t>
  </si>
  <si>
    <t>10.3176/earth.2010.1.04</t>
  </si>
  <si>
    <t>564CV</t>
  </si>
  <si>
    <t>WOS:000275191600004</t>
  </si>
  <si>
    <t>Aumack, CF; Amsler, CD; McClintock, JB; Baker, BJ</t>
  </si>
  <si>
    <t>Aumack, Craig F.; Amsler, Charles D.; McClintock, James B.; Baker, Bill J.</t>
  </si>
  <si>
    <t>Chemically mediated resistance to mesoherbivory in finely branched macroalgae along the western Antarctic Peninsula</t>
  </si>
  <si>
    <t>EUROPEAN JOURNAL OF PHYCOLOGY</t>
  </si>
  <si>
    <t>amphipods; Antarctica; chemical defences; herbivory; macroalgae; mesograzers</t>
  </si>
  <si>
    <t>SUBTIDAL MACROALGAE; SPECIES COMPOSITION; PLANT DEFENSES; HERBIVORES; PREDATION; PALATABILITY; GENERALIST; AMPHIPODS; MUTUALISM; ECOLOGY</t>
  </si>
  <si>
    <t>Along the western Antarctic Peninsula, benthic macrophytic biomass rivals some of the denser algal communities in the world. However, there is a noticeable lack of filamentous epiphytes compared with other algal-dominated communities. One possible explanation is that epiphytic species and emerging filaments from profuse endophytes are controlled by grazing pressures from an abundant mesograzer community. Amphipod gut contents from the study area revealed the presence of algal filaments that could support this hypothesis. However, this gut-derived algal material may be from ingestion of any of the several sub-tidal, finely branched rhodophyte species, which are often inhabited by numerous amphipod mesograzers. Palatability of several of these finely branched macrophytes (Halopteris obovata, the only phaeophyte in this study, Cystoclonium obtusangulum, Pantoneura plocamioides, Picconiella plumosa, Plocamium cartilagineum, as well as the known edible control alga Palmaria decipiens) were tested against two of the most abundant amphipod mesograzers, Gondogeneia antarctica and Prostebbingia gracilis, in a series of fresh-thallus feeding assays. Several artificial food bioassays, utilizing artificial foods mixed with algal extracts, were also conducted to test for any chemical grazing deterrents produced by the macroalgae. Results indicate that all the finely branched algae tested were unpalatable to both grazers, most likely due to chemical defences in the red algae. These results suggest that filamentous material found in amphipod guts is not finely branched rhodophytes despite observation of mesograzers associating with these algae. Possibly, mesograzers of the western Antarctic Peninsula use these chemically defended algae as a refuge from predation and, in turn, graze on palatable epiphytes and emergent filaments from endophytes, growing on their host macrophytes.</t>
  </si>
  <si>
    <t>[Aumack, Craig F.; Amsler, Charles D.; McClintock, James B.] Univ Alabama, Dept Biol, Birmingham, AL 35294 USA; [Baker, Bill J.] Univ S Florida, Dept Chem, Tampa, FL 33620 USA</t>
  </si>
  <si>
    <t>University of Alabama System; University of Alabama Birmingham; State University System of Florida; University of South Florida</t>
  </si>
  <si>
    <t>Aumack, CF (corresponding author), Univ Alabama, Dept Biol, Birmingham, AL 35294 USA.</t>
  </si>
  <si>
    <t>aumack@uab.edu</t>
  </si>
  <si>
    <t>National Science Foundation [OPP-0442769, OPP-0442857]</t>
  </si>
  <si>
    <t>We are appreciative of Gil Koplovitz, Maggie Amsler, Philip Bucolo, Alan Mascheck, Dr Jill Zamzow and the rest of our 2007 and 2008 Antarctic field team colleagues for their laboratory and field assistance. We would also like to thank Dr Robert Angus for his statistical assistance. This project would not have been possible without the hard work and outstanding logistical support in Antarctica from the employees and sub-contractors of Raytheon Polar Services Company. This work was supported by National Science Foundation awards OPP-0442769 (CDA, JBM) and OPP-0442857 (BJB).</t>
  </si>
  <si>
    <t>0967-0262</t>
  </si>
  <si>
    <t>EUR J PHYCOL</t>
  </si>
  <si>
    <t>Eur. J. Phycol.</t>
  </si>
  <si>
    <t>PII 916857071</t>
  </si>
  <si>
    <t>10.1080/09670260903171668</t>
  </si>
  <si>
    <t>594AY</t>
  </si>
  <si>
    <t>WOS:000277506400003</t>
  </si>
  <si>
    <t>Alvarez, F; Curry, GB; Brime, C; Anadon, N</t>
  </si>
  <si>
    <t>Alvarez, F; Curry, GB</t>
  </si>
  <si>
    <t>Alvarez, Fernando; Curry, Gordon B.; Brime, Covadonga; Anadon, Nuria</t>
  </si>
  <si>
    <t>VARIATION IN THE SHELL MORPHOLOGY OF COMPSOTHYRIS (BRACHIOPODA, RECENT) AN EXAMPLE OF THE PROBLEMS ASSOCIATED WITH THE COMPILATION OF DATA MATRICES FOR PHYLOGENETIC ANALYSIS AND THE PREPARATION OF ELECTRONIC DATABASES</t>
  </si>
  <si>
    <t>EVOLUTION AND DEVELOPMENT OF THE BRACHIOPOD SHELL</t>
  </si>
  <si>
    <t>Special Papers in Palaeontology Series</t>
  </si>
  <si>
    <t>brachiopods; Recent; Compsothyris; variation; morphology; ultrastructure; Antarctica</t>
  </si>
  <si>
    <t>MISSING DATA; BELLINGSHAUSEN SEA; INCOMPLETE TAXA; CLASSIFICATION; ACCURACY; MORPHOMETRICS; PRODUCTIDA; CHARACTERS</t>
  </si>
  <si>
    <t>The intra populational and ontogenetic variation present in the skeletal structures of Campsothyris racovitzae (Joubin 1901) the type species of the genus was studied, described and illustrated in a series of specimens from Antarctic waters, including those recently dredged in the BENTART oceanographic expeditions Detailed SFM examinations have shown that dorsal internal structures such as the cardinalia display great variability and that the surface to which the posterior end of the lophophore was attached to the crura is composed of nonfibrous roughly textured calcite, which has been described is the brachiotest in terebratulide loops The need to include information on the range of intra-specific and ontogenetic variants in databases and in character state matrices for phylogenetic analyses is discussed and it is suggested that databases could be used to standardize character states extracted from taxonomic descriptions into matrices for phylogenetic analyses</t>
  </si>
  <si>
    <t>Univ Oviedo, Dept Geol, E-33005 Oviedo, Spain; [Curry, Gordon B.] Univ Glasgow, Sch Geog &amp; Earth Sci, Glasgow C12 8QQ, Lanark, Scotland; [Anadon, Nuria] Univ Oviedo, Dept Biol Organismos &amp; Syst, Oviedo, Spain</t>
  </si>
  <si>
    <t>University of Oviedo; University of Glasgow; University of Oviedo</t>
  </si>
  <si>
    <t>Anadon-Alvarez, Maria Nuria/0000-0002-9928-0115</t>
  </si>
  <si>
    <t>PALAEONTOLOGICAL ASSOC</t>
  </si>
  <si>
    <t>ABERYSTWYTH</t>
  </si>
  <si>
    <t>C/O DR TIM PALMER, I G E S , UNIV WALES, ABERYSTWYTH SY23 3DB, WALES</t>
  </si>
  <si>
    <t>0038-6804</t>
  </si>
  <si>
    <t>978-1-4443-3937-6</t>
  </si>
  <si>
    <t>SPEC PAP PALAEONTOL</t>
  </si>
  <si>
    <t>Spec. Pap. Palaeontol.</t>
  </si>
  <si>
    <t>10.1111/j.1475.4983.2010.00988.x</t>
  </si>
  <si>
    <t>BSE77</t>
  </si>
  <si>
    <t>WOS:000284291100002</t>
  </si>
  <si>
    <t>Thomas-Hall, SR; Turchetti, B; Buzzini, P; Branda, E; Boekhout, T; Theelen, B; Watson, K</t>
  </si>
  <si>
    <t>Thomas-Hall, Skye Robin; Turchetti, Benedetta; Buzzini, Pietro; Branda, Eva; Boekhout, Teun; Theelen, Bart; Watson, Kenneth</t>
  </si>
  <si>
    <t>Cold-adapted yeasts from Antarctica and the Italian Alps-description of three novel species: Mrakia robertii sp nov., Mrakia blollopis sp nov and Mrakiella niccombsii sp nov.</t>
  </si>
  <si>
    <t>Antarctic microbiology; Cold adaptation; Molecular phylogeny; Psychrophiles; Taxonomy</t>
  </si>
  <si>
    <t>BASIDIOMYCETOUS YEAST; PSYCHROPHILIC YEASTS; CANDIDA-ANTARCTICA; ALPINE; MICROORGANISMS; DEGRADATION; EXPRESSION; PATAGONIA; FROZEN; SOIL</t>
  </si>
  <si>
    <t>Worldwide glaciers are annually retreating due to global overheating and this phenomenon determines the potential lost of microbial diversity represented by psychrophilic microbial population sharing these peculiar habitats. In this context, yeast strains, all unable to grow above 20A degrees C, consisting of 42 strains from Antarctic soil and 14 strains isolated from Alpine Glacier, were isolated and grouped together based on similar morphological and physiological characteristics. Sequences of the D1/D2 and ITS regions of the ribosomal DNA confirmed the previous analyses and demonstrated that the strains belong to unknown species. Three new species are proposed: Mrakia robertii sp. nov. (type strain CBS 8912), Mrakia blollopis sp. nov. (type strain CBS 8921) and a related anamorphic species Mrakiella niccombsii sp. nov. (type strain CBS 8917). Phylogenetic analysis of the ITS region revealed that the new proposed species were closely related to each other within the Mrakia clade in the order Cystofilobasidiales, class Tremellomycetes. The Mrakia clade now contains 8 sub-clades. Teliospores were observed in all strains except CBS 8918 and for the Mrakiella niccombsii strains.</t>
  </si>
  <si>
    <t>[Thomas-Hall, Skye Robin; Watson, Kenneth] Univ New England, Sch Biol Sci, Armidale, NSW, Australia; [Turchetti, Benedetta; Buzzini, Pietro; Branda, Eva] Univ Perugia, Dept Appl Biol, I-06100 Perugia, Italy; [Boekhout, Teun; Theelen, Bart] CBS KNAW Fungal Divers Ctr, Yeast Res Grp, Utrecht, Netherlands</t>
  </si>
  <si>
    <t>University of New England; University of Perugia; Royal Netherlands Academy of Arts &amp; Sciences; Westerdijk Fungal Biodiversity Institute (KNAW)</t>
  </si>
  <si>
    <t>Thomas-Hall, SR (corresponding author), Univ New England, Sch Biol Sci, Armidale, NSW, Australia.</t>
  </si>
  <si>
    <t>skyethomashall@gmail.com</t>
  </si>
  <si>
    <t>Boekhout, Teun/F-1552-2010; Pietro, Buzzini/F-5739-2014; Turchetti, Benedetta/AAC-8847-2019</t>
  </si>
  <si>
    <t>Boekhout, Teun/0000-0002-0476-3609; Thomas-Hall, Skye/0000-0002-4208-5992; Buzzini, Pietro/0000-0001-6793-0606; turchetti, benedetta/0000-0002-7370-3028</t>
  </si>
  <si>
    <t>Australian Research Council; UNE postgraduate scholarship; European Community; MIUR</t>
  </si>
  <si>
    <t>Australian Research Council(Australian Research Council); UNE postgraduate scholarship; European Community; MIUR(Ministry of Education, Universities and Research (MIUR))</t>
  </si>
  <si>
    <t>This work was supported in part by the Australian Research Council, a UNE postgraduate scholarship, the SYNTHESYS Project (http://www. synthesys.info/) which is financed by the European Community Research Infrastructure Action under the FP6 Structuring the European Research Area'' Programme, from FEMS (Federation of European Microbiological Societies) and from MIUR (PRIN projects 2008/09).</t>
  </si>
  <si>
    <t>10.1007/s00792-009-0286-7</t>
  </si>
  <si>
    <t>536GJ</t>
  </si>
  <si>
    <t>WOS:000273032600006</t>
  </si>
  <si>
    <t>Fujioka, K; Hobday, AJ; Kawabe, R; Miyashita, K; Honda, K; Itoh, T; Takao, Y</t>
  </si>
  <si>
    <t>Fujioka, Ko; Hobday, Alistair J.; Kawabe, Ryo; Miyashita, Kazushi; Honda, Kentaro; Itoh, Tomoyuki; Takao, Yoshimi</t>
  </si>
  <si>
    <t>Interannual variation in summer habitat utilization by juvenile southern bluefin tuna (Thunnus maccoyii) in southern Western Australia</t>
  </si>
  <si>
    <t>FISHERIES OCEANOGRAPHY</t>
  </si>
  <si>
    <t>acoustic telemetry; habitat preference; population distribution; sub-Antarctic water; water mass structure</t>
  </si>
  <si>
    <t>LEEUWIN CURRENT; ULTRASONIC TELEMETRY; MOVEMENTS; BIGHT; ZOOPLANKTON; CALIFORNIA; YELLOWFIN; WATERS; GULF</t>
  </si>
  <si>
    <t>The spatial habitat utilization of juvenile southern bluefin tuna in southern Western Australia was investigated using automated acoustic receivers with acoustic transmitters implanted in tagged fish during three austral summers (2004/2005, N = 79 fish, 2005/2006, N = 81, 2006/2007, N = 84). Seventy acoustic receivers were deployed at three cross-shelf lines and three coastal topographic features (lumps) between December and May. We observed markedly different patterns of habitat utilization between the three seasons: (i) aggregation at lumps in 2004/2005 and 2006/2007, and (ii) wide distribution over the continental shelf (i.e., few occurring at lumps) in 2005/2006. Vertical profile by conductivity-temperature-depth casts showed these spatial shifts were caused by interannual changes in the presence of sub-Antarctic water. The sub-Antarctic water was present in the subsurface layer close to the continental slope only during 2005/2006, and the area had higher chlorophyll-a concentrations than the coastal areas, including at the lumps. These environmental characters, related to the nutrient rich sub-Antarctic water, appear to have a strong influence on fish distributions in 2005/2006, and may occur generally during La Nina events. Interannual fluctuations in habitat utilization will influence detection of fish in recruitment monitoring surveys and thus bias the resulting juvenile abundance indices.</t>
  </si>
  <si>
    <t>[Fujioka, Ko] Nagasaki Univ, Grad Sch Sci &amp; Technol, Nagasaki 8512213, Japan; [Hobday, Alistair J.] CSIRO Marine &amp; Atmospher Res, Hobart, Tas 7001, Australia; [Kawabe, Ryo] Nagasaki Univ, Inst E China Sea Res, Taira, Nagasaki 2213, Japan; [Miyashita, Kazushi] Hokkaido Univ, Field Sci Ctr No Biosphere, Minato, Hakodate 0418611, Japan; [Honda, Kentaro] Hokkaido Univ, Grad Sch Environm Sci, Minato, Hakodate 0418611, Japan; [Itoh, Tomoyuki] Fisheries Res Agcy, Natl Res Inst Far Seas Fisheries, Shizuoka 4248633, Japan; [Takao, Yoshimi] Fisheries Res Agcy, Natl Res Inst Fisheries Engn, Hasaki, Kamisu 3140408, Japan</t>
  </si>
  <si>
    <t>Nagasaki University; Commonwealth Scientific &amp; Industrial Research Organisation (CSIRO); Nagasaki University; Hokkaido University; Hokkaido University; Japan Fisheries Research &amp; Education Agency (FRA); Japan Fisheries Research &amp; Education Agency (FRA)</t>
  </si>
  <si>
    <t>Fujioka, K (corresponding author), Nagasaki Univ, Grad Sch Sci &amp; Technol, Taira Machi 1551-7, Nagasaki 8512213, Japan.</t>
  </si>
  <si>
    <t>d706164e@cc.nagasaki-u.ac.jp</t>
  </si>
  <si>
    <t>Hobday, Alistair/A-1460-2012; Miyashita, Kazush/D-6757-2012</t>
  </si>
  <si>
    <t>Honda, Kentaro/0000-0003-1967-9263; Kawabe, Ryo/0000-0002-4030-6667</t>
  </si>
  <si>
    <t>NRIFSF/NRIFE/JAMARC of Fisheries Research Agency; CSIRO Marine Research; Australian Fisheries Management Agency; Japan Society for the Promotion of Science [16255010]; Japan Science and Technology Agency (JST); Grants-in-Aid for Scientific Research [16255010] Funding Source: KAKEN</t>
  </si>
  <si>
    <t>NRIFSF/NRIFE/JAMARC of Fisheries Research Agency; CSIRO Marine Research; Australian Fisheries Management Agency; Japan Society for the Promotion of Science(Ministry of Education, Culture, Sports, Science and Technology, Japan (MEXT)Japan Society for the Promotion of Science); Japan Science and Technology Agency (JST)(Japan Science &amp; Technology Agency (JST)); Grants-in-Aid for Scientific Research(Ministry of Education, Culture, Sports, Science and Technology, Japan (MEXT)Japan Society for the Promotion of ScienceGrants-in-Aid for Scientific Research (KAKENHI))</t>
  </si>
  <si>
    <t>We are grateful to G. Campbell and crew of F/V Quadrant for assistance in the tagging survey. We also thank the captain and crew of the F/V No. 2 Taikei-maru and St. Gerard for their efforts in aiding this research. J. Totterdell, F. Totterdell, H.A. Kemps, K. Abe, and O. Sakai are thanked for their assistance during research cruises. Y. Tsuda, T. Kitagawa and T. Takahashi are thanked for assisting data interpretation and providing helpful feedback on results. We sincerely thank G.N. Nishihara for valuable advice regarding this study. The authors extend their gratitude to two anonymous reviewers for their helpful comments. This research was supported by NRIFSF/NRIFE/JAMARC of Fisheries Research Agency, CSIRO Marine Research and the Australian Fisheries Management Agency as part of the Japan Australia SBT Recruitment Monitoring Program, and by Japan Society for the Promotion of Science (16255010), and was part of Japan-Australia Cooperative Research Projects 'Marine Science' by the Japan Science and Technology Agency (JST).</t>
  </si>
  <si>
    <t>1054-6006</t>
  </si>
  <si>
    <t>1365-2419</t>
  </si>
  <si>
    <t>FISH OCEANOGR</t>
  </si>
  <si>
    <t>Fish Oceanogr.</t>
  </si>
  <si>
    <t>10.1111/j.1365-2419.2010.00536.x</t>
  </si>
  <si>
    <t>Fisheries; Oceanography</t>
  </si>
  <si>
    <t>599LD</t>
  </si>
  <si>
    <t>WOS:000277913100001</t>
  </si>
  <si>
    <t>Hass, HC; Kuhn, G; Monien, P; Brumsack, HJ; Forwick, M</t>
  </si>
  <si>
    <t>Howe, JA; Austing, WEN; Forwick, M; Paetzel, M</t>
  </si>
  <si>
    <t>Hass, H. C.; Kuhn, G.; Monien, P.; Brumsack, H. -J.; Forwick, M.</t>
  </si>
  <si>
    <t>Climate fluctuations during the past two millennia as recorded in sediments from Maxwell Bay, South Shetland Islands, West Antarctica</t>
  </si>
  <si>
    <t>FJORD SYSTEMS AND ARCHIVES</t>
  </si>
  <si>
    <t>KING-GEORGE-ISLAND; SUSPENDED PARTICULATE MATTER; GRAIN-SIZE DISTRIBUTION; B ICE SHELF; LATE-HOLOCENE; MARIAN COVE; POTTER COVE; GLACIOMARINE SEDIMENTATION; BRANSFIELD BASIN; LAKE-SEDIMENTS</t>
  </si>
  <si>
    <t>The climate evolution of the South Shetland Islands during the last c. 2000 years is inferred from the multiproxy analyses of a long (928 cm) sediment core retrieved from Maxwell Bay off King George Island. The vertical sediment flux at the core location is controlled by summer melting processes that cause sediment-laden meltwater plumes to form. These leave a characteristic signature in the sediments of NE Maxwell Bay. We use this signature to distinguish summer and winter-dominated periods. During the Medieval Warm Period, sediments are generally finer which indicates summer-type conditions. In contrast, during the Little Ice Age (LIA) sediments are generally coarser and are indicative of winter-dominated conditions. Comparison with Northern and Southern Hemisphere, Antarctic, and global temperature reconstructions reveals that the mean grain-size curve from Maxwell Bay closely resembles the curve of the global temperature reconstruction. We show that the medieval warming occurred earlier in the Southern than in the Northern Hemisphere, which might indicate that the warming was driven by processes occurring in the south. The beginning of the LIA appears to be almost synchronous in both hemispheres. The warming after the LIA closely resembles the Northern Hemisphere record which might indicate this phase of cooling was driven by processes occurring in the north. Although the recent rapid regional warming is clearly visible, the Maxwell Bay record does not show the dominance of summer-type sediments until the 1970s. Continued warming in this area will likely affect the marine ecosystem through meltwater induced turbidity of the surface waters as well as an extension of the vegetation period due to the predicted decrease of sea ice in this area.</t>
  </si>
  <si>
    <t>[Hass, H. C.] Alfred Wegener Inst Polar &amp; Marine Res, Wadden Sea Res Stn, D-25992 List Auf Sylt, Germany; [Kuhn, G.] Alfred Wegener Inst Polar &amp; Marine Res, D-27568 Bremerhaven, Germany; [Monien, P.; Brumsack, H. -J.] Carl von Ossietzky Univ Oldenburg, ICBM, D-26111 Oldenburg, Germany; [Forwick, M.] Univ Tromso, Dept Geol, N-9037 Tromso, Norway</t>
  </si>
  <si>
    <t>Helmholtz Association; Alfred Wegener Institute, Helmholtz Centre for Polar &amp; Marine Research; Helmholtz Association; Alfred Wegener Institute, Helmholtz Centre for Polar &amp; Marine Research; Carl von Ossietzky Universitat Oldenburg; UiT The Arctic University of Tromso</t>
  </si>
  <si>
    <t>Hass, HC (corresponding author), Alfred Wegener Inst Polar &amp; Marine Res, Wadden Sea Res Stn, Hafenstr 43, D-25992 List Auf Sylt, Germany.</t>
  </si>
  <si>
    <t>christian.hass@awi.de</t>
  </si>
  <si>
    <t>Brumsack, Hans-Juergen/O-7942-2016; Monien, Patrick/K-8338-2017</t>
  </si>
  <si>
    <t>Brumsack, Hans-Juergen/0000-0002-5549-5018; Forwick, Matthias/0000-0001-6153-5891; Monien, Patrick/0000-0002-4000-5362; Kuhn, Gerhard/0000-0001-6069-7485</t>
  </si>
  <si>
    <t>978-1-86239-312-7</t>
  </si>
  <si>
    <t>10.1144/SP344.17</t>
  </si>
  <si>
    <t>BUB84</t>
  </si>
  <si>
    <t>WOS:000288751900018</t>
  </si>
  <si>
    <t>Zwirglmaier, K</t>
  </si>
  <si>
    <t>Bridger, JM; Volpi, EV</t>
  </si>
  <si>
    <t>Zwirglmaier, Katrin</t>
  </si>
  <si>
    <t>Detection of Prokaryotic Cells with Fluorescence In Situ Hybridization</t>
  </si>
  <si>
    <t>FLUORESCENCE IN SITU HYBRIDIZATION (FISH): PROTOCOLS AND APPLICATIONS</t>
  </si>
  <si>
    <t>Methods in Molecular Biology</t>
  </si>
  <si>
    <t>Fluorescence in situ hybridization; Bacteria; Oligonucleotide probes; 16S rRNA; Cell fixation; Tyramide signal amplification; Catalyzed reporter deposition</t>
  </si>
  <si>
    <t>16S RIBOSOMAL-RNA; OLIGONUCLEOTIDE PROBES; ONLINE RESOURCE; SEQUENCE DATA; ARB; IDENTIFICATION; ACCESSIBILITY; COMBINATION; BACTERIA; DATABASE</t>
  </si>
  <si>
    <t>Fluorescence in situ hybridization with rRNA targeted oligonucleotide probes is nowadays one of the core techniques in microbial ecology, allowing the identification and quantification of microbial cells in environmental samples in situ. Next to the classic FISH protocol, which uses fluorescently monolabelled probes, the more sensitive CARD-FISH (also known as TSA-FISH), which involves an enzyme catalyzed signal amplification step, is becoming increasingly popular. This chapter describes protocols for both methods. While classic FISH has the advantage of being relatively cheap and easy to do on morphologically diverse samples, CARD-FISH offers a significantly higher sensitivity, allowing the detection of slow growing or metabolically inactive cells, which arc below the detection limit of classic FISH. The drawback here is the considerably higher price for the probes and advanced cell fixation and permeabilization requirements that have to be optimized for different target cells.</t>
  </si>
  <si>
    <t>Zwirglmaier, K (corresponding author), British Antarctic Survey, Cambridge CB3 0ET, England.</t>
  </si>
  <si>
    <t>Zwirglmaier, Katrin/H-9799-2014</t>
  </si>
  <si>
    <t>Zwirglmaier, Katrin/0000-0001-8598-9572</t>
  </si>
  <si>
    <t>HUMANA PRESS INC</t>
  </si>
  <si>
    <t>TOTOWA</t>
  </si>
  <si>
    <t>999 RIVERVIEW DR, STE 208, TOTOWA, NJ 07512-1165 USA</t>
  </si>
  <si>
    <t>1064-3745</t>
  </si>
  <si>
    <t>978-1-60761-788-4</t>
  </si>
  <si>
    <t>METHODS MOL BIOL</t>
  </si>
  <si>
    <t>Methods Mol. Biol.</t>
  </si>
  <si>
    <t>10.1007/978-1-60761-789-1_27</t>
  </si>
  <si>
    <t>10.1007/978-1-60761-789-1</t>
  </si>
  <si>
    <t>Biochemical Research Methods; Biochemistry &amp; Molecular Biology</t>
  </si>
  <si>
    <t>BRC22</t>
  </si>
  <si>
    <t>WOS:000282335500027</t>
  </si>
  <si>
    <t>McDowell, RE; Amsler, CD; McClintock, JB; Baker, BJ</t>
  </si>
  <si>
    <t>McDowell, Ruth Ellen; Amsler, Charles D.; McClintock, James B.; Baker, Bill J.</t>
  </si>
  <si>
    <t>The Role of Reactive Oxygen Species in Anti-herbivore Defense along the Western Antarctic Peninsula</t>
  </si>
  <si>
    <t>FREE RADICAL BIOLOGY AND MEDICINE</t>
  </si>
  <si>
    <t>17th Annual Meeting of the Society-for-Free-Radical-Biology-Medicine /15th Biennial Meeting of the Society-for-Free-Radical-Research-International</t>
  </si>
  <si>
    <t>NOV 17-21, 2010</t>
  </si>
  <si>
    <t>Orlando, FL</t>
  </si>
  <si>
    <t>[McDowell, Ruth Ellen; Amsler, Charles D.; McClintock, James B.] Univ Alabama, Birmingham, AL USA; [Baker, Bill J.] Univ S Florida, Tampa, FL 33620 USA</t>
  </si>
  <si>
    <t>Baker, Bill/N-4312-2019; McDowell, Ruth/KHX-0075-2024</t>
  </si>
  <si>
    <t>0891-5849</t>
  </si>
  <si>
    <t>FREE RADICAL BIO MED</t>
  </si>
  <si>
    <t>Free Radic. Biol. Med.</t>
  </si>
  <si>
    <t>S98</t>
  </si>
  <si>
    <t>10.1016/j.freeradbiomed.2010.10.255</t>
  </si>
  <si>
    <t>Biochemistry &amp; Molecular Biology; Endocrinology &amp; Metabolism</t>
  </si>
  <si>
    <t>681VD</t>
  </si>
  <si>
    <t>WOS:000284348000270</t>
  </si>
  <si>
    <t>Castellini, MA; Baskurt, O; Castellini, JM; Meiselman, HJ</t>
  </si>
  <si>
    <t>Castellini, Michael A.; Baskurt, Oguz; Castellini, Judith M.; Meiselman, Herbert J.</t>
  </si>
  <si>
    <t>Blood rheology in marine mammals</t>
  </si>
  <si>
    <t>FRONTIERS IN PHYSIOLOGY</t>
  </si>
  <si>
    <t>hemorheology; diving; red blood cells; viscosity</t>
  </si>
  <si>
    <t>ERYTHROCYTE-MEMBRANES; RED-CELL; HEMOGLOBIN CONCENTRATIONS; PHYSIOLOGICAL LEVELS; RBC AGGREGATION; WEDDELL SEALS; GAS TENSIONS; ELEPHANT; VISCOSITY; BEHAVIOR</t>
  </si>
  <si>
    <t>The field of blood oxygen transport and delivery to tissues has been studied by comparative physiologists for many decades. Within this general area, the particular differences in oxygen delivery between marine and terrestrial mammals has focused mainly on oxygen supply differences and delivery to the tissues under low blood flow diving conditions. Yet, the study of the inherent flow properties of the blood itself (hemorheology) is rarely discussed when addressing diving. However, hemorheology is important to the study of marine mammals because of the critical nature of the oxygen stores that are carried in the blood during diving periods. This review focuses on the essential elements of hemorheology, how they are defined and on fundamental rheological applications to marine mammals. While the comparative rationale used throughout the review is much broader than the particular problems associated with diving, the basic concepts focus on how changes in the flow properties of whole blood would be critical to oxygen delivery during diving. This review introduces the reader to most of the major rheological concepts that are relevant to the unique and unusual aspects of the diving physiology of marine mammals.</t>
  </si>
  <si>
    <t>[Castellini, Michael A.; Castellini, Judith M.] Univ Alaska, Inst Marine Sci, Fairbanks, AK 99775 USA; [Baskurt, Oguz] Koc Univ, Dept Physiol, Sch Med, Istanbul, Turkey; [Meiselman, Herbert J.] Univ So Calif, Keck Sch Med, Dept Physiol &amp; Biophys, Los Angeles, CA 90033 USA</t>
  </si>
  <si>
    <t>University of Alaska System; University of Alaska Fairbanks; Koc University; University of Southern California</t>
  </si>
  <si>
    <t>Castellini, MA (corresponding author), Univ Alaska, Inst Marine Sci, Fairbanks, AK 99775 USA.</t>
  </si>
  <si>
    <t>mikec@ims.uaf.edu</t>
  </si>
  <si>
    <t>Castellini, Michael/0000-0003-0396-1045</t>
  </si>
  <si>
    <t>National Science Foundation [0130417]; Raytheon Polar Services Company; Akdeniz University Research Fund; NIH Awards [HL15722, HL70595, TW001295]</t>
  </si>
  <si>
    <t>National Science Foundation(National Science Foundation (NSF)); Raytheon Polar Services Company; Akdeniz University Research Fund(Akdeniz University); NIH Awards(United States Department of Health &amp; Human ServicesNational Institutes of Health (NIH) - USA)</t>
  </si>
  <si>
    <t>Research on Weddell seals was supported by National Science Foundation OPP grant 0130417 to Michael A. Castellini and supported in the Antarctic by Raytheon Polar Services Company. Seals were captured and handled under MMPA permit # 1033-1683 issued to Michael A. Castellini and approved under UAF Institutional Animal Care and Use Committee Protocols. The study was supported in part by the Akdeniz University Research Fund and by NIH Awards HL15722, HL70595 and TW001295.</t>
  </si>
  <si>
    <t>FRONTIERS MEDIA SA</t>
  </si>
  <si>
    <t>LAUSANNE</t>
  </si>
  <si>
    <t>AVENUE DU TRIBUNAL FEDERAL 34, LAUSANNE, CH-1015, SWITZERLAND</t>
  </si>
  <si>
    <t>1664-042X</t>
  </si>
  <si>
    <t>FRONT PHYSIOL</t>
  </si>
  <si>
    <t>Front. Physiol.</t>
  </si>
  <si>
    <t>10.3389/fphys.2010.00146</t>
  </si>
  <si>
    <t>Physiology</t>
  </si>
  <si>
    <t>V35UB</t>
  </si>
  <si>
    <t>gold, Green Published</t>
  </si>
  <si>
    <t>WOS:000209172400042</t>
  </si>
  <si>
    <t>Pequeño, G; Pavés, H; Bertrán, C; Vargas-Chacoff, L</t>
  </si>
  <si>
    <t>Pequeno, German; Paves, Hector; Bertran, Carlos; Vargas-Chacoff, Luis</t>
  </si>
  <si>
    <t>Regimen estacional de alimentacion limnetica en el robalo Eleginops maclovinus (Valenciennes 1830), en el rio Valdivia, Chile</t>
  </si>
  <si>
    <t>GAYANA</t>
  </si>
  <si>
    <t>Feeding; seasonality; Eleginopidae; physiological versatility; Chile</t>
  </si>
  <si>
    <t>RIVER ESTUARY; LINGUE RIVER; FISH; MACROINFAUNA; NEMATODA</t>
  </si>
  <si>
    <t>The robalo Eleginops maclovinus (Valenciennes 1830) is a common fish in the littoral, estuaries and rivers (under tidal effects zone) of southern South America, including the Falkland islands. The feeding habits of this species is known mainly in the two first mentioned habitats, where it consumes mostly animals from marine and estuarine origin. However, little is known about its seasonal feeding habits in limnetic environments. It is only assumed that it has to eat preys from freshwater origin. In the present study, 127 specimens of E. maclovinus were analysed, 119 of which had stomach contents. The zoophagic tendency of the species is corroborated, but also animals from low salinities and limnetic salinities were found to be consumed in the freshwater environment. Consequently, E. maclovinus appears as an extraordinarily versatile species, in relation to its feeding capacities, with physiologic characteristics allowing a wide osmoregulatory spectrum at the digestive level, probably one of the most variable within the suborder Notothenioidei, which has strong Antarctic links.</t>
  </si>
  <si>
    <t>[Pequeno, German; Paves, Hector; Bertran, Carlos; Vargas-Chacoff, Luis] Univ Austral Chile, Inst Zool Ernst F Kilian, Valdivia, Chile</t>
  </si>
  <si>
    <t>Universidad Austral de Chile</t>
  </si>
  <si>
    <t>Pequeño, G (corresponding author), Univ Austral Chile, Inst Zool Ernst F Kilian, Valdivia, Chile.</t>
  </si>
  <si>
    <t>gpequeno@uach.cl</t>
  </si>
  <si>
    <t>Vargas-Chacoff, Luis LVCh/A-5855-2012</t>
  </si>
  <si>
    <t>Vargas-Chacoff, Luis/0000-0002-0497-2582; Paves, Hector/0000-0002-3550-4335</t>
  </si>
  <si>
    <t>UACh; MECESUP program [AUS 001-11]</t>
  </si>
  <si>
    <t>UACh; MECESUP program</t>
  </si>
  <si>
    <t>To Carlos Jara, Maritza Mercado, Alejandro Bravo, Wladimir Steffen and Leon Matamala, all of them from the Instituto de Zoologia, UACH; Jorge Jaramillo, Carlos Ramirez and Miguel Alvarez (Instituto de Botanica, UACH); M. Teresa Gonzalez, from the Doctoral Program, UACH (Academic of Universidad de Antofagasta); M. Eliana Ramirez and Melica Munoz (Museo Nacional de Historia Natural, Santiago), for their support in species identification and manipulation in the Laboratory. Louis DiSalvo greatly helped with English language. HPH was supported by the UACh and the MECESUP program (AUS 001-11). These are partial results of the Project S-2005-03 of the Universidad Austral de Chile, to the main author.</t>
  </si>
  <si>
    <t>EDICIONES UNIV, CONCEPCION</t>
  </si>
  <si>
    <t>CONCEPCION</t>
  </si>
  <si>
    <t>COMITE DE PUBLICACION, CASILLA 2407, CONCEPCION, 00000, CHILE</t>
  </si>
  <si>
    <t>0717-652X</t>
  </si>
  <si>
    <t>Gayana</t>
  </si>
  <si>
    <t>Oceanography; Zoology</t>
  </si>
  <si>
    <t>632KJ</t>
  </si>
  <si>
    <t>WOS:000280422300008</t>
  </si>
  <si>
    <t>Vergara, O; Jerez, V</t>
  </si>
  <si>
    <t>Vergara, Olivia; Jerez, Viviane</t>
  </si>
  <si>
    <t>Insects and infestations associated to foliage of Nothofagus antarctica (Forst) Oerst. (Nothofagaceae) in the Baker river basin, Region de Aysen, Chile.</t>
  </si>
  <si>
    <t>Italian</t>
  </si>
  <si>
    <t>shrubby beech forests; scrublands; Antarctic beech; taxonomic diversity</t>
  </si>
  <si>
    <t>HERBIVORY</t>
  </si>
  <si>
    <t>In the Region de Aysen, Chile, Nothofagus antarctica (nirre or Antarctic beech) forms pure forests called shrubby beech forests and secondary mixed shrub of anthropogenic origin. The aim of this work is to characterize the insect fauna associated to the foliage of Antarctic beech forests and scrublands in the Baker river basin. Insects were collected in spring (October 2006) and summer (January 2007), in five beech forests and 10 scrub patches from latitudes 47 degrees 2' S - 72 degrees 48' W to 47 degrees 15' S - 73 degrees W. Six orders of insects were identified, being Coleoptera the most diverse. The phytophagous-beetle guild was the most representative in both forest types and climatic seasons. No significant differences were found in insect taxonomic composition or mean abundance of guilds between forest types or climatic seasons. Additionally, abundant defoliation by Ormiscodes sp. larvae, infestation by parasitic plants and fungi, and insect galls were observed. More exhaustive samplings in autumn and winter, complemented with more efficient sampling methods, would allow identifying the year-round insect diversity associated to Antarctic beech foliage.</t>
  </si>
  <si>
    <t>[Vergara, Olivia; Jerez, Viviane] Univ Concepcion, Dept Zool, Fac Ciencias Nat &amp; Oceanog, Concepcion, Chile</t>
  </si>
  <si>
    <t>Vergara, O (corresponding author), Univ Concepcion, Dept Zool, Fac Ciencias Nat &amp; Oceanog, Casilla 160-C, Concepcion, Chile.</t>
  </si>
  <si>
    <t>olvergar@udec.cl</t>
  </si>
  <si>
    <t>0717-6538</t>
  </si>
  <si>
    <t>711CT</t>
  </si>
  <si>
    <t>WOS:000286564700002</t>
  </si>
  <si>
    <t>Torricelli, G; Carapelli, A; Convey, P; Nardi, F; Boore, JL; Frati, F</t>
  </si>
  <si>
    <t>Torricelli, Giulia; Carapelli, Antonio; Convey, Peter; Nardi, Francesco; Boore, Jeffrey L.; Frati, Francesco</t>
  </si>
  <si>
    <t>High divergence across the whole mitochondrial genome in the pan-Antarctic springtail Friesea grisea: Evidence for cryptic species?</t>
  </si>
  <si>
    <t>GENE</t>
  </si>
  <si>
    <t>Collembola; Antarctica; mtDNA; Cryptic species</t>
  </si>
  <si>
    <t>A+T-RICH REGION; PHYLOGENETIC ANALYSIS; COMPLETE SEQUENCE; GLACIAL REFUGIA; HEXAPOD ORIGINS; APIS-MELLIFERA; VICTORIA LAND; DNA; EVOLUTION; SUGGEST</t>
  </si>
  <si>
    <t>Collembola are one of the few hexapod groups adapted to live in the harsh environmental conditions of Antarctic terrestrial ecosystems. Diversity is limited to a few species that can be very abundant in coastal deglaciated sites. A remarkable lack of overlap in Collembola species composition is evident between Western and Eastern Antarctica, and Friesea grisea is currently the only species whose distribution is thought to span these two main regions of the continent. However, our analysis of the complete sequences of the mitochondrial genomes from specimens obtained from each of the two regions showed unexpected genetic divergence, well above the average levels observed between populations belonging to the same species, and so indicating that these are actually separate species, despite their lack of distinguishing morphology. Detailed analysis of the two genomes showed the presence of a non-coding region observed between trnS (uga) and nad1. Other features of these mitochondrial genomes, such as base compositional bias, secondary structure features of tRNAs and the presence of regulatory elements in the control region, are described and discussed from an evolutionary standpoint. (C) 2009 Elsevier B.V. All rights reserved.</t>
  </si>
  <si>
    <t>[Torricelli, Giulia; Carapelli, Antonio; Nardi, Francesco; Frati, Francesco] Univ Siena, Dept Evolutionary Biol, I-53100 Siena, Italy; [Convey, Peter] British Antarctic Survey, NERC, Cambridge CB3 0ET, England; [Boore, Jeffrey L.] Genome Project Solut Inc, Hercules, CA 94547 USA; [Boore, Jeffrey L.] DOE Joint Genome Inst, Walnut Creek, CA 94598 USA; [Boore, Jeffrey L.] Univ Calif Berkeley, Lawrence Berkeley Lab, Walnut Creek, CA 94598 USA</t>
  </si>
  <si>
    <t>University of Siena; UK Research &amp; Innovation (UKRI); Natural Environment Research Council (NERC); NERC British Antarctic Survey; United States Department of Energy (DOE); United States Department of Energy (DOE); Lawrence Berkeley National Laboratory; University of California System; University of California Berkeley</t>
  </si>
  <si>
    <t>Carapelli, A (corresponding author), Univ Siena, Dept Evolutionary Biol, Via A Moro 2, I-53100 Siena, Italy.</t>
  </si>
  <si>
    <t>torricelli5@unisi.it; carapelli@unisi.it; pcon@bas.ac.uk; nardifra@unisi.it; JLBoore@GenomeProjectSolutions.com; frati@unisi.it</t>
  </si>
  <si>
    <t>Convey, Peter/AAV-5728-2020; Nardi, Francesco/E-5516-2011; Boore, Jeffrey L/E-8654-2012; Carapelli, Antonio/H-9216-2019</t>
  </si>
  <si>
    <t>Convey, Peter/0000-0001-8497-9903; Nardi, Francesco/0000-0003-0271-9855; Carapelli, Antonio/0000-0002-3165-9620</t>
  </si>
  <si>
    <t>Italian Program of Research in Antarctica; Italian MIUR (PRIN); University of Siena; Natural Environment Research Council [bas0100025] Funding Source: researchfish; NERC [bas0100025] Funding Source: UKRI</t>
  </si>
  <si>
    <t>Italian Program of Research in Antarctica; Italian MIUR (PRIN)(Ministry of Education, Universities and Research (MIUR)Research Projects of National Relevance (PRIN)); University of Siena; Natural Environment Research Council(UK Research &amp; Innovation (UKRI)Natural Environment Research Council (NERC)); NERC(UK Research &amp; Innovation (UKRI)Natural Environment Research Council (NERC))</t>
  </si>
  <si>
    <t>This work was supported by grants from the Italian Program of Research in Antarctica (PNRA), the Italian MIUR (PRIN), and the University of Siena (PAR) to A.C. and F.F. This paper contributes to the BAS BIOFLAME and SCAR EBA research programs.</t>
  </si>
  <si>
    <t>0378-1119</t>
  </si>
  <si>
    <t>1879-0038</t>
  </si>
  <si>
    <t>Gene</t>
  </si>
  <si>
    <t>10.1016/j.gene.2009.09.006</t>
  </si>
  <si>
    <t>Genetics &amp; Heredity</t>
  </si>
  <si>
    <t>523JA</t>
  </si>
  <si>
    <t>WOS:000272067900004</t>
  </si>
  <si>
    <t>Al-Husseini, MI; Mahmoud, MD; Matthews, RK</t>
  </si>
  <si>
    <t>Al-Husseini, Moujahed I.; Mahmoud, M. Dia; Matthews, Robley K.</t>
  </si>
  <si>
    <t>MIDDLE EAST GEOLOGIC TIME SCALE 2010 Miocene Kareem Sequence, Gulf of Suez, Egypt</t>
  </si>
  <si>
    <t>GEOARABIA</t>
  </si>
  <si>
    <t>NORTHERN RED-SEA; SEDIMENTARY EVOLUTION; TECTONIC EVOLUTION; SOURCE-ROCK; RIFT; STRATIGRAPHY; ADEN; LITHOSTRATIGRAPHY; FRAMEWORK; BASIN</t>
  </si>
  <si>
    <t>The Miocene Kareem Formation in the Egyptian Gulf of Suez, and its equivalent formations throughout the Red Sea (250-550 m thick), contain one of the most important petroleum reservoirs in these highly faulted rift basins. They present a difficult exploration target, particularly over the shelves of the sparsely explored Red Sea for several reasons: (1) water depth exceeds one kilometer, (2) they underlie thick evaporites (including salt exceeding one kilometer in thickness), (3) they are difficult to image by conventional seismic techniques, and (4) their lithology is laterally variable and difficult to predict (anhydrite, carbonate, sandstone, shale and marl). The target Red Sea formations are best controlled by boreholes in the Gulf of Suez, where the Kareem Formation and its members are characterized by various synonymous units. A review of representative data and interpretations shows that the formation and its members are better understood when considered as a third-order, transgressive-regressive (T-R) depositional sequence, named the Kareem Sequence in the Middle East Geologic Time Scale (ME GTS). The Sequence is bounded above by the Belayim Sequence Boundary (Sub-Belayim Unconformity) and below by the Kareem Sequence Boundary (Sub-Kareem Unconformity), both corresponding to major sea-level lowstands. It contains the Arabian Plate Langhian Maximum Flooding Surface Neogene 30 (MFS Ng30) at the top of the Kareem Maximum Flooding Interval (MFI). Its lower Rahmi Member forms the majority of the transgressive systems tract (TST). The Kareem MFI and regressive systems tract (RST or HST) occur within the upper Shagar Member. The paleontology of the Formation is characterized by Planktonic Foraminiferal Zone N9 and in recent papers also N8, and Calcareous Nannofossil Biozone NN5, but the Formation's assignment to Miocene stages (Burdigalian, Langhian and Serravallian) is unresolved in the literature. In this paper, the Kareem Sequence is interpreted in terms of Kareem subsequences 1 to 6. At semi-regional scales (10s of km), the older three are each represented by an anhydrite bed (Rahmi Anhydrite 1 to 3, each c. 10 m thick) overlain by deep-marine deposits (shale, marl and carbonate, 10s of meters thick). Subsequences 4 to 6 are represented in El Morgan field (Kareem A to C units), and in representative boreholes, by three deep-marine shale/marl units, each of which is overlain by a regressive shallow-marine sandstone unit. The Kareem Sequence is correlated to third-order orbital sequence DS(3)1.1 with a depositional period of ca. 2.43 million years between ca. 16.1 and 13.7 million years before present (Ma), or numerically the latest Burdigalian, Langhian and earliest Serravallian (Langhian: 15.97-13.65 Ma in GTS 2004; 15.97-13.82 Ma in GTS 2009). The six subsequences are correlated to the orbital 405,000 year eccentricity cycle (referred to as Stratons 40-35 or DS4 1.1.1 to 1.1.6). The older three subsequences form the transgressive systems tract; the fourth contains the maximum flooding interval MFI (ca. 14.9-14.7 Ma) in its lower part. The regressive systems tract starts in the upper part of the fourth subsequence and encompasses subsequences 5 and 6. The orbital architecture of the Sequence provides a simplified framework for predicting lithology and reservoir development. The six Kareem subsequences carry the orbital-forcing glacio-eustatic signal. During low eccentricity, Antarctic ice-making and global sea-level drops, the northernmost Gulf of Suez and Bab Al Mandeb Strait restricted marine circulation in the Gulf and Red Sea rift basins. The resulting evaporitic setting was associated with the deposition of the Rahmi Anhydrite 1 to 3 beds and exposure over paleohighs. The deeper-marine deposits above the three Rahmi Anhydrite beds, and those of subsequences 4 to 6 reflect high eccentricity, Antarctic ice-melting, global sea-level rises, pluvial conditions at low latitudes (10-30 degrees N), and openmarine circulation in the Red Sea. During pluvial periods, fluvio-deltaic systems prevailed over the mountainous rift shoulders and coastal plains and carried massive clastics into the Gulf and Red Sea Basins.</t>
  </si>
  <si>
    <t>[Al-Husseini, Moujahed I.] Gulf PetroLink, Manama, Bahrain; [Al-Husseini, Moujahed I.] Gulf PetroLink GeoArabia, Manama, Bahrain; [Matthews, Robley K.] Brown Univ, Providence, RI 02912 USA</t>
  </si>
  <si>
    <t>Brown University</t>
  </si>
  <si>
    <t>Al-Husseini, MI (corresponding author), Gulf PetroLink, Manama, Bahrain.</t>
  </si>
  <si>
    <t>geoarabi@batelco.com.bh; diasg@tedata.net.eg; rkm@brown.edu</t>
  </si>
  <si>
    <t>Exxon Mobil; Saudi Aramco; Shell</t>
  </si>
  <si>
    <t>Exxon Mobil(Exxon Mobil Corporation); Saudi Aramco; Shell(Royal Dutch Shell)</t>
  </si>
  <si>
    <t>This paper is part of a study conducted by the authors in 2004 as the Red Sea Orbital Stratigraphy project. The authors would like to thank Exxon Mobil, Saudi Aramco and Shell for supporting the study. The authors thank R. Alway, G.W. Hughes, R. Johnson, J. Manner and A. Youssef for providing helpful comments. They also thank Nestor Buhay H, Geo Arabia's Production Manager and Geo Arabia Designer Arnold Egdane for designing the manuscript.</t>
  </si>
  <si>
    <t>GULF PETROLINK</t>
  </si>
  <si>
    <t>MANAMA</t>
  </si>
  <si>
    <t>PO BOX 20393, MANAMA, 00000, BAHRAIN</t>
  </si>
  <si>
    <t>1025-6059</t>
  </si>
  <si>
    <t>GeoArabia</t>
  </si>
  <si>
    <t>582ZB</t>
  </si>
  <si>
    <t>WOS:000276639000006</t>
  </si>
  <si>
    <t>Kylchitskiy, AJ; Tretyak, KR; Golubinka, YI</t>
  </si>
  <si>
    <t>Kylchitskiy, A. J.; Tretyak, K. R.; Golubinka, Y. I.</t>
  </si>
  <si>
    <t>DETAILED GEODYNAMIC MODEL OF PENOL FAULT (ANTARCTIC PENINSULA) ON THE BASE OF GEODETICMEASUREMENTS AND GEOLOGICAL-GEOPHYSICAL DATA</t>
  </si>
  <si>
    <t>GEODYNAMICS</t>
  </si>
  <si>
    <t>geodynamic researches; geodynamic network; Antarctic Peninsula; Argentina islands; Penol strait fault</t>
  </si>
  <si>
    <t>Detailed geodynamic model of lithosphere of Ukrainian Antarctic station Academic Vernadskyy area is given which is made on the basis of processing of results of GPS-measurements and the geologo-geophysical data taken during the works of 8th and 10th Ukrainian Antarctic Expeditions. The local and regional components of geodynamic influence on investigated territory tectonics are picking out.</t>
  </si>
  <si>
    <t>[Kylchitskiy, A. J.; Tretyak, K. R.; Golubinka, Y. I.] Natl Univ Lviv Polytech, Lvov, Ukraine</t>
  </si>
  <si>
    <t>Ministry of Education &amp; Science of Ukraine; Lviv Polytechnic National University</t>
  </si>
  <si>
    <t>Kylchitskiy, AJ (corresponding author), Natl Univ Lviv Polytech, Lvov, Ukraine.</t>
  </si>
  <si>
    <t>Tretyak, Kornyliy R/B-8678-2018</t>
  </si>
  <si>
    <t>LVIV POLYTECHNIC NATL UNIV</t>
  </si>
  <si>
    <t>LVIV</t>
  </si>
  <si>
    <t>ST S BANDERA, 12, LVIV, 13, UKRAINE</t>
  </si>
  <si>
    <t>1992-142X</t>
  </si>
  <si>
    <t>2519-2663</t>
  </si>
  <si>
    <t>Geodynamics</t>
  </si>
  <si>
    <t>VF1ZP</t>
  </si>
  <si>
    <t>WOS:000442182500001</t>
  </si>
  <si>
    <t>Bakhmutov, V; Solovyov, V; Korchagin, I; Levashov, S; Yakymchuk, N; Bozhezha, D</t>
  </si>
  <si>
    <t>Bakhmutov, V.; Solovyov, V.; Korchagin, I.; Levashov, S.; Yakymchuk, N.; Bozhezha, D.</t>
  </si>
  <si>
    <t>Drake Passage: crustal structure, tectonic evolution and new prognosis for local HC accumulations along the Antarctic Peninsula margin</t>
  </si>
  <si>
    <t>GEOFIZICHESKIY ZHURNAL-GEOPHYSICAL JOURNAL</t>
  </si>
  <si>
    <t>[Bakhmutov, V.; Solovyov, V.; Korchagin, I.] Natl Acad Sci Ukraine, Inst Geophys, Kiev, Ukraine; [Levashov, S.; Yakymchuk, N.; Bozhezha, D.] Natl Acad Sci Ukraine, Inst Appl Problems Ecol Geophys &amp; Geochem, Kiev, Ukraine</t>
  </si>
  <si>
    <t>National Academy of Sciences Ukraine; Subbotin Institute of Geophysics, National Academy of Sciences of Ukraine; National Academy of Sciences Ukraine</t>
  </si>
  <si>
    <t>Bakhmutov, V (corresponding author), Natl Acad Sci Ukraine, Inst Geophys, Kiev, Ukraine.</t>
  </si>
  <si>
    <t>bakhm@igph.kiev.ua; yakymchuk@karbon.com.ua; bozhezha@gmail.com</t>
  </si>
  <si>
    <t>Bakhmutov, Vladimir I./T-1336-2019</t>
  </si>
  <si>
    <t>S I SUBBOTIN INST GEOPHYSICS NATL ACAD</t>
  </si>
  <si>
    <t>KIEV</t>
  </si>
  <si>
    <t>PR PALLADINA 32, KIEV, 252142, UKRAINE</t>
  </si>
  <si>
    <t>0203-3100</t>
  </si>
  <si>
    <t>2524-1052</t>
  </si>
  <si>
    <t>GEOFIZ ZHURNAL</t>
  </si>
  <si>
    <t>Geofiz. Zhurnal</t>
  </si>
  <si>
    <t>VE5OJ</t>
  </si>
  <si>
    <t>WOS:000439596100005</t>
  </si>
  <si>
    <t>Savenko, BY; Korchin, VA; Burtny, PA; Karnaukhova, EE; Chulkov, SS</t>
  </si>
  <si>
    <t>Savenko, B. Ya.; Korchin, V. A.; Burtny, P. A.; Karnaukhova, E. E.; Chulkov, S. S.</t>
  </si>
  <si>
    <t>Petromagnetic characteristics of the magnetoactive layer of the Earth's crust of the Antarctic coast of the Akademik Vernadsky station area</t>
  </si>
  <si>
    <t>Tree horizons of magnetically active layer of the earth's crust have been separated according to the results of correlative analysis of physical parameters of rocks of the Antarctic coast in the area of Academician Vernadskiy station. Magnetization of layers was estimated according to the value of integrated magnetization (J) with subsequent correlation and allocation to stratigraphic and structural elements. According to the results of PT-experiments on the rocks of the same type corrections have been introduced into J values for changes with depth at the expense of pressure and temperature effects. Calculated values of integrated magnetization under natural conditions of rocks occurrence allowed to simulate geometrical sections of magnetic layers, estimate intensity of anomalous field produced by them.</t>
  </si>
  <si>
    <t>[Savenko, B. Ya.; Korchin, V. A.; Burtny, P. A.; Karnaukhova, E. E.; Chulkov, S. S.] NAS Ukraine, Inst Geophys, Kiev, Ukraine</t>
  </si>
  <si>
    <t>National Academy of Sciences Ukraine; Subbotin Institute of Geophysics, National Academy of Sciences of Ukraine</t>
  </si>
  <si>
    <t>Savenko, BY (corresponding author), NAS Ukraine, Inst Geophys, Kiev, Ukraine.</t>
  </si>
  <si>
    <t>VE5MX</t>
  </si>
  <si>
    <t>WOS:000439581600006</t>
  </si>
  <si>
    <t>Golledge, NR; Everest, JD; Bradwell, T; Johnson, JS</t>
  </si>
  <si>
    <t>Golledge, Nicholas R.; Everest, Jeremy D.; Bradwell, Tom; Johnson, Joanne S.</t>
  </si>
  <si>
    <t>LICHENOMETRY ON ADELAIDE ISLAND, ANTARCTIC PENINSULA: SIZE-FREQUENCY STUDIES, GROWTH RATES AND SNOWPATCHES</t>
  </si>
  <si>
    <t>GEOGRAFISKA ANNALER SERIES A-PHYSICAL GEOGRAPHY</t>
  </si>
  <si>
    <t>glaciation; snow patches; Rhizocarpon; positive degree day; photogrammetry</t>
  </si>
  <si>
    <t>LAST GLACIAL MAXIMUM; SOUTHERN NORWAY; CLIMATE-CHANGE; RHIZOCARPON; LICHENS; ICE; VEGETATION; SNOW; COLONIZATION; MORAINES</t>
  </si>
  <si>
    <t>This paper presents new lichenometric population data from the Antarctic Peninsula (67 degrees S), and describes a new approach to lichen growth-rate calibration in locations where dated surfaces are extremely rare. We use historical aerial photography and field surveys to identify sites of former perennial snowpatches where lichen populations now exist. As an independent check on lichen mortality by snowkill, and the timing of snow patch disappearance, we use a positive-degree day (PDD) approach based on monthly climate data from Rothera Research Station. We find that maximum growth rates for lichens &lt; 40 mm in diameter on Adelaide Island are around 0.8 mm/yr. Furthermore, we propose that our combined methodology may be more widely applicable to the Polar Regions where the construction of lichenometric dating (age-size) curves remains a problem.</t>
  </si>
  <si>
    <t>[Golledge, Nicholas R.] Victoria Univ Wellington, Antarctic Res Ctr, Wellington 6140, New Zealand; [Everest, Jeremy D.; Bradwell, Tom] British Geol Survey, Edinburgh EH9 3LA, Midlothian, Scotland; [Johnson, Joanne S.] British Antarctic Survey, Cambridge CB3 0ET, England</t>
  </si>
  <si>
    <t>Victoria University Wellington; UK Research &amp; Innovation (UKRI); Natural Environment Research Council (NERC); NERC British Geological Survey; UK Research &amp; Innovation (UKRI); Natural Environment Research Council (NERC); NERC British Antarctic Survey</t>
  </si>
  <si>
    <t>Golledge, NR (corresponding author), Victoria Univ Wellington, Antarctic Res Ctr, POB 600, Wellington 6140, New Zealand.</t>
  </si>
  <si>
    <t>nick.golledge@vuw.ac.nz; tbrad@bgs.ac.uk</t>
  </si>
  <si>
    <t>Golledge, Nicholas/0000-0001-7676-8970; Johnson, Joanne/0000-0003-4537-4447; Bradwell, Tom/0000-0003-0947-3309</t>
  </si>
  <si>
    <t>This work resulted from part of collaborative fieldwork between BGS Quaternary Earth Systems and BAS GRADES-QWAD. This paper is published as part of the British Antarctic Survey 'Polar Science for Planet Earth' programme. It was funded by the Natural Environment Research Council. The authors would like to thank the staff at BAS Rothera Research Station for assistance during fieldwork, in particular John Shanklin for access to climate data, Jim Elliott, John Loines, and Base Commander Alison Dean. We are especially grateful to Micheal O'Neal and Ron Lewis Smith for informative and constructive reviews. This paper is published with the permission of the Executive Director, BGS (NERC).</t>
  </si>
  <si>
    <t>0435-3676</t>
  </si>
  <si>
    <t>1468-0459</t>
  </si>
  <si>
    <t>GEOGR ANN A</t>
  </si>
  <si>
    <t>Geogr. Ann. Ser. A-Phys. Geogr.</t>
  </si>
  <si>
    <t>92A</t>
  </si>
  <si>
    <t>10.1111/j.1468-0459.2010.00381.x</t>
  </si>
  <si>
    <t>563AF</t>
  </si>
  <si>
    <t>WOS:000275096800009</t>
  </si>
  <si>
    <t>Roberts, SJ; Hodgson, DA; Shelley, S; Royles, J; Griffiths, HJ; Deen, TJ; Thorne, MAS</t>
  </si>
  <si>
    <t>Roberts, Stephen J.; Hodgson, Dominic A.; Shelley, Samantha; Royles, Jessica; Griffiths, Huw J.; Deen, Tara J.; Thorne, Michael A. S.</t>
  </si>
  <si>
    <t>ESTABLISHING LICHENOMETRIC AGES FOR NINETEENTH- AND TWENTIETH-CENTURY GLACIER FLUCTUATIONS ON SOUTH GEORGIA (SOUTH ATLANTIC)</t>
  </si>
  <si>
    <t>Antarctica; climate change; Southern Ocean; Little Ice Age; geomorphology; glaciers</t>
  </si>
  <si>
    <t>CLIMATE-CHANGE; CENTRAL STRAIT; LICHEN GROWTH; BAHIA INUTIL; ICELAND; RECORD; ISLAND; OCEAN; VARIABILITY; ANTARCTICA</t>
  </si>
  <si>
    <t>Glaciers in small mountain cirques on South Georgia respond rapidly and sensitively to changes in South Atlantic climate. The timing and rate of their deglaciation can be used to examine the impact that nineteenth- and twentieth-century climate change has had on the glacial dynamics and terrestrial ecosystems of South Georgia. As part of a reconnaissance study in Prince Olav Harbour (POH), South Georgia, we measured the size of lichens (Rhizocarpon Ram. em Th. Fr. subgenus. Rhizocarpon group) on ice-free moraine ridges around two small mountain cirques. Our aims were twofold: first, to provide age estimates for lichen colonization, and hence, deglaciation of the moraine ridges, and second, to examine the potential of applying lichenometry more widely to provide deglacial age constraints on South Georgia. In the absence of lichen age-size (dating) curves for South Georgia, we use long-term Rhizocarpon lichen growth-rates from recent studies on sub-Antarctic Islands and the western Antarctic Peninsula to calculate likely age estimates. These data suggest ice retreat from the two outermost moraines occurred between the end of the 'Little Ice Age' (post c. 1870) and the early twentieth century on South Georgia. Lichen colonization of the innermost moraines is probably related to glacier retreat during the second half of the twentieth century, which has been linked to a well-defined warming trend since c. 1950. Patterns of possible nineteenth- and twentieth-century glacial retreat identified in POH need to be tested further by establishing species- and site-specific lichen age-size (dating) curves for South Georgia, and by applying lichenometry to other mountain cirques across South Georgia.</t>
  </si>
  <si>
    <t>[Roberts, Stephen J.; Hodgson, Dominic A.; Shelley, Samantha; Royles, Jessica; Griffiths, Huw J.; Deen, Tara J.; Thorne, Michael A. S.] British Antarctic Survey, Cambridge CB3 0ET, England; [Royles, Jessica] Univ Cambridge, Dept Plant Sci, Cambridge CB2 3EA, England</t>
  </si>
  <si>
    <t>Roberts, SJ (corresponding author), British Antarctic Survey, Madingley Rd, Cambridge CB3 0ET, England.</t>
  </si>
  <si>
    <t>sjro@bas.ac.uk</t>
  </si>
  <si>
    <t>Shelley, Samantha/KHD-0344-2024; Griffiths, Huw J/D-4234-2009; Martin, Tara/K-9174-2016</t>
  </si>
  <si>
    <t>Griffiths, Huw J/0000-0003-1764-223X; Thorne, Michael/0000-0001-7759-612X; Martin, Tara/0000-0002-3620-1141; Roberts, Stephen/0000-0003-3407-9127; Royles, Jessica/0000-0003-0489-6863</t>
  </si>
  <si>
    <t>BAS; NERC/BAS [BDTG/Task 3/9511/ 2544]; NERC [bas0100024] Funding Source: UKRI; Natural Environment Research Council [bas0100024] Funding Source: researchfish</t>
  </si>
  <si>
    <t>BAS; NERC/BAS(UK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</si>
  <si>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funded by BAS and a NERC/BAS doctoral training grant (no. BDTG/Task 3/9511/ 2544) awarded to JR. Thanks to: HMS Endurance for excellent helicopter and field support; the Mapping and Geographic Information Centre (MAGIC) at BAS (namely Peter Fretwell) for aerial photographs and maps; Sandra Marsh and Jo Rae (BAS archives) and Alison Neil (South Georgia Historic Trust) for information about historical structures on South Georgia; Helen Peat, Pete Convey, Jeremy Everest, and Tom Bradwell for helpful discussions and pointers to useful references. We are grateful to Leo Sancho, Eric Wolff, Alan Roger and an anonymous reviewer for their constructive comments which greatly improved this paper.</t>
  </si>
  <si>
    <t>10.1111/j.1468-0459.2010.00382.x</t>
  </si>
  <si>
    <t>WOS:000275096800010</t>
  </si>
  <si>
    <t>Jiang, HC; Deng, SC; Huang, QY; Dong, HL; Yu, BS</t>
  </si>
  <si>
    <t>Jiang, Hongchen; Deng, Shicai; Huang, Qiuyuan; Dong, Hailiang; Yu, Bingsong</t>
  </si>
  <si>
    <t>Response of Aerobic Anoxygenic Phototrophic Bacterial Diversity to Environment Conditions in Saline Lakes and Daotang River on the Tibetan Plateau, NW China</t>
  </si>
  <si>
    <t>GEOMICROBIOLOGY JOURNAL</t>
  </si>
  <si>
    <t>aerobic anoxygenic phototrophic (AAnP); diversity; pufM; salinity; Tibetan lakes</t>
  </si>
  <si>
    <t>MARINE ROSEOBACTER LINEAGE; ANTARCTIC LAKES; GLOBAL OCEAN; ABUNDANCE; WATER; SEDIMENT; GENES; CHAKA; SEA</t>
  </si>
  <si>
    <t>Variations of the pufM gene [encoding the M subunit of the photosynthetic reaction center in aerobic anoxygenic phototrophic (AAnP) bacteria] diversity in response to environmental changes were investigated in waters of six aqueous regimes (including Daotang River and five saline/hypersaline lakes on the Tibetan Plateau) representing a full salinity gradient from freshwater to NaCl-saturation. AAnP bacterial community structures responded to salinity change: Gamma-like AAnP community was predominant in freshwater Daotang River (0.01% salinity). AAnP community structure shifted from Loktanella-like sequences of the Alphaproteobacteria in saline Qinghai Lake to Roseobacter-like sequences in hypersaline lakes (Gahai, Xiaochaidan and Charhan). In addition to salinity, other environmental variables (e.g. N and P availability, TOC and/or DOC, and HCO-3/CO2-3 ions) were also important in affecting the pufM gene diversity in hypersaline lakes. These data have important implications for our understanding of the response of AAnP bacterial community to environmental variables in high-altitude aquatic ecosystems.</t>
  </si>
  <si>
    <t>[Jiang, Hongchen; Deng, Shicai; Huang, Qiuyuan; Dong, Hailiang; Yu, Bingsong] China Univ Geosci, Geomicrobiol Lab, State Key Lab Geol Proc &amp; Mineral Resources, Beijing 100083, Peoples R China; [Huang, Qiuyuan; Dong, Hailiang] Miami Univ, Dept Geol, Oxford, OH 45056 USA; [Dong, Hailiang] China Univ Geosci, Minist Educ, Key Lab Biogeol &amp; Environm Geol, Wuhan 430074, Peoples R China</t>
  </si>
  <si>
    <t>China University of Geosciences; University System of Ohio; Miami University; China University of Geosciences</t>
  </si>
  <si>
    <t>Jiang, HC (corresponding author), China Univ Geosci, Geomicrobiol Lab, State Key Lab Geol Proc &amp; Mineral Resources, Beijing 100083, Peoples R China.</t>
  </si>
  <si>
    <t>jianghc@cugb.edu.cn; dongh@muohio.edu</t>
  </si>
  <si>
    <t>Jiang, Hongchen/I-5838-2016; Jiang, Hongchen/Y-9471-2018</t>
  </si>
  <si>
    <t>Jiang, Hongchen/0000-0003-1271-7028; Dong, Hailiang/0000-0002-7468-1350</t>
  </si>
  <si>
    <t>National Science Foundation of China [40672079]; 111 projects of China [B07011, B08030]; 973 Project of China [2006CB701406]; China Postdoctoral Science Foundation [20090450457]; Scientific Research Foundation for the Returned Overseas Chinese Scholars; State Key Laboratory of Geological Processes and Mineral Resources of China University of Geosciences Beijing [GPMR2008K08B, GPMR200844]</t>
  </si>
  <si>
    <t>National Science Foundation of China(National Natural Science Foundation of China (NSFC)); 111 projects of China(Ministry of Education, China - 111 Project); 973 Project of China(National Basic Research Program of China); China Postdoctoral Science Foundation(China Postdoctoral Science Foundation); Scientific Research Foundation for the Returned Overseas Chinese Scholars(Scientific Research Foundation for the Returned Overseas Chinese Scholars); State Key Laboratory of Geological Processes and Mineral Resources of China University of Geosciences Beijing</t>
  </si>
  <si>
    <t>This research was supported by National Science Foundation of China (40672079) to HD and BY, the 111 projects of China (Nos. B07011 and B08030), 973 Project of China (2006CB701406), China Postdoctoral Science Foundation (20090450457), the Scientific Research Foundation for the Returned Overseas Chinese Scholars, and the Research Funds of the State Key Laboratory of Geological Processes and Mineral Resources of China University of Geosciences Beijing (GPMR2008K08B and GPMR200844). The authors are grateful to two anonymous reviewers for their constructive reviews which improved the quality of the manuscript.</t>
  </si>
  <si>
    <t>325 CHESTNUT ST, SUITE 800, PHILADELPHIA, PA 19106 USA</t>
  </si>
  <si>
    <t>0149-0451</t>
  </si>
  <si>
    <t>GEOMICROBIOL J</t>
  </si>
  <si>
    <t>Geomicrobiol. J.</t>
  </si>
  <si>
    <t>PII 922886131</t>
  </si>
  <si>
    <t>10.1080/01490450903480269</t>
  </si>
  <si>
    <t>609NL</t>
  </si>
  <si>
    <t>WOS:000278663400004</t>
  </si>
  <si>
    <t>Sugden, D</t>
  </si>
  <si>
    <t>Migon, P</t>
  </si>
  <si>
    <t>Sugden, David</t>
  </si>
  <si>
    <t>The Dry Valleys: An Ancient and Cold Desert in Antarctica</t>
  </si>
  <si>
    <t>GEOMORPHOLOGICAL LANDSCAPES OF THE WORLD</t>
  </si>
  <si>
    <t>Antarctic; geomorphology; ice sheets; Dry Valleys</t>
  </si>
  <si>
    <t>SOUTHERN VICTORIA LAND; TRANSANTARCTIC-MOUNTAINS; EAST ANTARCTICA; GLACIAL GEOLOGY; ICE-SHEET; LANDSCAPE EVOLUTION; LOW RATES; PHYSIOGRAPHY; DEPOSITS; LEVEL</t>
  </si>
  <si>
    <t>The Dry Valleys comprise an ice-free part of the Transantarctic Mountains in Antarctica, bounded by the East Antarctic Ice Sheet on the landward side and a coastal ice dome at the coast. Weathering rates are among the lowest on Earth and reflect the persistent hyper-arid, cold polar desert climate. Some buried ice has survived for over 8 million years. The main escarpments and valleys were created on a passive continental margin as Antarctica split from Australia some 55 million years ago. Ice sheet glaciations covered the area some 14 million years ago, deepening some valleys. Sub-glacial lake outbursts, possibly from Lake Vostok, cut the spectacular Labyrinth, a network of vast channels. During Pleistocene glacial periods grounded ice in the Ross Sea dammed large lakes in the lower reaches of the valleys.</t>
  </si>
  <si>
    <t>Univ Edinburgh, Sch Geosci, Edinburgh EH8 9YL, Midlothian, Scotland</t>
  </si>
  <si>
    <t>University of Edinburgh</t>
  </si>
  <si>
    <t>Sugden, D (corresponding author), Univ Edinburgh, Sch Geosci, Edinburgh EH8 9YL, Midlothian, Scotland.</t>
  </si>
  <si>
    <t>NERC [NE/F014252/1] Funding Source: UKRI</t>
  </si>
  <si>
    <t>978-90-481-3054-2</t>
  </si>
  <si>
    <t>10.1007/978-90-481-3055-9_13</t>
  </si>
  <si>
    <t>10.1007/978-90-481-3055-9</t>
  </si>
  <si>
    <t>BOZ02</t>
  </si>
  <si>
    <t>WOS:000278086500013</t>
  </si>
  <si>
    <t>Haywood, AM; Dowsett, HJ; Otto-Bliesner, B; Chandler, MA; Dolan, AM; Hill, DJ; Lunt, DJ; Robinson, MM; Rosenbloom, N; Salzmann, U; Sohl, LE</t>
  </si>
  <si>
    <t>Haywood, A. M.; Dowsett, H. J.; Otto-Bliesner, B.; Chandler, M. A.; Dolan, A. M.; Hill, D. J.; Lunt, D. J.; Robinson, M. M.; Rosenbloom, N.; Salzmann, U.; Sohl, L. E.</t>
  </si>
  <si>
    <t>Pliocene Model Intercomparison Project (PlioMIP): experimental design and boundary conditions (Experiment 1)</t>
  </si>
  <si>
    <t>GEOSCIENTIFIC MODEL DEVELOPMENT</t>
  </si>
  <si>
    <t>NORTH-ATLANTIC OCEAN; LAST GLACIAL MAXIMUM; PMIP2 COUPLED SIMULATIONS; SEA-SURFACE TEMPERATURES; MIDDLE PLIOCENE; DEEP-WATER; CLIMATE; MIDHOLOCENE; PART; PALEOCEANOGRAPHY</t>
  </si>
  <si>
    <t>In 2008 the temporal focus of the Palaeoclimate Modelling Intercomparison Project was expanded to include a model intercomparison for the mid-Pliocene warm period (3.29-2.97 million years ago). This project is referred to as PlioMIP (Pliocene Model Intercomparison Project). Two experiments have been agreed upon and comprise phase 1 of PlioMIP. The first (Experiment 1) will be performed with atmosphere-only climate models. The second (Experiment 2) will utilise fully coupled ocean-atmosphere climate models. The aim of this paper is to provide a detailed model intercomparison project description which documents the experimental design in a more detailed way than has previously been done in the literature. Specifically, this paper describes the experimental design and boundary conditions that will be utilised for Experiment 1 of PlioMIP.</t>
  </si>
  <si>
    <t>[Haywood, A. M.; Dolan, A. M.] Univ Leeds, Sch Earth &amp; Environm, Leeds LS2 9JT, W Yorkshire, England; [Dowsett, H. J.; Robinson, M. M.] US Geol Survey, Eastern Geol &amp; Paleoclimate Sci Ctr, Reston, VA 20192 USA; [Otto-Bliesner, B.; Rosenbloom, N.] CGD NCAR, CCR, Boulder, CO 80307 USA; [Chandler, M. A.; Sohl, L. E.] Columbia Univ, Ctr Climate Syst Res, New York, NY 10025 USA; [Chandler, M. A.; Sohl, L. E.] NASA, Goddard Inst Space Studies, New York, NY 10025 USA; [Hill, D. J.] British Geol Survey, Keyworth NG12 5GG, Notts, England; [Lunt, D. J.] Univ Bristol, Sch Geol Sci, Bristol BS8 1SS, Avon, England; [Lunt, D. J.] British Antarctic Survey, Cambridge CB3 0ET, Cambs, England; [Salzmann, U.] Northumbria Univ, Sch Appl Sci, Newcastle Upon Tyne NE1 8ST, Tyne &amp; Wear, England</t>
  </si>
  <si>
    <t>University of Leeds; United States Department of the Interior; United States Geological Survey; National Center Atmospheric Research (NCAR) - USA; Columbia University; National Aeronautics &amp; Space Administration (NASA); NASA Goddard Space Flight Center; Goddard Institute for Space Studies; UK Research &amp; Innovation (UKRI); Natural Environment Research Council (NERC); NERC British Geological Survey; University of Bristol; UK Research &amp; Innovation (UKRI); Natural Environment Research Council (NERC); NERC British Antarctic Survey; Northumbria University</t>
  </si>
  <si>
    <t>Haywood, AM (corresponding author), Univ Leeds, Sch Earth &amp; Environm, Woodhouse Lane, Leeds LS2 9JT, W Yorkshire, England.</t>
  </si>
  <si>
    <t>earamh@leeds.ac.uk</t>
  </si>
  <si>
    <t>Otto-Bliesner, Bette/AAY-7691-2020; Salzmann, Ulrich/H-9929-2017; Dolan, Aisling M/D-2625-2012; Lunt, Daniel/G-9451-2011; Sohl, Linda/N-7303-2016</t>
  </si>
  <si>
    <t>Salzmann, Ulrich/0000-0001-5598-5327; Lunt, Daniel/0000-0003-3585-6928; Hill, Daniel/0000-0001-5492-3925; Dowsett, Harry/0000-0003-1983-7524; Sohl, Linda/0000-0002-6673-2007; Dolan, Aisling/0000-0002-9585-9648</t>
  </si>
  <si>
    <t>USGS Office of Global Change; UK Natural Environment Research Council (NERC) [NE/G009112/1]; Leverhulme Trust; NERC [bgs05002, NE/G009112/1, bas0100026] Funding Source: UKRI; Natural Environment Research Council [NE/G009112/1, bgs05002, bas0100026] Funding Source: researchfish</t>
  </si>
  <si>
    <t>USGS Office of Global Change; UK Natural Environment Research Council (NERC)(UK Research &amp; Innovation (UKRI)Natural Environment Research Council (NERC)); Leverhulme Trust(Leverhulme Trust); NERC(UK Research &amp; Innovation (UKRI)Natural Environment Research Council (NERC)); Natural Environment Research Council(UK Research &amp; Innovation (UKRI)Natural Environment Research Council (NERC))</t>
  </si>
  <si>
    <t>This work is a product of the US Geological Survey PRISM (Pliocene Research, Interpretation and Synoptic Mapping) Project and the Pliocene Model Intercomparison Project (PlioMIP), which is part of the international Palaeoclimate Modelling Intercomparison Project (PMIP). HD and MR thank the USGS Office of Global Change for their support. AH and DL acknowledge the UK Natural Environment Research Council for funding the UK contribution to PlioMIP (NERC Grant NE/G009112/1). AH acknowledges the Leverhulme Trust for their support through the award of a Philip Leverhulme Prize.</t>
  </si>
  <si>
    <t>1991-959X</t>
  </si>
  <si>
    <t>1991-9603</t>
  </si>
  <si>
    <t>GEOSCI MODEL DEV</t>
  </si>
  <si>
    <t>Geosci. Model Dev.</t>
  </si>
  <si>
    <t>10.5194/gmd-3-227-2010</t>
  </si>
  <si>
    <t>703FW</t>
  </si>
  <si>
    <t>WOS:000285964800012</t>
  </si>
  <si>
    <t>Goosse, H; Brovkin, V; Fichefet, T; Haarsma, R; Huybrechts, P; Jongma, J; Mouchet, A; Selten, F; Barriat, PY; Campin, JM; Deleersnijder, E; Driesschaert, E; Goelzer, H; Janssens, I; Loutre, MF; Maqueda, MAM; Opsteegh, T; Mathieu, PP; Munhoven, G; Pettersson, EJ; Renssen, H; Roche, DM; Schaeffer, M; Tartinville, B; Timmermann, A; Weber, SL</t>
  </si>
  <si>
    <t>Goosse, H.; Brovkin, V.; Fichefet, T.; Haarsma, R.; Huybrechts, P.; Jongma, J.; Mouchet, A.; Selten, F.; Barriat, P-Y; Campin, J-M; Deleersnijder, E.; Driesschaert, E.; Goelzer, H.; Janssens, I.; Loutre, M-F; Maqueda, M. A. Morales; Opsteegh, T.; Mathieu, P-P; Munhoven, G.; Pettersson, E. J.; Renssen, H.; Roche, D. M.; Schaeffer, M.; Tartinville, B.; Timmermann, A.; Weber, S. L.</t>
  </si>
  <si>
    <t>Description of the Earth system model of intermediate complexity LOVECLIM version 1.2</t>
  </si>
  <si>
    <t>MERIDIONAL OVERTURNING CIRCULATION; NORTHERN-HEMISPHERE TEMPERATURES; GLOBAL OCEAN CIRCULATION; LAST GLACIAL MAXIMUM; ANTARCTIC ICE SHEETS; SURFACE-TEMPERATURE; CARBON-CYCLE; DECADAL VARIABILITY; TRANSIENT-RESPONSES; CLIMATE VARIABILITY</t>
  </si>
  <si>
    <t>The main characteristics of the new version 1.2 of the three-dimensional Earth system model of intermediate complexity LOVECLIM are briefly described. LOVECLIM 1.2 includes representations of the atmosphere, the ocean and sea ice, the land surface (including vegetation), the ice sheets, the icebergs and the carbon cycle. The atmospheric component is ECBi1t2, a T21, 3-level quasi-geostrophic model. The ocean component is CLIO3, which consists of an ocean general circulation model coupled to a comprehensive thermodynamic-dynamic sea-ice model. Its horizontal resolution is of 3 degrees by 3 degrees, and there are 20 levels in the ocean. ECBilt-CLIO is coupled to VECODE, a vegetation model that simulates the dynamics of two main terrestrial plant functional types, trees and grasses, as well as desert. VECODE also simulates the evolution of the carbon cycle over land while the ocean carbon cycle is represented by LOCH, a comprehensive model that takes into account both the solubility and biological pumps. The ice sheet component AGISM is made up of a three-dimensional thermomechanical model of the ice sheet flow, a visco-elastic bedrock model and a model of the mass balance at the ice-atmosphere and ice-ocean interfaces. For both the Greenland and Antarctic ice sheets, calculations are made on a 10 km by 10km resolution grid with 31 sigma levels. LOVECLIM1.2 reproduces well the major characteristics of the observed climate both for present-day conditions and for key past periods such as the last millennium, the mid-Holocene and the Last Glacial Maximum. However, despite some improvements compared to earlier versions, some biases are still present in the model. The most serious ones are mainly located at low latitudes with an overestimation of the temperature there, a too symmetric distribution of precipitation between the two hemispheres, and an overestimation of precipitation and vegetation cover in the subtropics. In addition, the atmospheric circulation is too weak. The model also tends to underestimate the surface temperature changes (mainly at low latitudes) and to overestimate the ocean heat uptake observed over the last decades.</t>
  </si>
  <si>
    <t>[Goosse, H.; Fichefet, T.; Barriat, P-Y; Deleersnijder, E.; Loutre, M-F; Mathieu, P-P; Pettersson, E. J.] Catholic Univ Louvain, Earth &amp; Life Inst, Georges Lemaitre Ctr Earth &amp; Climate Res, B-1348 Louvain, Belgium; [Brovkin, V.] Max Planck Inst Meteorol, Hamburg, Germany; [Haarsma, R.; Selten, F.; Opsteegh, T.; Schaeffer, M.; Weber, S. L.] Royal Netherlands Meteorol Inst KNMI, De Bilt, Netherlands; [Huybrechts, P.; Goelzer, H.; Janssens, I.] Vrije Univ Brussel, Dept Geog, Brussels, Belgium; [Jongma, J.; Renssen, H.; Roche, D. M.] Vrije Univ Amsterdam, Dept Earth Sci, Sect Climate Change &amp; Landscape Dynam, Amsterdam, Netherlands; [Mouchet, A.; Munhoven, G.] Univ Liege, Lab Phys Atmospher &amp; Planetaire, Liege, Belgium; [Campin, J-M] MIT, Cambridge, MA 02139 USA; [Deleersnijder, E.] Catholic Univ Louvain, Inst Mech Mat &amp; Civil Engn, B-1348 Louvain, Belgium; [Driesschaert, E.] Int Polar Fdn, Brussels, Belgium; [Maqueda, M. A. Morales] Proudman Oceanog Lab, Liverpool, Merseyside, England; [Roche, D. M.] CE Saclay, Lab CEA INSU CNRS UVSQ, LSCE IPSL, Lab Sci Climat &amp; Environm, Gif Sur Yvette, France; [Tartinville, B.] Numeca Int, Brussels, Belgium; [Timmermann, A.] Univ Hawaii, SOEST, Int Pacific Res Ctr, Honolulu, HI 96822 USA</t>
  </si>
  <si>
    <t>Universite Catholique Louvain; Max Planck Society; Royal Netherlands Meteorological Institute; Vrije Universiteit Brussel; Vrije Universiteit Amsterdam; University of Liege; Massachusetts Institute of Technology (MIT); Universite Catholique Louvain; NERC National Oceanography Centre; Universite Paris Saclay; CEA; Centre National de la Recherche Scientifique (CNRS); University of Hawaii System</t>
  </si>
  <si>
    <t>Goosse, H (corresponding author), Catholic Univ Louvain, Earth &amp; Life Inst, Georges Lemaitre Ctr Earth &amp; Climate Res, Chemin Cyclotron 2, B-1348 Louvain, Belgium.</t>
  </si>
  <si>
    <t>hugues.goosse@uclouvain.be</t>
  </si>
  <si>
    <t>Haarsma, Reindert J/D-1803-2013; Maqueda, Miguel Angel Morales/AAJ-8138-2020; Brovkin, Victor/C-2803-2016; Goelzer, Heiko/M-2367-2016; Deleersnijder, Eric/AAE-7020-2020; Timmermann, Axel/Y-2799-2019; Brovkin, Victor/I-7450-2012; Huybrechts, Philippe/J-5278-2013; Loutre, Marie-France/L-3594-2018; Roche, Didier M./C-9875-2010; Mouchet, Anne/K-1911-2014</t>
  </si>
  <si>
    <t>Brovkin, Victor/0000-0001-6420-3198; Goelzer, Heiko/0000-0002-5878-9599; Timmermann, Axel/0000-0003-0657-2969; Huybrechts, Philippe/0000-0003-1406-0525; Loutre, Marie-France/0000-0001-6944-4038; Haarsma, Rein/0000-0001-7171-2687; Selten, Frank/0009-0007-2917-6519; Deleersnijder, Eric/0000-0003-0346-9667; Roche, Didier M./0000-0001-6272-9428; Mouchet, Anne/0000-0002-8846-3063</t>
  </si>
  <si>
    <t>Fonds National de la Recherche Scientifique (F.R.S. - FNRS-Belgium); F.R.S. - FNRS; Belgian Federal Science Policy Office, Research Program on Science for a Sustainable Development; INSU-CNRS; NWO</t>
  </si>
  <si>
    <t>Fonds National de la Recherche Scientifique (F.R.S. - FNRS-Belgium)(Fonds de la Recherche Scientifique - FNRS); F.R.S. - FNRS(Fonds de la Recherche Scientifique - FNRS); Belgian Federal Science Policy Office, Research Program on Science for a Sustainable Development(Belgian Federal Science Policy Office); INSU-CNRS(Centre National de la Recherche Scientifique (CNRS)); NWO(Netherlands Organization for Scientific Research (NWO))</t>
  </si>
  <si>
    <t>E. Deleersnijder, G. Munhoven and H. Goosse are Research Associates with the Fonds National de la Recherche Scientifique (F.R.S. - FNRS-Belgium). This work is supported by the F.R.S. - FNRS and by the Belgian Federal Science Policy Office, Research Program on Science for a Sustainable Development. D. M. Roche is supported by INSU-CNRS and by NWO under the RAPID project ORMEN.</t>
  </si>
  <si>
    <t>10.5194/gmd-3-603-2010</t>
  </si>
  <si>
    <t>703FZ</t>
  </si>
  <si>
    <t>WOS:000285965100015</t>
  </si>
  <si>
    <t>Klinger, T; Heipke, C; Ott, N; Schenke, HW; Ziems, M</t>
  </si>
  <si>
    <t>ISPRS</t>
  </si>
  <si>
    <t>Klinger, T.; Heipke, C.; Ott, N.; Schenke, H. W.; Ziems, M.</t>
  </si>
  <si>
    <t>AUTOMATED EXTRACTION OF THE ANTARCTIC COASTLINE USING SNAKES</t>
  </si>
  <si>
    <t>GEOSPATIAL DATA AND GEOVISUALIZATION: ENVIRONMENT, SECURITY, AND SOCIETY</t>
  </si>
  <si>
    <t>International Archives of the Photogrammetry Remote Sensing and Spatial Information Sciences</t>
  </si>
  <si>
    <t>Joint Symposium of ISPRS Commission IV / AutoCarto Annual Conference</t>
  </si>
  <si>
    <t>NOV 15-19, 2010</t>
  </si>
  <si>
    <t>Automation; Snakes; Coastline; Antarctica; Landsat; Mapping; Modelling; Updating</t>
  </si>
  <si>
    <t>ICE SHELVES; SAR IMAGES; SHORELINE; PENINSULA; CLIMATE; FLOW</t>
  </si>
  <si>
    <t>In this paper we present an automatic approach for coastline detection from images which is based on parametric active contours (snakes). Snakes require the definition of an energy functional that reflects the underlying coastline model. As for Antarctica, our application domain, the coastline appearance in the used optical images is heterogeneous. Therefore, a single model does not work equally well in all situations. On the basis of an up-to-date Landsat mosaic three different models are formulated that match a large part of the Antarctic coastline, i.e. the transition from ice shelf to water, from ice shelf to sea ice and from rocky terrain to water. For each of the three different cases the energy terms are optimized based on the radiometric properties of the adjacent regions as well as the curvature and the potential change-rate of the coastline itself. A supervised classification for the three classes ice, water and rocky terrain controls the whole process by choosing the most applicable model for a certain image region. With a view to the practical application the developed approach was integrated into a semiautomatic system, where the human operator supervises the optimization process of the contour and interactively corrects the results if the system fails.</t>
  </si>
  <si>
    <t>[Klinger, T.] Geo GmbH, D-30827 Garbsen, Germany; [Heipke, C.; Ziems, M.] Leibniz Univ Hannover, IPI Inst Photogrammetry &amp; GeoInformat, D-30167 Hannover, Germany; [Ott, N.; Schenke, H. W.] Alfred Wegener Inst Polar &amp; Marine Res, Dept Bathymetry &amp; Geodesy, D-27568 Bremerhaven, Germany</t>
  </si>
  <si>
    <t>Leibniz University Hannover; Helmholtz Association; Alfred Wegener Institute, Helmholtz Centre for Polar &amp; Marine Research</t>
  </si>
  <si>
    <t>Klinger, T (corresponding author), Geo GmbH, Steinriede 8, D-30827 Garbsen, Germany.</t>
  </si>
  <si>
    <t>klinger@geopp.de; heipke@ipi.uni-hannover.de; norbert.ott@awi.de; hans-werner.schenke@awi.de; ziems@ipi.uni-hannover.de</t>
  </si>
  <si>
    <t>Heipke, Christian/ACP-8434-2022</t>
  </si>
  <si>
    <t>Heipke, Christian/0000-0002-7007-9549</t>
  </si>
  <si>
    <t>BAHNHOFSALLE 1E, GOTTINGEN, 37081, GERMANY</t>
  </si>
  <si>
    <t>2194-9034</t>
  </si>
  <si>
    <t>INT ARCH PHOTOGRAMM</t>
  </si>
  <si>
    <t>Geography, Physical; Remote Sensing; Imaging Science &amp; Photographic Technology</t>
  </si>
  <si>
    <t>Physical Geography; Remote Sensing; Imaging Science &amp; Photographic Technology</t>
  </si>
  <si>
    <t>BE1RS</t>
  </si>
  <si>
    <t>WOS:000368436900044</t>
  </si>
  <si>
    <t>Singhvi, AK; Rupakumar, K; Thamban, M; Gupta, AK; Kale, VS; Yadav, RR; Bhattacharyya, A; Phadtare, NR; Roy, PD; Chauhan, MS; Chauhan, OS; Chakravorty, S; Sheikh, MM; Manzoor, N; Adnan, M; Ashraf, J; Khan, AM; Quadir, DA; Devkota, LP; Shrestha, AB</t>
  </si>
  <si>
    <t>Mitra, AP; Sharma, C</t>
  </si>
  <si>
    <t>Singhvi, A. K.; Rupakumar, K.; Thamban, M.; Gupta, A. K.; Kale, V. S.; Yadav, R. R.; Bhattacharyya, A.; Phadtare, N. R.; Roy, P. D.; Chauhan, M. S.; Chauhan, O. S.; Chakravorty, S.; Sheikh, M. M.; Manzoor, N.; Adnan, M.; Ashraf, J.; Khan, Arshad M.; Quadir, D. A.; Devkota, L. P.; Shrestha, A. B.</t>
  </si>
  <si>
    <t>Instrumental, Terrestrial and Marine Records of the Climate of South Asia during the Holocene: Present Status, Unresolved Problems and Societal Aspects</t>
  </si>
  <si>
    <t>GLOBAL ENVIRONMENTAL CHANGES IN SOUTH ASIA: A REGIONAL PERSPECTIVE</t>
  </si>
  <si>
    <t>INDIAN-SUMMER MONSOON; EASTERN HIMALAYAN REGION; NORTH-ATLANTIC CLIMATE; RING-WIDTH CHRONOLOGY; TREE-RING; TROPICAL CYCLONES; LATE QUATERNARY; GANGA PLAIN; ARABIAN SEA; WESTERN HIMALAYA</t>
  </si>
  <si>
    <t>[Singhvi, A. K.] Phys Res Lab, Ahmadabad 380009, Gujarat, India; [Yadav, R. R.; Bhattacharyya, A.; Chauhan, M. S.] Birbal Sahni Inst Paleobot, Lucknow 226007, Uttar Pradesh, India; [Gupta, A. K.] Indian Inst Technol, Dept Geol &amp; Geophys, Kharagpur 721302, W Bengal, India; [Sheikh, M. M.; Manzoor, N.; Adnan, M.; Ashraf, J.; Khan, Arshad M.] Global Change Impact Studies Ctr, Islamabad, Pakistan; [Shrestha, A. B.] ICIMOD, Khumaltar, Lalitpur, Nepal; [Rupakumar, K.] World Meteorol Org, Climate &amp; Water Dept, Climate Predict &amp; Adaptat Branch, World Climate Applicat &amp; Serv Div, CH-1211 Geneva 2, Switzerland; [Devkota, L. P.] Tribhuvan Univ, Cent Dept Hydrol &amp; Meteorol, Kathmandu, Nepal; [Thamban, M.] Natl Ctr Antarctic &amp; Ocean Res, Vasco Da Gama 403804, Goa, India; [Phadtare, N. R.] Wadia Inst Himalayan Geol, Palynol Lab, Dehra Dun 248001, Uttar Pradesh, India; [Chauhan, O. S.] Natl Inst Oceanog, Panaji 403004, Goa, India; [Roy, P. D.] Univ Nacl Autonoma Mexico, Inst Geol, Dept Geoquim, Mexico City 04510, DF, Mexico; [Chakravorty, S.] Indian Inst Trop Meteorol, Climatol &amp; Hydrometeorol Div, Pune 411008, Maharashtra, India; [Kale, V. S.] Univ Poona, Dept Geog, Pune 411007, Maharashtra, India</t>
  </si>
  <si>
    <t>Department of Space (DoS), Government of India; Physical Research Laboratory - India; Department of Science &amp; Technology (India); Birbal Sahni Institute of Palaeobotany (BSIP); Indian Institute of Technology System (IIT System); Indian Institute of Technology (IIT) - Kharagpur; Tribhuvan University; Ministry of Earth Sciences (MoES) - India; National Centre for Polar and Ocean Research (NCPOR); Department of Science &amp; Technology (India); Wadia Institute of Himalayan Geology (WIHG); Council of Scientific &amp; Industrial Research (CSIR) - India; CSIR - National Institute of Oceanography (NIO); Universidad Nacional Autonoma de Mexico; Ministry of Earth Sciences (MoES) - India; Indian Institute of Tropical Meteorology (IITM); Savitribai Phule Pune University</t>
  </si>
  <si>
    <t>Singhvi, AK (corresponding author), Phys Res Lab, Ahmadabad 380009, Gujarat, India.</t>
  </si>
  <si>
    <t>singhvi@prl.res.in; RKolli@wmo.int; meloth@ncaor.org; anil_k_gupta1960@yahoo.co.in; vskale@unipune.ernet.in; rryadav2000@gmail.com; phadtarenr@wihg.res.in; p_debajyotiroy@yahoo.com; mschauhan_2000@yahoo.com; onkar@nio.org; supriyo@tropmet.res.in; munir.sheikh@gcisc.org.pk; naeem.manzoor@gcisc.org.pk; m.adnan@gcisc.org.pk; javeria.ashraf@gcisc.org.pk; arshad.khan@gcisc.org.pk; dquadir@yahoo.com; devkotalp@hotmall.com; abshrestha@icimod.org</t>
  </si>
  <si>
    <t>Chakraborty, Supriyo/A-6716-2011; Adnan, Muhammad/AAY-6925-2020</t>
  </si>
  <si>
    <t>Chakraborty, Supriyo/0000-0003-3171-7808;</t>
  </si>
  <si>
    <t>978-1-4020-9912-0</t>
  </si>
  <si>
    <t>10.1007/978-1-4020-9913-7</t>
  </si>
  <si>
    <t>BNL37</t>
  </si>
  <si>
    <t>WOS:000274860400005</t>
  </si>
  <si>
    <t>Dodds, K</t>
  </si>
  <si>
    <t>Dodds, Klaus</t>
  </si>
  <si>
    <t>Governing Antarctica: Contemporary Challenges and the Enduring Legacy of the 1959 Antarctic Treaty</t>
  </si>
  <si>
    <t>GLOBAL POLICY</t>
  </si>
  <si>
    <t>CONTINENTAL-SHELF</t>
  </si>
  <si>
    <t>This article considers the governance of the Antarctic in the light of the 50th anniversary of the Antarctic Treaty in December 2009. Created in the midst of the cold war, this treaty provided a mechanism for governing the Antarctic. Science and international collaboration were central to this new regime. Over the next five decades, the Antarctic Treaty System (ATS) expanded as new legal instruments were developed and entered into force including the Protocol on Environmental Protection. New issues such as fishing and tourism along with an expanded membership have transformed the politics of Antarctica. Current controversies involving illegal, unregulated and unreported fishing, the Law of the Sea and the creation of the 'coastal state', tourism and whaling will continue to provoke serious challenges for the governance of Antarctica.</t>
  </si>
  <si>
    <t>Univ London, London WC1E 7HU, England</t>
  </si>
  <si>
    <t>University of London</t>
  </si>
  <si>
    <t>Dodds, K (corresponding author), Univ London, London WC1E 7HU, England.</t>
  </si>
  <si>
    <t>1758-5880</t>
  </si>
  <si>
    <t>1758-5899</t>
  </si>
  <si>
    <t>GLOB POLICY</t>
  </si>
  <si>
    <t>Glob. Policy</t>
  </si>
  <si>
    <t>10.1111/j.1758-5899.2009.00006.x</t>
  </si>
  <si>
    <t>International Relations; Political Science</t>
  </si>
  <si>
    <t>International Relations; Government &amp; Law</t>
  </si>
  <si>
    <t>V26ZC</t>
  </si>
  <si>
    <t>WOS:000208582500011</t>
  </si>
  <si>
    <t>Howkins, A</t>
  </si>
  <si>
    <t>Launius, RD; Fleming, JR; DeVorkin, DH</t>
  </si>
  <si>
    <t>Howkins, Adrian</t>
  </si>
  <si>
    <t>Science, Environment, and Sovereignty: The International Geophysical Year in the Antarctic Peninsula Region</t>
  </si>
  <si>
    <t>GLOBALIZING POLAR SCIENCE: RECONSIDERING THE INTERNATIONAL POLAR AND GEOPHYSICAL YEARS</t>
  </si>
  <si>
    <t>Palgrave Studies in the History of Science and Technology</t>
  </si>
  <si>
    <t>Colorado State Univ, Ft Collins, CO 80523 USA</t>
  </si>
  <si>
    <t>Colorado State University</t>
  </si>
  <si>
    <t>Howkins, A (corresponding author), Colorado State Univ, Ft Collins, CO 80523 USA.</t>
  </si>
  <si>
    <t>PALGRAVE</t>
  </si>
  <si>
    <t>BASINGSTOKE</t>
  </si>
  <si>
    <t>HOUNDMILLS, BASINGSTOKE RG21 6XS, ENGLAND</t>
  </si>
  <si>
    <t>978-0-230-11465-4</t>
  </si>
  <si>
    <t>PALGR STUD HIST SCI</t>
  </si>
  <si>
    <t>10.1057/9780230114654</t>
  </si>
  <si>
    <t>History &amp; Philosophy Of Science</t>
  </si>
  <si>
    <t>Book Citation Index – Social Sciences &amp; Humanities (BKCI-SSH); Book Citation Index – Science (BKCI-S)</t>
  </si>
  <si>
    <t>History &amp; Philosophy of Science</t>
  </si>
  <si>
    <t>BVM13</t>
  </si>
  <si>
    <t>WOS:000291858200014</t>
  </si>
  <si>
    <t>Xiao, CY; Hu, X</t>
  </si>
  <si>
    <t>Xiao, C. Y.; Hu, X.</t>
  </si>
  <si>
    <t>Analysis on the global morphology of stratospheric gravity wave activity deduced from the COSMIC GPS occultation profiles</t>
  </si>
  <si>
    <t>GPS SOLUTIONS</t>
  </si>
  <si>
    <t>COSMIC GPS radio occultation; Gravity waves; Background wind; Topography; Convection; Planetary waves</t>
  </si>
  <si>
    <t>MESOSCALE VARIABILITY; SEASONAL-VARIATION; MIDDLE ATMOSPHERE; MOUNTAIN WAVES; SATELLITE; ENERGY; EXCITATION; RADAR; MODEL; TEMPERATURES</t>
  </si>
  <si>
    <t>Monthly mean global morphologies of potential energy density E (p) from stratospheric gravity waves are revealed by observations of COSMIC GPS radio occultation. The E (p) is obtained from vertical wavelengths ranging from 2 to 10 km over cells of 1A degrees A xA 2A degrees in latitude and longitude. The computed values confirm previous results and obtain new ones. The large gravity wave E (p) values found in the tropics between 25A degrees N and 25A degrees S could be mainly due to the strong tropical cumulus convection; July values are larger than those for January (2007). In mid and high latitudes, the most prominent features of the northern winter hemisphere are the enhanced densities above the Eurasian continent and the North Atlantic and the depressed E (p) values above the North Pacific and North America for which topography, wind sources and wind filtering may be responsible. In southern winter hemisphere, large E (p) values are found around 180A degrees and 300A degrees longitudes that are likely due to the topography of the Antarctic plateau, the Antarctic Peninsula and South America. Enhanced E (p) values are found over Scandinavia. However, there is no clear evidence to show that gravity waves are localized over the Rocky Mountains, the Himalayas and the Andes. Topography and planetary wave modulations are proposed to interpret the large-scale longitudinal variations and inter-hemisphere asymmetry of the GW activity.</t>
  </si>
  <si>
    <t>[Xiao, C. Y.; Hu, X.] Chinese Acad Sci, Ctr Space Sci &amp; Appl Res, Beijing 100190, Peoples R China; [Xiao, C. Y.] Chinese Acad Sci, Grad Univ, Beijing 100049, Peoples R China</t>
  </si>
  <si>
    <t>Chinese Academy of Sciences; Chinese Academy of Sciences; University of Chinese Academy of Sciences, CAS</t>
  </si>
  <si>
    <t>Xiao, CY (corresponding author), Chinese Acad Sci, Ctr Space Sci &amp; Appl Res, Beijing 100190, Peoples R China.</t>
  </si>
  <si>
    <t>xiaocy@cssar.ac.cn</t>
  </si>
  <si>
    <t>Chinese Natural Science Foundation [40774087]; Chinese Academy of Sciences</t>
  </si>
  <si>
    <t>Chinese Natural Science Foundation(National Natural Science Foundation of China (NSFC)); Chinese Academy of Sciences(Chinese Academy of Sciences)</t>
  </si>
  <si>
    <t>We thank CDAAC for providing COSMIC data, NOAA/OAR/ESRL PSD, Boulder, Colorado, USA for providing CMAP precipitation and NCEP reanalysis data and we thank NGDC for providing the ETOPO topography model. Thanks to Dr. Yuei-An Liou in National Central University, Taiwan, for many helpful discussions. Thanks to the anonymous reviewers and Dr. Alfred Leick (Editor-in-Chief) for their significant comments on the original manuscript. This work is supported by the Grant (40774087) from Chinese Natural Science Foundation and Grant (KGCX2-SW-408) from Chinese Academy of Sciences.</t>
  </si>
  <si>
    <t>1080-5370</t>
  </si>
  <si>
    <t>1521-1886</t>
  </si>
  <si>
    <t>GPS SOLUT</t>
  </si>
  <si>
    <t>GPS Solut.</t>
  </si>
  <si>
    <t>10.1007/s10291-009-0146-z</t>
  </si>
  <si>
    <t>Remote Sensing</t>
  </si>
  <si>
    <t>527NV</t>
  </si>
  <si>
    <t>WOS:000272374700007</t>
  </si>
  <si>
    <t>Doi, K; Shibuya, K; Aoyama, Y; Ikeda, H; Fukuda, Y</t>
  </si>
  <si>
    <t>Mertikas, SP</t>
  </si>
  <si>
    <t>Doi, K.; Shibuya, K.; Aoyama, Y.; Ikeda, H.; Fukuda, Y.</t>
  </si>
  <si>
    <t>Observed Gravity Change at Syowa Station Induced by Antarctic Ice Sheet Mass Change</t>
  </si>
  <si>
    <t>GRAVITY, GEOID AND EARTH OBSERVATION</t>
  </si>
  <si>
    <t>International Association of Geodesy Symposia</t>
  </si>
  <si>
    <t>IAG International Symposium on Gravity, Geoid and Earth Observation 2008</t>
  </si>
  <si>
    <t>JUN 23-27, 2008</t>
  </si>
  <si>
    <t>Khania, GREECE</t>
  </si>
  <si>
    <t>DEFORMATION; EARTH</t>
  </si>
  <si>
    <t>Continuous observations with superconducting gravimeters (SG) TT-70 #016 and CT#043 have been on-going since 1993 to monitor Earth tides and Earth's free oscillations at a gravity observation hut in Syowa Station, Antarctica. We obtained gravity residuals from the SG CT#043 data by subtracting Earth tides, effects of atmospheric pressure changes and polar motion, and instrumental drift from the original record. The smoothed gravity residuals obtained by taking a running mean of 33 days reveal variations from -5 to +5 mu gal (10(-8)m/s(2)). The Ice, Cloud, and Land Elevation Satellite (ICESat) was launched into high polar orbit in January 2003, and the Geoscience Laser Altimeter System (GLAS) the satellite is equipped with enables us to measure temporal volume changes across the Antarctic ice sheet. We evaluated ice sheet volume changes from changes in the topography observed by ICESat/GLAS and reduced them to mass changes by multiplying surface densities obtained by in situ measurements. We calculated gravity changes induced by the ice sheet mass changes for 11 operation periods of ICESat/GLAS from the beginning of 2003 through the beginning of 2007. The expected gravity difference due to the ice sheet mass change is approximately 4.8 mu gal in magnitude when we employ mass changes of all grid elements. The magnitude of observed gravity residuals is almost double that of the expected changes. The appearance of expected gravity changes, such as a trough pattern in 2003 is consistent with the observed changes.</t>
  </si>
  <si>
    <t>[Doi, K.; Shibuya, K.; Aoyama, Y.] Natl Inst Polar Res, Tachikawa, Tokyo 1908518, Japan</t>
  </si>
  <si>
    <t>Research Organization of Information &amp; Systems (ROIS); National Institute of Polar Research (NIPR) - Japan</t>
  </si>
  <si>
    <t>Doi, K (corresponding author), Natl Inst Polar Res, Tachikawa, Tokyo 1908518, Japan.</t>
  </si>
  <si>
    <t>doi@nipr.ac.jp; fukuda@kugi.kyoto-u.ac.jp</t>
  </si>
  <si>
    <t>Ministry of Education, Culture, Sports, Science and Technology [17540400]; Grants-in-Aid for Scientific Research [17540400] Funding Source: KAKEN</t>
  </si>
  <si>
    <t>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</si>
  <si>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all members from the Japanese Antarctic Research Expedition (JARE) 44 to JARE47 for their kind support while maintaining SG observation in Syowa Station, especially Dr. S. Sakanaka of JARE46 and Mr. K. Chida of JARE47, who made many efforts to obtain accurate gravity data in 2005 and 2006. This work was partially supported by a Grant-in-Aid for Scientific Research from the Ministry of Education, Culture, Sports, Science and Technology (No. 17540400)</t>
  </si>
  <si>
    <t>0939-9585</t>
  </si>
  <si>
    <t>978-3-642-10633-0; 978-3-642-10634-7</t>
  </si>
  <si>
    <t>IAG SYMP</t>
  </si>
  <si>
    <t>10.1007/978-3-642-10634-7_74</t>
  </si>
  <si>
    <t>Geochemistry &amp; Geophysics; Remote Sensing</t>
  </si>
  <si>
    <t>BUY81</t>
  </si>
  <si>
    <t>WOS:000290722800074</t>
  </si>
  <si>
    <t>Ashley, MCB; Bonner, CS; Everett, JR; Lawrence, JS; Luong-van, D; McDaid, S; McLaren, C; Storey, JWV</t>
  </si>
  <si>
    <t>McLean, IS; Ramsay, SK; Takami, H</t>
  </si>
  <si>
    <t>Ashley, Michael C. B.; Bonner, Colin S.; Everett, Jon R.; Lawrence, Jon S.; Luong-van, Daniel; McDaid, Scott; McLaren, Campbell; Storey, John W. V.</t>
  </si>
  <si>
    <t>Future development of the PLATO observatory for Antarctic science</t>
  </si>
  <si>
    <t>GROUND-BASED AND AIRBORNE INSTRUMENTATION FOR ASTRONOMY III</t>
  </si>
  <si>
    <t>Conference on Ground-based and Airborne Instrumentation for Astronomy III</t>
  </si>
  <si>
    <t>JUN 27-JUL 02, 2010</t>
  </si>
  <si>
    <t>PLATO; Antarctica; robotic observatory</t>
  </si>
  <si>
    <t>DOME; SITE</t>
  </si>
  <si>
    <t>PLATO is a self-contained robotic observatory built in to two 10-foot shipping containers. It has been successfully deployed at Dome A on the Antarctic plateau since January 2008, and has accumulated over 730 days of uptime at the time of writing. PLATO provides 0.5-1 kW of continuous electrical power for a year from diesel engines running on Jet-A1,supplemented during the summertime with solar panels. One of the 10-foot shipping containers houses the power system and fuel,the other provides a warm environment for instruments. Two Iridium satellite modems allow 45 MB/day of data to be transferred across the internet. Future enhancements to PLATO,currently in development,include a more modular design,using lithium iron-phosphate batteries,higher power output,and a light-weight low-power version for field deployment from a Twin Otter aircraft. Technologies used in PLATO include a CAN(Controller Area Network)bus,high-reliability PC/104 computers,ultracapacitors for starting the engines,and fault-tolerant redundant design.</t>
  </si>
  <si>
    <t>[Ashley, Michael C. B.; Bonner, Colin S.; Everett, Jon R.; Luong-van, Daniel; McDaid, Scott; McLaren, Campbell; Storey, John W. V.] Univ New S Wales, Sch Phys, Sydney, NSW 2052, Australia; [Lawrence, Jon S.] Macquarie Univ, Dept Phys &amp; Astron, Sydney, NSW 2109, Australia; [Lawrence, Jon S.] Australian Astronom Observ, Sydney, NSW 1710, Australia</t>
  </si>
  <si>
    <t>University of New South Wales Sydney; Macquarie University; Australian Astronomical Observatory</t>
  </si>
  <si>
    <t>Ashley, MCB (corresponding author), Univ New S Wales, Sch Phys, Sydney, NSW 2052, Australia.</t>
  </si>
  <si>
    <t>m.ashley@unsw.edu.au</t>
  </si>
  <si>
    <t>Ashley, Michael/0000-0003-1412-2028; Lawrence, Jon/0000-0002-6998-6993</t>
  </si>
  <si>
    <t>Australian Research Council; Australian Antarctic Division; University of New South Wales; Polar Research Institute of China; US National Science Foundation; United States Antarctic Program</t>
  </si>
  <si>
    <t>Australian Research Council(Australian Research Council); Australian Antarctic Division; University of New South Wales; Polar Research Institute of China; US National Science Foundation(National Science Foundation (NSF)); United States Antarctic Program</t>
  </si>
  <si>
    <t>This research is financially supported by the Australian Research Council, the Australian Antarctic Division, and the University of New South Wales. The operation of PLATO at Dome A has been supported by the Chinese PANDA International Polar Year project and the Polar Research Institute of China. Additional support has been provided by the US National Science Foundation, and the United States Antarctic Program</t>
  </si>
  <si>
    <t>978-0-81948-225-9</t>
  </si>
  <si>
    <t>10.1117/12.857853</t>
  </si>
  <si>
    <t>Astronomy &amp; Astrophysics; Instruments &amp; Instrumentation; Optics</t>
  </si>
  <si>
    <t>BSU66</t>
  </si>
  <si>
    <t>WOS:000285832400118</t>
  </si>
  <si>
    <t>Dolci, M; Straniero, O; Di Rico, G; Valentini, G; Riva, A; Di Cianno, A; Ragni, M; Giuliani, C; Valentini, A; Bortoletto, F; D'Alessandro, M; Magrin, D; Bònoli, C; Fantinel, D; Corcione, L; Abia, CA; Busso, M; Tosti, G</t>
  </si>
  <si>
    <t>Dolci, M.; Stranieroa, O.; Di Rico, G.; Valentini, G.; Riva, A.; Di Cianno, A.; Ragni, M.; Giuliani, C.; Valentini, A.; Bortoletto, F.; D'Alessandro, M.; Magrin, D.; Bonoli, C.; Fantinel, D.; Corcione, L.; Abia, C. A.; Busso, M.; Tosti, G.</t>
  </si>
  <si>
    <t>AMICA: the NIR/MIR camera for automatic astronomical observations from Dome C, Antarctica</t>
  </si>
  <si>
    <t>Antarctica; Dome C; astronomy; photometry; infrared; camera</t>
  </si>
  <si>
    <t>2-M CLASS TELESCOPE; SITE; IRAIT</t>
  </si>
  <si>
    <t>AMICA is a double-armed camera designed to perform NIR/ MIR (2-28 mu m) Astronomy from Antarctica. It will be installed at Dome C in 2010-2011. An overview of the instrument is given, with attention to the following features: 1) Winterization: AMICA has been tested under Antarctic conditions to be operated in severe environments; 2) Automation: AMICA does not require human intervention; 3) Fast acquisition: AMICA can get images with exposure times less than 3 msec; 4) Survey-mode observations: the low background in Antarctica allows AMICA to have FOVs of 2.29 arcmin (NIR) and 2.89 arcmin (MIR), without saturation even with wide-band filters.</t>
  </si>
  <si>
    <t>[Dolci, M.; Stranieroa, O.; Di Rico, G.; Valentini, G.; Di Cianno, A.; Ragni, M.; Giuliani, C.; Valentini, A.] INAF Osservatorio Astron Collurania, Teramo, Italy; [Riva, A.; Corcione, L.] INAF Osservatorio Astron Torino, Pino Torinese, Italy; [Bortoletto, F.; D'Alessandro, M.; Magrin, D.; Bonoli, C.; Fantinel, D.] INAF Osservatorio Astron Padova, Padua, Italy; [Abia, C. A.] Univ Granada, Dept Fis Teor Cosmos, E-18071 Granada, Spain; [Busso, M.; Tosti, G.] Univ Perugia, Dipartimento Fis, I-06100 Perugia, Italy</t>
  </si>
  <si>
    <t>Istituto Nazionale Astrofisica (INAF); Istituto Nazionale Astrofisica (INAF); Istituto Nazionale Astrofisica (INAF); University of Granada; University of Perugia</t>
  </si>
  <si>
    <t>Dolci, M (corresponding author), INAF Osservatorio Astron Collurania, Teramo, Italy.</t>
  </si>
  <si>
    <t>dolci@oa-teramo.inaf.it</t>
  </si>
  <si>
    <t>Tosti, Gino/E-9976-2013; Busso, Maurizio Maria/K-7075-2015; Abia Ladron De Guevara, Carlos Antonio/O-9585-2017</t>
  </si>
  <si>
    <t>Tosti, Gino/0000-0002-0839-4126; Dolci, Mauro/0000-0001-8000-5642; corcione, leonardo/0000-0002-6497-5881; d'alessandro, maurizio/0000-0002-8318-0988; Riva, Alberto/0000-0002-6928-8589; Magrin, Demetrio/0000-0003-0312-313X; Busso, Maurizio Maria/0000-0001-8944-5820; Di Rico, Gianluca/0000-0002-5213-8269; Fantinel, Daniela/0000-0001-8152-9480; Straniero, Oscar/0000-0002-5514-6125; Abia Ladron De Guevara, Carlos Antonio/0000-0002-5665-2716</t>
  </si>
  <si>
    <t>Italian Ministero dell'Istruzione, dell'Universita e della Ricerca (MIUR),; Italian National Institute for Astrophysics (INAF)</t>
  </si>
  <si>
    <t>Italian Ministero dell'Istruzione, dell'Universita e della Ricerca (MIUR),(Ministry of Education, Universities and Research (MIUR)); Italian National Institute for Astrophysics (INAF)(Istituto Nazionale Astrofisica (INAF))</t>
  </si>
  <si>
    <t>AMICA is fully supported by the Italian Ministero dell'Istruzione, dell'Universita e della Ricerca (MIUR), through the Italian National Institute for Astrophysics (INAF). Four observatories, all belonging to INAF, participate to this collaboration, namely: Milano, Padova, Teramo and Torino.</t>
  </si>
  <si>
    <t>77353L</t>
  </si>
  <si>
    <t>10.1117/12.857192</t>
  </si>
  <si>
    <t>WOS:000285832400167</t>
  </si>
  <si>
    <t>Bonner, CS; Ashley, MCB; Bradley, SG; Cui, XQ; Feng, LL; Gong, XF; Lawrence, JS; Luong-Van, DM; Shang, ZH; Storey, JWV; Wang, LF; Yang, HG; Yang, J; Zhou, X; Zhu, ZX</t>
  </si>
  <si>
    <t>Stepp, LM; Gilmozzi, R; Hall, HJ</t>
  </si>
  <si>
    <t>Bonner, Colin S.; Ashley, Michael C. B.; Bradley, Stuart G.; Cui, Xiangqun; Feng, LongLong; Gong, Xuefei; Lawrence, Jon S.; Luong-Van, Daniel M.; Shang, Zhaohui; Storey, John W. V.; Wang, Lifan; Yang, Huigen; Yang, Ji; Zhou, Xu; Zhu, Zhenxi</t>
  </si>
  <si>
    <t>Snodar: 2009 performance at Dome A, Antarctica</t>
  </si>
  <si>
    <t>GROUND-BASED AND AIRBORNE TELESCOPES III</t>
  </si>
  <si>
    <t>Conference on Ground-Based and Airborne Telescopes III</t>
  </si>
  <si>
    <t>atmosphere; boundary layer; SODAR; Antarctica; Antarctic plateau; astronomy; site-testing</t>
  </si>
  <si>
    <t>Snodar is a high resolution acoustic radar designed specifically for profiling the atmospheric boundary layer on the high Antarctic plateau. Snodar profiles the atmospheric temperature structure function constant to a vertical resolution of 1 m or better with a minimum sample height of 8 m. The maximum sampling height is dependent on atmospheric conditions but is typically at least 100 m. Snodar uses a unique in-situ intensity calibration method that allows the instrument to be autonomously recalibrated throughout the year. The instrument is initially intensity calibrated against tower-mounted differential microthermal sensors. A calibration sphere is located in the near-field of the antenna to provide a fixed echo of known intensity, allowing the instrument to be continuously re-calibrated once deployed. This allows snow accumulation, transducer wear and system changes due to temperature to be monitored. Year-round power and communications are provided by the PLATO facility. This allows processed data to be downloaded every 6 hours while raw data is stored on-site for collection the following summer. Over 4 million processed samples have been downloaded through PLATO to date. We present signal attenuation from accumulation of snow and ice on Snodar's parabolic reflector during the 2009 at Dome A.</t>
  </si>
  <si>
    <t>[Bonner, Colin S.; Ashley, Michael C. B.; Lawrence, Jon S.; Luong-Van, Daniel M.; Storey, John W. V.] Univ New S Wales, Sch Phys, Sydney, NSW 2052, Australia; [Bradley, Stuart G.] Univ Auckland, Fac Sci, Auckland, New Zealand; [Cui, Xiangqun; Gong, Xuefei] Nanjing Insit Astronom Opt &amp; Technol, Nanjing, Jiangsu 210042, Peoples R China; [Feng, LongLong; Wang, Lifan; Yang, Ji; Zhu, Zhenxi] Purple Mountain Observ, Nanjing, Jiangsu 210008, Peoples R China; [Lawrence, Jon S.] Macquarie Univ, Dept Phys &amp; Astron, N Ryde, NSW 2109, Australia; [Lawrence, Jon S.] Australian Astronom Observ, Sydney, NSW 1710, Australia; [Shang, Zhaohui] Tianjin Normal Univ, Tianjin 300074, Peoples R China; [Wang, Lifan] Texas A&amp;M Univ, George P &amp; Cynthia W Mitchell Inst Fdn Phys &amp; As, Dept Phys &amp; Astron, College Stn, TX 77843 USA; [Yang, Huigen] Polar Res Inst China, Shanghai 200136, Peoples R China; [Zhou, Xu] Natl Astronom Observ, Beijing 100012, Peoples R China</t>
  </si>
  <si>
    <t>University of New South Wales Sydney; University of Auckland; Chinese Academy of Sciences; Nanjing Institute of Astronomical Optics &amp; Technology, NAOC, CAS; Purple Mountain Observatory, CAS; Chinese Academy of Sciences; Macquarie University; Australian Astronomical Observatory; Tianjin Normal University; Texas A&amp;M University System; Texas A&amp;M University College Station; Polar Research Institute of China; Chinese Academy of Sciences; National Astronomical Observatory, CAS</t>
  </si>
  <si>
    <t>Bonner, CS (corresponding author), Univ New S Wales, Sch Phys, Sydney, NSW 2052, Australia.</t>
  </si>
  <si>
    <t>cbonner@phys.unsw.edu.au</t>
  </si>
  <si>
    <t>Ashley, Michael/0000-0003-1412-2028; Bradley, Stuart/0000-0003-4441-7791; Lawrence, Jon/0000-0002-6998-6993</t>
  </si>
  <si>
    <t>Australian Research Council; Australian Antarctic Division; Chinese Academy of Sciences; National Natural Science Foundation of China; US National Science Foundation; United States Antarctic Program</t>
  </si>
  <si>
    <t>Australian Research Council(Australian Research Council); Australian Antarctic Division; Chinese Academy of Sciences(Chinese Academy of Sciences); National Natural Science Foundation of China(National Natural Science Foundation of China (NSFC)); US National Science Foundation(National Science Foundation (NSF)); United States Antarctic Program</t>
  </si>
  <si>
    <t>The authors wish to thank all members of the 2008, 2009 and 2010 Polar Research Institute of China Dome A expedition for their heroic effort in reaching the site and for the invaluable assistance they provided to the expedition astronomers in setting up the PLATO observatory and the Snodar instruments. This research is financially supported by the Australian Research Council, the Australian Antarctic Division, the Chinese Academy of Sciences, the National Natural Science Foundation of China, the US National Science Foundation, and the United States Antarctic Program.</t>
  </si>
  <si>
    <t>978-0-81948-223-5</t>
  </si>
  <si>
    <t>77334A</t>
  </si>
  <si>
    <t>10.1117/12.856659</t>
  </si>
  <si>
    <t>Instruments &amp; Instrumentation; Optics</t>
  </si>
  <si>
    <t>BSQ90</t>
  </si>
  <si>
    <t>WOS:000285506700137</t>
  </si>
  <si>
    <t>Daban, JB; Gouvret, C; Guillot, T; Agabi, A; Crouzet, N; Rivet, JP; Mekarnia, D; Abe, L; Bondoux, E; Fanteï-Caujolle, Y; Fressin, F; Schmider, FX; Valbousquet, F; Blanc, PE; Le Van Suu, AL; Rauer, H; Erikson, A; Pont, F; Aigrain, S</t>
  </si>
  <si>
    <t>Daban, Jean-Baptiste; Gouvret, Carole; Guillot, Tristan; Agabi, Abdelkrim; Crouzet, Nicolas; Rivet, Jean-Pierre; Mekarnia, Djamel; Abe, Lyu; Bondoux, Erick; Fantei-Caujolle, Yan; Fressin, Francois; Schmider, Francois-Xavier; Valbousquet, Franck; Blanc, Pierre-Eric; Le Van Suu, Auguste; Rauer, Heike; Erikson, Anders; Pont, Frederic; Aigrain, Suzanne</t>
  </si>
  <si>
    <t>ASTEP 400: a telescope designed for exoplanet transit detection from Dome C, Antarctica</t>
  </si>
  <si>
    <t>Telescope construction; Antarctica; low temperature; exoplanet; transit; photometry</t>
  </si>
  <si>
    <t>The Concordia Base in Dome C, Antarctica, is an extremely promising site for photometric astronomy due to the 3-month long night during the Antarctic winter, favorable weather conditions, and low scintillation. The ASTEP project (Antarctic Search for Transiting ExoPlanets) is a pilot project which seeks to identify transiting planets and understand the limits of visible photometry from this site. ASTEP 400 is an optical 40cm telescope with a field of view of 1 degrees x 1 degrees. The expected photometric sensitivity is 1E-3, per hour for at least 1,000 stars. The optical design guarantees high homogeneity of the PSF sizes in the field of view. The use of carbon fibers in the telescope structure guarantees high stability. The focal optics and the detectors are enclosed in a thermally regulated box which withstands extremely low temperatures. The telescope designed to run at -80 degrees C (-110 degrees F) was set up at Dome C during the southern summer 2009-2010. It began its nightly observations in March 2010.</t>
  </si>
  <si>
    <t>[Daban, Jean-Baptiste; Gouvret, Carole; Agabi, Abdelkrim; Mekarnia, Djamel; Abe, Lyu; Bondoux, Erick; Fantei-Caujolle, Yan; Schmider, Francois-Xavier] Univ Nice Sophia Antipolis, FIZEAU, Parc Valrose, F-06108 Nice, France; [Guillot, Tristan; Crouzet, Nicolas; Rivet, Jean-Pierre] CASSIOPEE, Observ Cote Azur, F-06304 Nice, France; [Valbousquet, Franck] Opt &amp; Vis, F-06162 Juan Les Pins, France; [Fressin, Francois] Harvard Smithsonian Ctr Astrophys, Cambridge, MA 02138 USA; [Blanc, Pierre-Eric; Le Van Suu, Auguste] Observ Haute Provence, F-04870 St Michel, France; [Rauer, Heike; Erikson, Anders] DLR, D-12489 Berlin, Germany; [Pont, Frederic; Aigrain, Suzanne] Exeter Observ, Exeter EX4 4Q, Devon, England</t>
  </si>
  <si>
    <t>Universite Cote d'Azur; Universite Cote d'Azur; Observatoire de la Cote d'Azur; Smithsonian Astrophysical Observatory; Smithsonian Institution; Harvard University; Helmholtz Association; German Aerospace Centre (DLR)</t>
  </si>
  <si>
    <t>Daban, JB (corresponding author), Univ Nice Sophia Antipolis, FIZEAU, Parc Valrose, F-06108 Nice, France.</t>
  </si>
  <si>
    <t>daban@unice.fr</t>
  </si>
  <si>
    <t>Schmider, François-Xavier/C-5435-2012</t>
  </si>
  <si>
    <t>Guillot, Tristan/0000-0002-7188-8428; Pont, Frederic/0000-0003-0076-5444; Aigrain, Suzanne/0000-0003-1453-0574</t>
  </si>
  <si>
    <t>French Agence Nationale de la Recherche (ANR); Centre National de la Recherche Scientifique (CNRS); STFC [ST/G002266/1] Funding Source: UKRI</t>
  </si>
  <si>
    <t>French Agence Nationale de la Recherche (ANR)(Agence Nationale de la Recherche (ANR)); Centre National de la Recherche Scientifique (CNRS)(Centre National de la Recherche Scientifique (CNRS)); STFC(UK Research &amp; Innovation (UKRI)Science &amp; Technology Facilities Council (STFC))</t>
  </si>
  <si>
    <t>The ASTEP project is funded by the French Agence Nationale de la Recherche (ANR) and the Centre National de la Recherche Scientifique (CNRS).</t>
  </si>
  <si>
    <t>77334T</t>
  </si>
  <si>
    <t>10.1117/12.854946</t>
  </si>
  <si>
    <t>WOS:000285506700152</t>
  </si>
  <si>
    <t>Lascaux, F; Masciadri, E; Hagelin, S</t>
  </si>
  <si>
    <t>Lascaux, Franck; Masciadri, Elena; Hagelin, Susana</t>
  </si>
  <si>
    <t>A dedicated tool for a full 3D CN2 investigation</t>
  </si>
  <si>
    <t>Optical Turbulence; Site Testing; Numerical Simulations</t>
  </si>
  <si>
    <t>OPTICAL TURBULENCE SIMULATIONS; ATMOSPHERIC NUMERICAL-MODEL; DOME-C</t>
  </si>
  <si>
    <t>In this contribution we present how the mesoscale model Meso-Nh model together with the Astro-Meso-Nh and a set of diagnostic tools allow for a full 3D investigation of the C-N(2) and derived integrated astroclimatic parameters. The possibility to study simultaneously 3D fields of meteorological and astroclimatic parameters permits us to provide a comprehensive understanding of the characteristics of the atmospheric flow as well as the physical mechanisms that produce them. To illustrate the different diagnostics and their potentialities, we investigated one night and looked at instantaneous fields of meteorologic and astroclimatic parameters. To show the potentialities of this tool for applications in an Observatory we ran the model above sites with very different optical turbulence (OT) distributions: the antarctic plateau (Dome C, Dome A, South Pole) and a mid-latitude site (Mt. Graham, Arizona). We put particular emphasis on the 2D maps of integrated astroclimatic parameters (such as seeing, isoplanatic angles,...) and to the possibility to calculate them in different slabs (having what ever thickness) at different heights in the troposhere. The latter option is particularly useful for the seeing. For this reason this is an useful tool of prediction and investigation of the turbulence structure and it can support the optimization of the AO, GLAO and MCAO systems running at the focus of the ground-based telescopes. The examples we provide put clearly in evidence that different astroclimatic sites present different OT behaviors. Besides, our tool allowed us for discriminating these sites.</t>
  </si>
  <si>
    <t>[Lascaux, Franck; Masciadri, Elena; Hagelin, Susana] Osserv Astrofis Arcetri, INAF, I-50125 Florence, Italy</t>
  </si>
  <si>
    <t>Istituto Nazionale Astrofisica (INAF)</t>
  </si>
  <si>
    <t>Masciadri, E (corresponding author), Osserv Astrofis Arcetri, INAF, Largo E Fermi 5, I-50125 Florence, Italy.</t>
  </si>
  <si>
    <t>masciadri@arcetri.astro.it</t>
  </si>
  <si>
    <t>Hagelin, Susanna/AAA-2956-2021; Masciadri, Elena/AAC-5611-2021; Lascaux, Franck/AAK-4581-2021</t>
  </si>
  <si>
    <t>Hagelin, Susanna/0000-0003-3167-3016; Masciadri, Elena/0000-0002-0450-4092; Lascaux, Franck/0000-0002-0099-0740</t>
  </si>
  <si>
    <t>77334E</t>
  </si>
  <si>
    <t>10.1117/12.856900</t>
  </si>
  <si>
    <t>WOS:000285506700139</t>
  </si>
  <si>
    <t>Luong-Van, DM; Ashley, MCB; Cui, XQ; Everett, JR; Feng, LL; Gong, XF; Hengst, S; Lawrence, JS; Storey, JWV; Wang, LF; Yang, HG; Yang, J; Zhou, X; Zhu, ZX</t>
  </si>
  <si>
    <t>Luong-Van, Daniel M.; Ashley, Michael C. B.; Cui, Xiangqun; Everett, Jon R.; Feng, Longlong; Gong, Xuefei; Hengst, Shane; Lawrence, Jon S.; Storey, John W. V.; Wang, Lifan; Yang, Huigen; Yang, Ji; Zhou, Xu; Zhu, Zhengxi</t>
  </si>
  <si>
    <t>Performance of the autonomous PLATO Antarctic Observatory over two full years</t>
  </si>
  <si>
    <t>Antarctica; remote power; robotics; site-testing</t>
  </si>
  <si>
    <t>For continuous observation at locations that are inhospitable for humans, the desirability of autonomous observatories is self evident. PLATO, the 'PLATeau Observatory' was designed to host an easily configurable instrument suite in the extremely cold conditions on the Antarctic plateau, and can provide up to 1 kW of power for the instruments. Powered by jet fuel and the Sun, PLATO and its instruments have been taking nearly uninterrupted astronomical science and site-testing data at Dome A, the coldest, highest and driest location(1) on the Antarctic Plateau, since their deployment by the 24th Chinese expedition team in January 2008. At the time of writing, PLATO has delivered a total uptime of 730 days. Following a servicing mission by the 25th Chinese expedition team in 2008-9, PLATO has achieved 100% up-time (520 days) and has been in continuous contact with the rest of the world via its Iridium satellite modems. This paper discusses the performance of the observatory itself, assesses the sources of energy and dissects how the energy is divided between the core observatory functions of instrument power, heating, control and communication.</t>
  </si>
  <si>
    <t>[Luong-Van, Daniel M.; Ashley, Michael C. B.; Everett, Jon R.; Hengst, Shane; Storey, John W. V.] Univ New South Wales, Sch Phys, Sydney, NSW 2052, Australia; [Cui, Xiangqun; Gong, Xuefei] Nanjing Inst Astronom Opt &amp; Technol, Nanjing 210042, Peoples R China</t>
  </si>
  <si>
    <t>University of New South Wales Sydney; Chinese Academy of Sciences; Nanjing Institute of Astronomical Optics &amp; Technology, NAOC, CAS</t>
  </si>
  <si>
    <t>Luong-Van, DM (corresponding author), Univ New South Wales, Sch Phys, Sydney, NSW 2052, Australia.</t>
  </si>
  <si>
    <t>daniel@phys.unsw.edu.au</t>
  </si>
  <si>
    <t>Australian Research Council; Australian Antarctic Division; Chinese Academy of Sciences,; National Natural Science Foundation of China; US National Science Foundation</t>
  </si>
  <si>
    <t>Australian Research Council(Australian Research Council); Australian Antarctic Division; Chinese Academy of Sciences,(Chinese Academy of Sciences); National Natural Science Foundation of China(National Natural Science Foundation of China (NSFC)); US National Science Foundation(National Science Foundation (NSF))</t>
  </si>
  <si>
    <t>The authors wish to thank all members of the 2008, 2009 and 2010 Polar Research Institute of China expedition to Dome A for their heroic efforts in reaching the site and for the invaluable assistance they provided to the expedition astronomers in setting up the PLATO observatory and its instruments. This research is financially supported by the Australian Research Council, the Australian Antarctic Division, the Chinese Academy of Sciences, the National Natural Science Foundation of China, the US National Science Foundation, and the United States Antarctic Program.</t>
  </si>
  <si>
    <t>77331T</t>
  </si>
  <si>
    <t>10.1117/12.857910</t>
  </si>
  <si>
    <t>WOS:000285506700055</t>
  </si>
  <si>
    <t>Marchiori, G; Rampini, F; De Lorenzi, S</t>
  </si>
  <si>
    <t>Marchiori, Gianpietro; Rampini, Francesco; De Lorenzi, Simone</t>
  </si>
  <si>
    <t>Preliminary Feasibility Study of a Dome C Radioantenna</t>
  </si>
  <si>
    <t>Antarctica; South Pole; Dome C; Sub-millimeter; Feasibility Study; Radioantenna</t>
  </si>
  <si>
    <t>As science makes progress, proposing new discoveries every day, it is more and more interesting for the astronomical world to perform sub-millimeter observations from very suitable terrestrial sites, due to the purity of the air, as well as to other environmental factors. A site with these characteristics has been identified in the area of Dome C in the South Pole. The problems, both technical and logistic, that the installation of a radioantenna in the South Pole imposes, are easily understandable. Proceeding at the same rate as the progress of science, also the technological and industrial capacities improve, so that it is possible to overcome all the problems that the realization of a sub-millimeter Observatory in the South Pole implies. This paper aims at summarizing the Preliminary Feasibility Study of the AST (Antarctic Sub-millimeter Telescope) Radioantenna that is intended to be installed at Dome C.</t>
  </si>
  <si>
    <t>[Marchiori, Gianpietro; Rampini, Francesco; De Lorenzi, Simone] European Ind Engn, I-30172 Venice, Italy</t>
  </si>
  <si>
    <t>Marchiori, G (corresponding author), European Ind Engn, Via Torino 151-A, I-30172 Venice, Italy.</t>
  </si>
  <si>
    <t>77334X</t>
  </si>
  <si>
    <t>10.1117/12.858885</t>
  </si>
  <si>
    <t>WOS:000285506700155</t>
  </si>
  <si>
    <t>Masciadri, E; Lascaux, F; Hagelin, S</t>
  </si>
  <si>
    <t>Masciadri, Elena; Lascaux, Franck; Hagelin, Susanna</t>
  </si>
  <si>
    <t>Optical turbulence: site selection above the internal antarctic plateau with a mesoscale model</t>
  </si>
  <si>
    <t>turbulence; atmospheric effects; site testing</t>
  </si>
  <si>
    <t>ATMOSPHERIC NUMERICAL-MODEL; DOME-C; MESO-NH; SURFACE-LAYER; SIMULATIONS; PARAMETERIZATION</t>
  </si>
  <si>
    <t>Atmospherical mesoscale models can offer unique potentialities to characterize and discriminate potential astronomical sites. Our team has recently completely validated the Meso-Nh model above Dome C (Lascaux et al. 2009, 2010). Using all the measurements of C-N(2) profiles (15 nights) performed so far at Dome C during the winter time (Trinquet et al. 2008) we proved that the model can reconstruct, on rich statistical samples, reliable values of all the three most important parameters characterizing the turbulence features of an antarctic site: the surface layer thickness, the seeing in the free atmosphere and in the surface layer. Using the same Meso-Nh model configuration validated above Dome C, an extended study is now on-going for other sites above the antarctic plateau, more precisely South Pole and Dome A. In this contribution we present the most important results obtained in the model validation process and the results obtained in the comparison between different astronomical sites above the internal plateau. The Meso-Nh model confirms its ability in discriminating between different optical turbulence behaviors, and there is evidence that the three sites have different characteristics regarding the seeing and the surface layer thickness. We highlight that this study provides the first homogeneous estimate, done with comparable statistics, of the optical turbulence developed in the whole 20-22 km above the ground at Dome C, South Pole and Dome A.</t>
  </si>
  <si>
    <t>[Masciadri, Elena; Lascaux, Franck; Hagelin, Susanna] Osserv Astrofis Arcetri, INAF, I-50125 Florence, Italy</t>
  </si>
  <si>
    <t>Masciadri, E (corresponding author), Osserv Astrofis Arcetri, INAF, Lgo E Fermi 5, I-50125 Florence, Italy.</t>
  </si>
  <si>
    <t>masciadri@arcetri.astro.it; lascaux@arcetri.astro.it</t>
  </si>
  <si>
    <t>Lascaux, Franck/AAK-4581-2021; Masciadri, Elena/AAC-5611-2021; Hagelin, Susanna/AAA-2956-2021</t>
  </si>
  <si>
    <t>Masciadri, Elena/0000-0002-0450-4092; Hagelin, Susanna/0000-0003-3167-3016; Lascaux, Franck/0000-0002-0099-0740</t>
  </si>
  <si>
    <t>77334F</t>
  </si>
  <si>
    <t>10.1117/12.856915</t>
  </si>
  <si>
    <t>WOS:000285506700140</t>
  </si>
  <si>
    <t>Moore, AM; Ahmed, S; Ashley, MCB; Barreto, MK; Cui, XQ; Delacroix, A; Feng, LL; Gong, XF; Lawrence, J; Luong-van, DM; Martin, DC; Riddle, R; Rowley, N; Shang, ZH; Storey, JWV; Tothill, NFH; Travouillon, T; Wang, LF; Yang, HG; Yang, J; Zhou, X; Zhu, ZX</t>
  </si>
  <si>
    <t>Moore, Anna M.; Ahmed, Sara; Ashley, Michael C. B.; Barreto, Max K.; Cui, Xiangqun; Delacroix, Alex; Feng, LongLong; Gong, Xuefei; Lawrence, Jon; Luong-van, Daniel M.; Martin, D. Christopher; Riddle, Reed; Rowley, Nicole; Shang, Zhaohui; Storey, John W. V.; Tothill, Nick F. H.; Travouillon, Tony; Wang, Lifan; Yang, Huigen; Yang, Ji; Zhou, Xu; Zhu, Zhengxi</t>
  </si>
  <si>
    <t>Gattini 2010: Cutting Edge Science at the Bottom of the World</t>
  </si>
  <si>
    <t>Gattini; Dome A; PLATO observatory; Antarctic wide field surveys; cosmic web; site testing; cloud cover; aurora; night sky brightness</t>
  </si>
  <si>
    <t>The high altitude Antarctic sites of Dome A and the South Pole offer intriguing locations for future large scale optical astronomical Observatories. The Gattini project was created to measure the optical sky brightness, large area cloud cover and aurora of the winter-time sky above such high altitude Antarctic sites. The Gattini-DomeA camera was installed on the PLATO instrument module as part of the Chinese-led traverse to the highest point on the Antarctic plateau in January 2008. This single automated wide field camera contains a suite of Bessel photometric filters (B, V, R) and a long-pass red filter for the detection and monitoring of OH emission. We have in hand one complete winter-time dataset (2009) from the camera that was recently returned in April 2010. The Gattini-South Pole UV camera is a wide-field optical camera that in 2011 will measure for the first time the UV properties of the winter-time sky above the South Pole dark sector. This unique dataset will consist of frequent images taken in both broadband U and B filters in addition to high resolution (R similar to 5000) long slit spectroscopy over a narrow bandwidth of the central field. The camera is a proof of concept for the 2m-class Antarctic Cosmic Web Imager telescope, a dedicated experiment to directly detect and map the redshifted lyman alpha fluorescence or Cosmic Web emission we believe possible due to the unique geographical qualities of the site. We present the current status of both projects.</t>
  </si>
  <si>
    <t>[Moore, Anna M.; Delacroix, Alex; Riddle, Reed] Caltech Opt Observ, 1200 East Calif Blvd, Pasadena, CA 91125 USA; [Ahmed, Sara; Martin, D. Christopher; Travouillon, Tony] CALTECH, Pasadena, CA 91125 USA; [Ashley, Michael C. B.; Lawrence, Jon; Luong-van, Daniel M.; Storey, John W. V.] Univ New S Wales, Sch Phys, Sydney, NSW 2052, Australia</t>
  </si>
  <si>
    <t>California Institute of Technology; California Institute of Technology; University of New South Wales Sydney</t>
  </si>
  <si>
    <t>Moore, AM (corresponding author), Caltech Opt Observ, 1200 East Calif Blvd, Pasadena, CA 91125 USA.</t>
  </si>
  <si>
    <t>amoore@astro.caltech.edu</t>
  </si>
  <si>
    <t>Riddle, Reed/AAC-1584-2022; Tothill, Nicholas/O-2682-2019; Tothill, Nicholas/M-6379-2016</t>
  </si>
  <si>
    <t>Riddle, Reed/0000-0002-0387-370X; Moore, Anna/0000-0002-2894-6936; Travouillon, Tony/0000-0001-9304-6718; Lawrence, Jon/0000-0002-6998-6993; Tothill, Nicholas/0000-0002-9931-5162; Ashley, Michael/0000-0003-1412-2028</t>
  </si>
  <si>
    <t>Chinese PANDA; US National Science Foundation; United States Antarctic Program</t>
  </si>
  <si>
    <t>Chinese PANDA; US National Science Foundation(National Science Foundation (NSF)); United States Antarctic Program</t>
  </si>
  <si>
    <t>This research is supported by the Chinese PANDA International Polar Year project and the Polar Research Institute of China. The authors wish to thank all the members of the 2008/2009/2010 PRIC Dome A expeditions for their heroic efforts in reaching the site and for providing invaluable assistance to the expedition astronomers in setting up the PLATO observatory and its associated instrument suite. This research is financially supported by the US National Science Foundation and the United States Antarctic Program. The operation of PLATO at Dome A is supported by the Australian Research Council, the Australian Antarctic Division, and the University of New South Wales.</t>
  </si>
  <si>
    <t>77331S</t>
  </si>
  <si>
    <t>10.1117/12.858187</t>
  </si>
  <si>
    <t>WOS:000285506700054</t>
  </si>
  <si>
    <t>Okita, H; Ichikawa, T; Yoshikawa, T; Lundock, RG; Kurita, K</t>
  </si>
  <si>
    <t>Okita, Hirofumi; Ichikawa, Takashi; Yoshikawa, Tomohiro; Lundock, Ramsey Guy; Kurita, Kentaro</t>
  </si>
  <si>
    <t>Antarctic Infra-Red Telescope with a 40cm primary mirror (AIRT40), Development and Improvement</t>
  </si>
  <si>
    <t>Antarctica; Dome Fuji; infra-red telescope</t>
  </si>
  <si>
    <t>DOME-C; SITE</t>
  </si>
  <si>
    <t>Dome Fuji, on the Antarctic plateau, is expected to be one of the best sites for infra-red astronomy. In Antarctica, the coldest, driest air on Earth provides the deepest detection limit. Furthermore, the weak atmospheric turbulence above the boundary layer allows for high spatial resolution. We plain to perform site-testing at Dome Fuji during the austral summer of 2010-2011. This will be the first observation to use an optical/infra-red telescope at Dome Fuji. This paper introduces the Antarctic Infra-Red Telescope with a 40cm primary mirror (AIRT40) which will be used in this campaign; it is an infra-red Cassegrain telescope with a fork equatorial mount. AIRT40 will be used for not only site testing (measurement of seeing and sky background) and daytime astronomical observation during this summer campaign, but also for remote scientific observations during the 2012-2014 winter-over campaign. For this purpose, AIRT40 has to work well even at -80 degree Celsius. Therefore, we accounted for the thermal contraction of the materials while designing it, and made it with special parts which were tested in a freezer. For easy operation, many handles for transportation and a polar alignment stage were installed. Moreover, we confirmed that this telescope has enough pointing, tracking, and optical accuracy for the summer campaign through the test observations at Sendai, Japan. Because of these preparations AIRT40 is suited for observations at Dome Fuji. In the 2010-2011 campaign AIRT40 will be used to measure the seeing, infra-red sky background, and to observe Venus.</t>
  </si>
  <si>
    <t>[Okita, Hirofumi; Ichikawa, Takashi; Lundock, Ramsey Guy; Kurita, Kentaro] Tohoku Univ, Astron Inst, Aoba Ku, Sendai, Miyagi 9808578, Japan; [Yoshikawa, Tomohiro] Kyoto Sangyo Univ, Koyama Astronom Observat, Kyoto 6038555, Japan</t>
  </si>
  <si>
    <t>Tohoku University; Kyoto Sangyo University</t>
  </si>
  <si>
    <t>Okita, H (corresponding author), Tohoku Univ, Astron Inst, Aoba Ku, Sendai, Miyagi 9808578, Japan.</t>
  </si>
  <si>
    <t>h-okita@astr.tohoku.ac.jp; ichikawa@astr.tohoku.ac.jp</t>
  </si>
  <si>
    <t>Okita, Hirofumi/0000-0002-6656-1631</t>
  </si>
  <si>
    <t>Grants-in-Aid for Scientific Research [21244012] Funding Source: KAKEN</t>
  </si>
  <si>
    <t>Grants-in-Aid for Scientific Research(Ministry of Education, Culture, Sports, Science and Technology, Japan (MEXT)Japan Society for the Promotion of ScienceGrants-in-Aid for Scientific Research (KAKENHI))</t>
  </si>
  <si>
    <t>77331U</t>
  </si>
  <si>
    <t>10.1117/12.856576</t>
  </si>
  <si>
    <t>WOS:000285506700056</t>
  </si>
  <si>
    <t>Pei, C; Chen, HL; Yuan, XY; Wang, DX; Zhang, YJ; Gu, BZ; Zhao, JL</t>
  </si>
  <si>
    <t>Pei, Chong; Chen, Hualin; Yuan, Xiangyan; Wang, Daxing; Zhang, Yajun; Gu, Bozhong; Zhao, Jianlin</t>
  </si>
  <si>
    <t>Development of automated small telescopes as Dome A Site testing DIMM</t>
  </si>
  <si>
    <t>Dome A; automated seeing monitor; DIMM; seeing; isoplanatic angle</t>
  </si>
  <si>
    <t>The extreme environment of Antarctic greatly benefits astronomical observations. Site testing works already show the excellent seeing and transmission on Dome C. And the higher, colder inland plateau Dome A is widely predicted as even better astronomical site than Dome C. Preliminary site testing carried out since the beginning of 2008 shows that Dome A has lower boundary layer and lower precipitable water vapour. Now the automated seeing monitor is urgently needed to quantify the site's optical character which is necessary for the telescope design and deployment. We modify the commercial telescopes with diameter of 35cm to function as site testing DIMM and make it monitor both seeing and isoplanatic angle at the same time automatically on Dome A at different height. Part of the processed data will be transferred back by Iridium satellite network every day. The first DIMM will be deployed on Dome A in early 2011.</t>
  </si>
  <si>
    <t>[Pei, Chong; Chen, Hualin; Yuan, Xiangyan; Wang, Daxing; Zhang, Yajun; Gu, Bozhong; Zhao, Jianlin] Chinese Acad Sci, Natl Astron Observ, Nanjing Inst Astron Opt &amp; Technol, Nanjing 210042, Peoples R China</t>
  </si>
  <si>
    <t>Chinese Academy of Sciences; Nanjing Institute of Astronomical Optics &amp; Technology, NAOC, CAS; National Astronomical Observatory, CAS</t>
  </si>
  <si>
    <t>Pei, C (corresponding author), Chinese Acad Sci, Natl Astron Observ, Nanjing Inst Astron Opt &amp; Technol, Nanjing 210042, Peoples R China.</t>
  </si>
  <si>
    <t>xyyuan@niaot.ac.cn</t>
  </si>
  <si>
    <t>77334W</t>
  </si>
  <si>
    <t>10.1117/12.856762</t>
  </si>
  <si>
    <t>WOS:000285506700154</t>
  </si>
  <si>
    <t>Saunders, W</t>
  </si>
  <si>
    <t>Saunders, Will</t>
  </si>
  <si>
    <t>An off-axis, wide-field, diffraction-limited, reflective Schmidt Telescope</t>
  </si>
  <si>
    <t>Schmidt telescopes; Antarctic astronomy; telescope optics</t>
  </si>
  <si>
    <t>OPTICAL DESIGN; DOME-C</t>
  </si>
  <si>
    <t>Off-axis telescopes with unobstructed pupils offer great advantages in terms of emissivity, throughput, and diffraction-limited energy concentration. For most telescope designs, implementation of an off-axis configuration imposes enormous penalties in terms of cost, optical difficulty and performance, and for this reason off-axis telescopes are rarely constructed. However, for the reflective Schmidt design, implementation of an off-axis configuration is very straightforward, and involves only a modest optical penalty. Moreover, the reflective Schmidt gets particular benefits, avoiding the obstruction of its large focal plane and support column, and gaining a highly accessible, gravity-invariant prime focus, capable of accommodating very large instrumentation. We present an off-axis f/8 reflective Schmidt design for the proposed 'KDUST' Chinese infrared telescope at Dome A on the Antarctic plateau, which offers simultaneous diffraction-limited NIR imaging over 1 degrees, and close to diffraction-limited imaging out to 2 degrees for fibre-fed NIR spectroscopy.</t>
  </si>
  <si>
    <t>Anglo Australian Observ, Epping, NSW 1710, Australia</t>
  </si>
  <si>
    <t>Saunders, W (corresponding author), Anglo Australian Observ, POB 296, Epping, NSW 1710, Australia.</t>
  </si>
  <si>
    <t>will@aaoepp.aao.gov.au</t>
  </si>
  <si>
    <t>77333C</t>
  </si>
  <si>
    <t>10.1117/12.856351</t>
  </si>
  <si>
    <t>WOS:000285506700104</t>
  </si>
  <si>
    <t>Sims, G; Ashley, MCB; Cui, XQ; Everett, JR; Feng, LL; Gong, XF; Hengst, S; Hu, ZW; Lawrence, JS; Luong-van, DM; Shang, ZH; Storey, JWV; Wang, LF; Yang, HG; Yang, J; Zhou, X; Zhu, ZX</t>
  </si>
  <si>
    <t>Sims, Geoff; Ashley, Michael C. B.; Cui, Xiangqun; Everett, Jon R.; Feng, LongLong; Gong, Xuefei; Hengst, Shane; Hu, Zhongwen; Lawrence, Jon S.; Luong-van, Daniel M.; Shang, Zhaohui; Storey, John W. V.; Wang, Lifan; Yang, Huigen; Yang, Ji; Zhou, Xu; Zhu, Zhenxi</t>
  </si>
  <si>
    <t>Optical sky brightness at Dome A, Antarctica, from the Nigel experiment</t>
  </si>
  <si>
    <t>Dome A; PLATO observatory; site testing; aurora; night sky brightness</t>
  </si>
  <si>
    <t>Nigel is a fiber-fed UV/visible grating spectrograph with a thermoelectrically-cooled 256 x 1024 pixel CCD camera, designed to measure the twilight and night sky brightness from 300 nm to 850 nm. Nigel has three pairs of fibers, each with a field-of-view with an angular diameter of 25 degrees, pointing in three fixed positions towards the sky. The bare fibers are exposed to the sky with no additional optics. The instrument was deployed at Dome A, Antarctica in January 2009 as part of the PLATO (PLATeau Observatory) robotic observatory. During the 2009 winter, Nigel made approximately six months of continuous observations of the sky, with typically 10% deadtime between exposures. The resulting spectra provide quantitative information on the sky brightness, the auroral contribution, and the water vapour content of the atmosphere. We present details of the design, construction and calibration of the Nigel spectrometer, as well some sample spectra from a preliminary analysis.</t>
  </si>
  <si>
    <t>[Sims, Geoff; Ashley, Michael C. B.; Everett, Jon R.; Hengst, Shane; Luong-van, Daniel M.; Storey, John W. V.] Univ New S Wales, Sch Phys, Sydney, NSW 2052, Australia; [Cui, Xiangqun; Gong, Xuefei; Hu, Zhongwen] Nanjing Inst Astron Opt &amp; Technol, Nanjing, Jiangsu 210042, Peoples R China; [Feng, LongLong; Wang, Lifan; Zhu, Zhenxi] cPurple Mountain Observ, Nanjing, Jiangsu 210008, Peoples R China; [Feng, LongLong; Gong, Xuefei; Hu, Zhongwen; Shang, Zhaohui; Wang, Lifan; Yang, Huigen; Zhou, Xu; Zhu, Zhenxi] Chinese Ctr Antarctic Astron, Nanjing, Jiangsu, Peoples R China; [Lawrence, Jon S.] Macquarie Univ, Dept Phys &amp; Astron, Sydney, NSW 2109, Australia; [Lawrence, Jon S.] Australian Astron Observ, Sydney, NSW 1710, Australia; [Shang, Zhaohui] Tianjin Normal Univ, Tianjin 300074, Peoples R China; [Wang, Lifan] Texas A&amp;M Univ, Dept Phys &amp; Astron, College Stn, TX 77843 USA; [Yang, Huigen] Polar Res Inst China, Shanghai 200136, Peoples R China; [Zhou, Xu] Chinese Acad Sci, Natl Astron Observ, Beijing 100012, Peoples R China</t>
  </si>
  <si>
    <t>University of New South Wales Sydney; Chinese Academy of Sciences; Nanjing Institute of Astronomical Optics &amp; Technology, NAOC, CAS; Macquarie University; Tianjin Normal University; Texas A&amp;M University System; Texas A&amp;M University College Station; Polar Research Institute of China; Chinese Academy of Sciences; National Astronomical Observatory, CAS</t>
  </si>
  <si>
    <t>Sims, G (corresponding author), Univ New S Wales, Sch Phys, Sydney, NSW 2052, Australia.</t>
  </si>
  <si>
    <t>g.sims@student.unsw.edu.au</t>
  </si>
  <si>
    <t>Lawrence, Jon/0000-0002-6998-6993; Ashley, Michael/0000-0003-1412-2028</t>
  </si>
  <si>
    <t>PANDA International Polar Year project; Polar Research Institute of China; Australian Research Council; Australian Antarctic Division; Chinese Academy of Sciences; European Commission Sixth Framework Program; National Natural Science Foundation of China; US National Science Foundation; United States Antarctic Program</t>
  </si>
  <si>
    <t>PANDA International Polar Year project; Polar Research Institute of China; Australian Research Council(Australian Research Council); Australian Antarctic Division; Chinese Academy of Sciences(Chinese Academy of Sciences); European Commission Sixth Framework Program(European Union (EU)European Commission Joint Research Centre); National Natural Science Foundation of China(National Natural Science Foundation of China (NSFC)); US National Science Foundation(National Science Foundation (NSF)); United States Antarctic Program</t>
  </si>
  <si>
    <t>This research is supported by the Chinese PANDA International Polar Year project and the Polar Research Institute of China. The authors wish to thank all the members of the 2008/2009/2010 PRIC Dome A expeditions for their heroic efforts in reaching the site and for providing invaluable assistance to the expedition astronomers in setting up the PLATO observatory and its associated instrument suite. This research is financially supported by the Australian Research Council, the Australian Antarctic Division, the Chinese Academy of Sciences, the European Commission Sixth Framework Program, the National Natural Science Foundation of China, the US National Science Foundation, and the United States Antarctic Program. Additional financial contributions have been made by the institutions involved in this collaboration.</t>
  </si>
  <si>
    <t>77334M</t>
  </si>
  <si>
    <t>10.1117/12.857795</t>
  </si>
  <si>
    <t>WOS:000285506700146</t>
  </si>
  <si>
    <t>Strassmeier, KG; Kaercher, HJ; Kühn, J; DiVarano, I</t>
  </si>
  <si>
    <t>Strassmeier, Klaus G.; Kaercher, Hans J.; Kuehn, Juergen; DiVarano, Igor</t>
  </si>
  <si>
    <t>Thermal design and de-icing system for the Antarctic telescope ICE-T</t>
  </si>
  <si>
    <t>Telescope; Antarctica; thermal design; de-icing</t>
  </si>
  <si>
    <t>ICE-T, the International Concordia Explorer Telescope, is under final design by an international consortium led by the Astrophysical Institute Potsdam AIP, Germany, and is intended to be placed at the French-Italian Concordia Station on Dome C in Antarctica. Experience with smaller telescopes at Concordia has shown that under the weather conditions at this site - with mean outside temperatures of -60 degrees to -80 degrees C and temperature changes of 20 degrees in short time intervals - the ice-accumulation on the optical components during observation is a major problem. Also, energy consumption at this site should be minimized because fuel transport to the site is very costly. The paper describes the thermal concept for the telescope where the waste energy of the instrument electronics is used for heating the front surfaces of the Schmidt optics. All other parts of the telescope are protected by an insulated smooth cladding against the harsh outside environment. The effectiveness of the thermal concept is verified by CFD (Computer Fluid Dynamics) calculations.</t>
  </si>
  <si>
    <t>[Strassmeier, Klaus G.; DiVarano, Igor] AIP, Sternwarte 16, D-14482 Potsdam, Germany; [Kaercher, Hans J.; Kuehn, Juergen] MT Mech, D-55130 Mainz, Germany</t>
  </si>
  <si>
    <t>Leibniz Institut fur Astrophysik Potsdam (AIP)</t>
  </si>
  <si>
    <t>Strassmeier, KG (corresponding author), AIP, Sternwarte 16, D-14482 Potsdam, Germany.</t>
  </si>
  <si>
    <t>kstrassmeier@aip.de</t>
  </si>
  <si>
    <t>77331W</t>
  </si>
  <si>
    <t>10.1117/12.855933</t>
  </si>
  <si>
    <t>WOS:000285506700058</t>
  </si>
  <si>
    <t>Strassmeier, KG; DiVarano, I; Woche, M; Kaercher, HJ; Eisenträger, P</t>
  </si>
  <si>
    <t>Strassmeier, Klaus G.; DiVarano, Igor; Woche, Manfred; Kaercher, Hans J.; Eisentraeger, Peter</t>
  </si>
  <si>
    <t>The opto-mechanical design of the Antarctic telescope ICE-T</t>
  </si>
  <si>
    <t>Telescopes; Antarctica; photometry; planets; stellar activity</t>
  </si>
  <si>
    <t>The International Concordia Explorer Telescope (ICE-T) is two 60cm wide-field robotic Schmidt telescopes optimized for high-precision CCD photometry in two separate bandpasses. The project is under final design by an international consortium led by the Astrophysical Institute Potsdam, Germany, and was foreseen to be placed at the French-Italian Concordia Station on Dome C in Antarctica. Its core scientific objective would be to detect and investigate the combined effects of extra-solar planets, stellar magnetic activity and non-radial pulsations on the structure and evolution of stars. We present the optical, the mechanical, and the electronic design of the telescope and lay out the operational constraints for its search for extrasolar planets and magnetic stellar activity.</t>
  </si>
  <si>
    <t>[Strassmeier, Klaus G.; DiVarano, Igor; Woche, Manfred] AIP, Sternwarte 16, D-14482 Potsdam, Germany; [Kaercher, Hans J.; Eisentraeger, Peter] MT Mechatron, D-61184 Karben, Germany</t>
  </si>
  <si>
    <t>77334U</t>
  </si>
  <si>
    <t>10.1117/12.856246</t>
  </si>
  <si>
    <t>WOS:000285506700153</t>
  </si>
  <si>
    <t>Wang, GM; Kun, Z</t>
  </si>
  <si>
    <t>Wang, Guomin; Kun, Zhang</t>
  </si>
  <si>
    <t>Review and new thinking on LAMOST focal plate support structure</t>
  </si>
  <si>
    <t>telescope; LAMOST; focal plate; support structure</t>
  </si>
  <si>
    <t>SCHMIDT TELESCOPE</t>
  </si>
  <si>
    <t>LAMOST is a kind of special reflecting Schmidt telescope which solved the problem to achieve both wide FOV and large aperture on one telescope. This feature makes it competitive to do the large sky area survey work. According to the configuration, the focal plate of this kind of telescope will perform three main motions: derotation, tilt and focusing. Normally the focal plate will be supported at a certain height above ground. China has launched the astronomy research at Antarctic Dome A and planned to set up a LAMOST-style telescope there. Considering the harsh environment and terrible remote transportation, a kind of simple and compact support structure of focal plate is proposed in this paper aiming at light weight, easy installation and easy adjustment, based on the review of LAMOST experiments. The calculation and simulation results show that the compact support structure can meet the system requirements.</t>
  </si>
  <si>
    <t>[Wang, Guomin; Kun, Zhang] Chinese Acad Sci, Natl Astron Observ, Nanjing Inst Astron Opt &amp; Technol, Nanjing 210042, Peoples R China</t>
  </si>
  <si>
    <t>Wang, GM (corresponding author), Chinese Acad Sci, Natl Astron Observ, Nanjing Inst Astron Opt &amp; Technol, Nanjing 210042, Peoples R China.</t>
  </si>
  <si>
    <t>gmwang@niaot.ac.cn</t>
  </si>
  <si>
    <t>77335F</t>
  </si>
  <si>
    <t>10.1117/12.856831</t>
  </si>
  <si>
    <t>WOS:000285506700173</t>
  </si>
  <si>
    <t>Yuan, XY; Cui, XQ; Gong, XF; Wang, DX; Yao, ZQ; Li, XN; Wen, HK; Zhang, YJ; Zhang, R; Xu, LZ; Zhou, F; Wang, LF; Shang, ZH; Feng, LL</t>
  </si>
  <si>
    <t>Yuan, Xiangyan; Cui, Xiangqun; Gong, Xuefei; Wang, Daxing; Yao, Zhengqiu; Li, Xinnan; Wen, Haikun; Zhang, Yajun; Zhang, Ru; Xu, Lingzhe; Zhou, Fang; Wang, Lifan; Shang, Zhaohui; Feng, Longlong</t>
  </si>
  <si>
    <t>Progress of Antarctic Schmidt Telescopes (AST3) for Dome A</t>
  </si>
  <si>
    <t>Antarctic Schmidt telescope; Dome A; tracking; defrosting</t>
  </si>
  <si>
    <t>Prelimenary site testing led by Chinese Center of Antarctic Astronomy (CCAA) shows that the highest point of the Antarctic Plateau Dome A has very clear sky, good seeing, slow wind, low boundary layer and very low precipitable water vapour which make it the best site on earth for optical/IR and sub-mm observations. Chinese Small Telescope ARray (CSTAR) was installed at Dome A in 2008 and have automatically observed for about 3 antarctic winters. The three Antarctic Schmidt telescopes(AST3) with entrance pupil diameter 500mm are the second antarctic project proposed by CCAA and the first AST are being constructed in NIAOT now which is planned to be mounted on Dome A at the beginning of 2011. All the tracking components were tested in the low temperature chamber and an adaptive defrosting method is designed to prevent the frost building up on the schmidt plate.</t>
  </si>
  <si>
    <t>[Yuan, Xiangyan; Cui, Xiangqun; Gong, Xuefei; Wang, Daxing; Yao, Zhengqiu; Li, Xinnan; Wen, Haikun; Zhang, Yajun; Zhang, Ru; Xu, Lingzhe; Zhou, Fang] Chinese Acad Sci, NIAOT, Natl Astron Observ, 188 Bancang St, Nanjing 210042, Peoples R China; [Yuan, Xiangyan; Cui, Xiangqun; Gong, Xuefei; Wang, Daxing; Yao, Zhengqiu; Li, Xinnan; Wen, Haikun; Zhang, Yajun; Zhang, Ru; Xu, Lingzhe; Zhou, Fang] Chinese Acad Sci, Nanjing Inst Astronom Opt &amp; Technol, Key Lab Astronom Opt &amp; Technol, Nanjing 210042, Peoples R China</t>
  </si>
  <si>
    <t>Chinese Academy of Sciences; National Astronomical Observatory, CAS; Nanjing Institute of Astronomical Optics &amp; Technology, NAOC, CAS; Chinese Academy of Sciences; Nanjing Institute of Astronomical Optics &amp; Technology, NAOC, CAS</t>
  </si>
  <si>
    <t>Yuan, XY (corresponding author), Chinese Acad Sci, NIAOT, Natl Astron Observ, 188 Bancang St, Nanjing 210042, Peoples R China.</t>
  </si>
  <si>
    <t>77331V</t>
  </si>
  <si>
    <t>10.1117/12.856671</t>
  </si>
  <si>
    <t>WOS:000285506700057</t>
  </si>
  <si>
    <t>Tiwari, M; Ramesh, R</t>
  </si>
  <si>
    <t>Gopalswamy, N; Hasan, SS; Ambastha, A</t>
  </si>
  <si>
    <t>Tiwari, Manish; Ramesh, R.</t>
  </si>
  <si>
    <t>Sun: Climate Coupling on Sub-Decadal to Multi-Millennial Time Scales</t>
  </si>
  <si>
    <t>HELIOPHYSICAL PROCESSES</t>
  </si>
  <si>
    <t>Astrophysics and Space Science Proceedings</t>
  </si>
  <si>
    <t>1st Asia-Pacific Regional School of the International Heliophysical Year</t>
  </si>
  <si>
    <t>DEC 10-22, 2007</t>
  </si>
  <si>
    <t>Indian Inst Astrophys, Kodaikanal Observatory, Bangalore, INDIA</t>
  </si>
  <si>
    <t>Indian Inst Astrophys, Kodaikanal Observatory</t>
  </si>
  <si>
    <t>TOTAL SOLAR IRRADIANCE; COSMOGENIC NUCLIDE PRODUCTION; GEOMAGNETIC-FIELD INTENSITY; EARTHS MAGNETIC-FIELD; INDIAN MONSOON; ASIAN MONSOON; COSMIC-RAYS; ARABIAN SEA; VARIABILITY; HOLOCENE</t>
  </si>
  <si>
    <t>Several studies have indicated that the Sun appears to control the terrestrial climate on several timescales that range from less than a decade to several thousands of years. Here we discuss various techniques used to reconstruct past solar activity and present a critical review of the existing theories that attempt to correlate past solar and climatic variabilities with special reference to the phenomenon of South Asian monsoon. We also outline existing problems that need attention to further elucidate the Sun-climate connection.</t>
  </si>
  <si>
    <t>[Tiwari, Manish] Natl Ctr Antarctic &amp; Ocean Res, Vasco Da Gama 403804, Goa, India</t>
  </si>
  <si>
    <t>Tiwari, M (corresponding author), Natl Ctr Antarctic &amp; Ocean Res, Vasco Da Gama 403804, Goa, India.</t>
  </si>
  <si>
    <t>manish@ncaor.org</t>
  </si>
  <si>
    <t>Gopalswamy, Nat/D-3659-2012</t>
  </si>
  <si>
    <t>Tiwari, Manish/0000-0003-3143-1658</t>
  </si>
  <si>
    <t>NCAOR [NCAOR-R-44]</t>
  </si>
  <si>
    <t>NCAOR</t>
  </si>
  <si>
    <t>This is NCAOR contribution no. NCAOR-R-44</t>
  </si>
  <si>
    <t>1570-6591</t>
  </si>
  <si>
    <t>978-3-642-11340-6</t>
  </si>
  <si>
    <t>ASTROPHYSICS SPACE</t>
  </si>
  <si>
    <t>10.1007/978-3-642-11341-3_15</t>
  </si>
  <si>
    <t>BPU04</t>
  </si>
  <si>
    <t>WOS:000279931500015</t>
  </si>
  <si>
    <t>Asao, H; Nakamura, Y; Furuya, Y; Kuwahara, S; Baker, BJ; Kiyota, H</t>
  </si>
  <si>
    <t>Asao, Hiroki; Nakamura, Yoko; Furuya, Yukito; Kuwahara, Shigefumi; Baker, Bill J.; Kiyota, Hiromasa</t>
  </si>
  <si>
    <t>Synthesis of Pteroenone and Its Stereoisomers, a Defensive Metabolite of the Abducted Antarctic Pteropod Clione antarctica</t>
  </si>
  <si>
    <t>HELVETICA CHIMICA ACTA</t>
  </si>
  <si>
    <t>Four stereoisomers of (+)-pteroenone, a defensive metabolite of the abducted Antarctic pteropod Clone antarctica, were synthesized by employing anti-/syn-selective aldol reactions as the key step. These compounds displayed no antifeedant activity against a generally benthic Antarctic fish that does not co-occur with this pteropod.</t>
  </si>
  <si>
    <t>[Asao, Hiroki; Nakamura, Yoko; Furuya, Yukito; Kuwahara, Shigefumi; Kiyota, Hiromasa] Tohoku Univ, Grad Sch Agr Sci, Aoba Ku, Sendai, Miyagi 9818555, Japan; [Baker, Bill J.] Univ S Florida, Dept Chem, Tampa, FL 33620 USA</t>
  </si>
  <si>
    <t>Tohoku University; State University System of Florida; University of South Florida</t>
  </si>
  <si>
    <t>Kiyota, H (corresponding author), Tohoku Univ, Grad Sch Agr Sci, Aoba Ku, 1-1 Tsutsumidori Amamiya, Sendai, Miyagi 9818555, Japan.</t>
  </si>
  <si>
    <t>kiyota@biochem.tohoku.ac.jp</t>
  </si>
  <si>
    <t>Baker, Bill/N-4312-2019; Nakamura, Yoko/H-9688-2015</t>
  </si>
  <si>
    <t>Japan Society for the Promotion of Science [14760069, 19580120]; Intelligent Cosmos Foundation; Naito Foundation; US National Science Foundation [OPP-0442857, OPP-0442769]; Grants-in-Aid for Scientific Research [14760069] Funding Source: KAKEN; Directorate For Geosciences; Office of Polar Programs (OPP) [0838776] Funding Source: National Science Foundation</t>
  </si>
  <si>
    <t>Japan Society for the Promotion of Science(Ministry of Education, Culture, Sports, Science and Technology, Japan (MEXT)Japan Society for the Promotion of Science); Intelligent Cosmos Foundation; Naito Foundation(Naito Memorial Foundation); US National Science Foundation(National Science Foundation (NSF)); Grants-in-Aid for Scientific Research(Ministry of Education, Culture, Sports, Science and Technology, Japan (MEXT)Japan Society for the Promotion of ScienceGrants-in-Aid for Scientific Research (KAKENHI)); Directorate For Geosciences; Office of Polar Programs (OPP)(National Science Foundation (NSF)NSF - Directorate for Geosciences (GEO))</t>
  </si>
  <si>
    <t>We thank Mr. Tsutomu Hasaba for technical assistance. This work was partially supported by grant-in-aid from Japan Society for the Promotion of Science (Nos. 14760069 and 19580120), Intelligent Cosmos Foundation, The Naito Foundation to H. K., and US National Science Foundation (OPP-0442857) to B. J. B. The bioassays were conducted by Margaret Amsler, and supported by Prof. James B. McClintock and Dr. Charles Amsler (University of Alabama at Birmingham, USA) under a grant from the US National Science Foundation (OPP-0442769).</t>
  </si>
  <si>
    <t>0018-019X</t>
  </si>
  <si>
    <t>HELV CHIM ACTA</t>
  </si>
  <si>
    <t>Helv. Chim. Acta</t>
  </si>
  <si>
    <t>10.1002/hlca.201000258</t>
  </si>
  <si>
    <t>676JW</t>
  </si>
  <si>
    <t>WOS:000283908200007</t>
  </si>
  <si>
    <t>Dal Lago, A; Guarnieri, FL; da Silva, MR; Gonzalez, WD; Braga, CR; Schuch, NJ; Munakata, K; Kato, C; Bieber, JW; Kuwabara, T; Tokumaru, M; Duldig, ML; Humble, JE</t>
  </si>
  <si>
    <t>Corbett, IF</t>
  </si>
  <si>
    <t>Dal Lago, A.; Guarnieri, F. L.; da Silva, M. R.; Gonzalez, W. D.; Braga, C. R.; Schuch, N. J.; Munakata, K.; Kato, C.; Bieber, J. W.; Kuwabara, T.; Tokumaru, M.; Duldig, M. L.; Humble, J. E.</t>
  </si>
  <si>
    <t>On Cosmic Rays, IP Structures and Geospace Consequences During WHI</t>
  </si>
  <si>
    <t>HIGHLIGHTS OF ASTRONOMY, VOL 15</t>
  </si>
  <si>
    <t>IAU Symposium Proceedings Series</t>
  </si>
  <si>
    <t>27th IAU General Assembly</t>
  </si>
  <si>
    <t>AUG 03-14, 2009</t>
  </si>
  <si>
    <t>Ctr Convencoes SulAmerica, Rio de Janeiro, BRAZIL</t>
  </si>
  <si>
    <t>Ctr Convencoes SulAmerica</t>
  </si>
  <si>
    <t>Cosmic Rays; CIRs; AE index; WHI</t>
  </si>
  <si>
    <t>This work presents some observations during the period of the Whole Heliosphere Interval (WHI) of the effects of interplanetary (IP) structures on the near-Earth space using three sets of observations: magnetic field and plasma from the Advanced Composition Explorer (ACE) satellite, ground-based cosmic ray data from the Global Muon Detection Network (GMDN) and geomagnetic indices (Disturbance storm-time, Dst, and auroral electrojet index, AE). Since WHI was near minimum solar activity, high speed streams and corotating interaction regions (CIRs) were the dominant structures observed in the interplanetary space surrounding Earth. Very pronounced geomagnetic effects are shown to be correlated to CIRs, especially because they can cause the so-called High-Intensity Long-Duration Continuous AE Activity (HILDCAAs) - Tsurutani and Gonzalez (1987). At least a few high speed streams can be identified during the period of WHI. The focus here is to characterize these IP structures and their geospace consequences.</t>
  </si>
  <si>
    <t>[Dal Lago, A.; da Silva, M. R.; Gonzalez, W. D.; Braga, C. R.] Natl Inst Space Res INPE, Sao Jose Dos Campos, Brazil; [Guarnieri, F. L.] Univ Vale Paraiba UNIVAP, Sao Jose Dos Campos, Brazil; [Schuch, N. J.] Southern Reg Space Res Ctr CRS INPE, Santa Maria, RS, Brazil; [Munakata, K.; Kato, C.] Shinshu Univ, Dept Phys, Matsumoto, Nagano, Japan; [Bieber, J. W.; Kuwabara, T.] Univ Delaware, Bartol Res Inst, Newark, DE 19716 USA; [Bieber, J. W.; Kuwabara, T.] Univ Delaware, Dept Phys &amp; Astron, Newark, DE 19716 USA; [Tokumaru, M.] Nagoya Univ, Solar Terr Environm Lab, Nagoya, Aichi, Japan; [Duldig, M. L.] Australian Antarctic Div, Kingston, Tas, Australia; [Humble, J. E.] Univ Tasmania, Sch Math &amp; Phys, Hobart, Tas, Australia</t>
  </si>
  <si>
    <t>Instituto Nacional de Pesquisas Espaciais (INPE); Universidade do Vale do Paraiba; Shinshu University; University of Delaware; University of Delaware; Nagoya University; Australian Antarctic Division; University of Tasmania</t>
  </si>
  <si>
    <t>Dal Lago, A (corresponding author), Natl Inst Space Res INPE, Sao Jose Dos Campos, Brazil.</t>
  </si>
  <si>
    <t>dallago@dge.inpe.br</t>
  </si>
  <si>
    <t>Rockenbach, Marlos/C-1711-2012; Guarnieri, Fernando Luís/A-6549-2010; Schuch, Nelson Jorge/K-9730-2015; Dal Lago, Alisson/H-6511-2017</t>
  </si>
  <si>
    <t>Humble, John/0000-0002-4698-1671; Duldig, Marcus/0000-0001-7463-8267; Dal Lago, Alisson/0000-0002-4361-6492</t>
  </si>
  <si>
    <t>CNPq of Brazil [303798/2008-4, 472031/2007-4]</t>
  </si>
  <si>
    <t>CNPq of Brazil(Conselho Nacional de Desenvolvimento Cientifico e Tecnologico (CNPQ))</t>
  </si>
  <si>
    <t>The authors would like to acknowledge N. Ness (Bartol Research Institute), D. J. McComas (Southwest Research Institute), R. Lepping (NASA GSFC), K. Ogilvie (NASA GSFC), and the CDAWeb for ACE interplanetary magnetic field and plasma data; and Kyoto WDC for the Dst index, CNPq of Brazil for projects 303798/2008-4, 472031/2007-4.</t>
  </si>
  <si>
    <t>THE PITT BUILDING, TRUMPINGTON ST, CAMBRIDGE CB2 1RP, CAMBS, ENGLAND</t>
  </si>
  <si>
    <t>1743-9213</t>
  </si>
  <si>
    <t>1743-9221</t>
  </si>
  <si>
    <t>978-1-107-00533-4</t>
  </si>
  <si>
    <t>IAU SYMP P SERIES</t>
  </si>
  <si>
    <t>IAU Symposium Proc. Series</t>
  </si>
  <si>
    <t>10.1017/S1743921310010355</t>
  </si>
  <si>
    <t>BUR92</t>
  </si>
  <si>
    <t>WOS:000290186900302</t>
  </si>
  <si>
    <t>Burton, MG</t>
  </si>
  <si>
    <t>Burton, Michael G.</t>
  </si>
  <si>
    <t>Astronomy in Antarctica in 2009</t>
  </si>
  <si>
    <t>Antarctica; Telescopes; Site Testing; Instrumentation</t>
  </si>
  <si>
    <t>This article summarises the subject matter of Special Session 3 at IAU General Assembly XXVII in Rio de Janeiro, Brazil, which took place on August 6-7, 2009. In it, we overview the state of Astronomy in Antarctica as it is in 2009. Significant astronomical activity is now taking place at four stations on the Antarctic plateau (South Pole, Domes A, C &amp; F), as well as at the coastal station of McMurdo.</t>
  </si>
  <si>
    <t>Univ New S Wales, Sch Phys, Sydney, NSW 2052, Australia</t>
  </si>
  <si>
    <t>University of New South Wales Sydney</t>
  </si>
  <si>
    <t>Burton, MG (corresponding author), Univ New S Wales, Sch Phys, Sydney, NSW 2052, Australia.</t>
  </si>
  <si>
    <t>m.burton@unsw.edu.au</t>
  </si>
  <si>
    <t>Burton, Michael/0000-0001-7289-1998</t>
  </si>
  <si>
    <t>10.1017/S1743921310010756</t>
  </si>
  <si>
    <t>WOS:000290186900370</t>
  </si>
  <si>
    <t>Storey, JWV</t>
  </si>
  <si>
    <t>Storey, J. W. V.</t>
  </si>
  <si>
    <t>Astronomy and Astrophysics from Antarctica: a new SCAR Scientific Research Program</t>
  </si>
  <si>
    <t>Antarctica; the Arctic; Site Testing</t>
  </si>
  <si>
    <t>In July 2008 the IAU became a union member of the ICSU body SCAR-the Scientific Committee on Antarctic Research. At the same time, SCAR initiated a Planning Croup to establish a Scientific Research Program in Astronomy and Astrophysics from Antarctica. Broadly stated, the objectives of Astronomy and Astrophysics from Antarctica are to coordinate astronomical activities in Antarctica in a way that ensures the best possible outcomes from international investment in Antarctic astronomy, and maximizes the opportunities for productive interaction with other disciplines.</t>
  </si>
  <si>
    <t>Storey, JWV (corresponding author), Univ New S Wales, Sch Phys, Sydney, NSW 2052, Australia.</t>
  </si>
  <si>
    <t>j.storey@unsw.edu.au</t>
  </si>
  <si>
    <t>10.1017/S1743921310010768</t>
  </si>
  <si>
    <t>WOS:000290186900371</t>
  </si>
  <si>
    <t>Filimonov, K</t>
  </si>
  <si>
    <t>Filimonov, Kirill</t>
  </si>
  <si>
    <t>IceCube neutrino observatory at the South Pole: recent results</t>
  </si>
  <si>
    <t>Neutrinos</t>
  </si>
  <si>
    <t>The Ice Cube neutrino observatory, the largest particle detector in the world (1 km(3)), is currently being built at the South Pole. Ice Cube looks down through the Earth to filter out lower-energy particles and uses optical sensors embedded deep in the ultra-clean Antarctic ice to detect high energy neutrinos via Cherenkov radiation from charged particles produced in neutrino interactions. A summary of selected recent results is presented.</t>
  </si>
  <si>
    <t>[Filimonov, Kirill; IceCube Collaboration] Univ Calif Berkeley, Berkeley, CA 94720 USA</t>
  </si>
  <si>
    <t>University of California System; University of California Berkeley</t>
  </si>
  <si>
    <t>Filimonov, K (corresponding author), Univ Calif Berkeley, Berkeley, CA 94720 USA.</t>
  </si>
  <si>
    <t>filimonov@berkeley.edu</t>
  </si>
  <si>
    <t>10.1017/S1743921310010781</t>
  </si>
  <si>
    <t>WOS:000290186900373</t>
  </si>
  <si>
    <t>Ashley, MCB; Allen, G; Bonner, CS; Bradley, SG; Cui, X; Everett, JR; Feng, L; Gong, X; Hengst, S; Hu, J; Jiang, Z; Kulesa, CA; Lawrence, JS; Li, Y; Luong-Van, DM; McCaughrean, MJ; Moore, AM; Pennypacker, C; Qin, W; Riddle, R; Shang, Z; Storey, JWV; Sun, B; Suntzeff, N; Tothill, NFH; Travouillon, T; Walker, CK; Wang, L; Yan, J; Yang, H; York, DG; Yuan, X; Zhang, X; Zhang, Z; Zhou, X; Zhu, Z</t>
  </si>
  <si>
    <t>Ashley, M. C. B.; Allen, G.; Bonner, C. S.; Bradley, S. G.; Cui, X.; Everett, J. R.; Feng, L.; Gong, X.; Hengst, S.; Hu, J.; Jiang, Z.; Kulesa, C. A.; Lawrence, J. S.; Li, Y.; Luong-Van, D. M.; McCaughrean, M. J.; Moore, A. M.; Pennypacker, C.; Qin, W.; Riddle, R.; Shang, Z.; Storey, J. W. V.; Sun, B.; Suntzeff, N.; Tothill, N. F. H.; Travouillon, T.; Walker, C. K.; Wang, L.; Yan, J.; Yang, H.; York, D. G.; Yuan, X.; Zhang, X.; Zhang, Z.; Zhou, X.; Zhu, Z.</t>
  </si>
  <si>
    <t>The PLATO observatory: robotic astronomy from the Antarctic plateau</t>
  </si>
  <si>
    <t>Site Testing; Instrumentation: miscellaneous; Atmospheric Effects; Telescopes</t>
  </si>
  <si>
    <t>DOME</t>
  </si>
  <si>
    <t>PLATO is a 6 tonne completely self-contained robotic observatory that provides its own heat, electricity, and satellite communications. It was deployed to Dome A in Antarctica in January 2008 by the Chinese expedition team, and is now in its second year of operation. PLATO is operating four 14.5cm optical telescopes with 1k x 1k CCDs, a wide-field sky camera with a 2k x 2k CCD and Sloan g, r, i filters, a fibre-fed spectrograph to measure the UV to near-IR, sky spectrum, a 0.2m terahertz telescope, two sonic radars giving inn resolution data on the boundary layer to a height of 180111, a 15m tower, meteorological sensors, and 8 web cameras. Beginning in 2010/11 PLATO will be upgraded to support a Multi Aperture Scintillation Sensor and three AST3 0.5m schmidt telescopes, with 10k x 10k CCDs and 100TB/annum data requirements.</t>
  </si>
  <si>
    <t>[Ashley, M. C. B.; Bonner, C. S.; Everett, J. R.; Hengst, S.; Lawrence, J. S.; Luong-Van, D. M.; Storey, J. W. V.] Univ New S Wales, Sch Phys, Sydney, NSW 2052, Australia</t>
  </si>
  <si>
    <t>Tothill, Nicholas/0000-0002-9931-5162; Moore, Anna/0000-0002-2894-6936; Lawrence, Jon/0000-0002-6998-6993; McCaughrean, Mark/0000-0002-1452-5268; Travouillon, Tony/0000-0001-9304-6718</t>
  </si>
  <si>
    <t>10.1017/S1743921310010811</t>
  </si>
  <si>
    <t>WOS:000290186900376</t>
  </si>
  <si>
    <t>Andersen, MI; Pedersen, K; Sorensen, AN</t>
  </si>
  <si>
    <t>Andersen, M. I.; Pedersen, K.; Sorensen, A. N.</t>
  </si>
  <si>
    <t>Site testing on the Greenland Ice Cap</t>
  </si>
  <si>
    <t>Site Testing; Atmospheric Effects</t>
  </si>
  <si>
    <t>DOME-C; ANTARCTICA</t>
  </si>
  <si>
    <t>We present a site testing program initiated at the SUMMIT station on the Greenland Ice Cap. A DIMM was mounted in the SWISS tower, 39 m above the ice level, during a period of 3 weeks in the late Arctic summer 2008. Tracking Polaris, the DIMM obtained continuous seeing measurements. The campaign was hampered by poor weather and the measured seeing was fluctuating, suggesting that the boundary layer was very unstable. However, during short periods, the un-calibrated seeing went below 0 ''.5, indicating that the free atmosphere seeing above Greenland is not significantly different from what is found above the Antarctic plateau.</t>
  </si>
  <si>
    <t>[Andersen, M. I.] Univ Copenhagen, Dark Cosmol Ctr, Niels Bohr Inst, Juliane Mariesvej 30, DK-2100 Kbh O, Denmark; [Pedersen, K.; Sorensen, A. N.] Univ Copenhagen, Niels Bohr Inst, DK-2100 Kbh O, Denmark</t>
  </si>
  <si>
    <t>University of Copenhagen; Niels Bohr Institute; University of Copenhagen; Niels Bohr Institute</t>
  </si>
  <si>
    <t>Andersen, MI (corresponding author), Univ Copenhagen, Dark Cosmol Ctr, Niels Bohr Inst, Juliane Mariesvej 30, DK-2100 Kbh O, Denmark.</t>
  </si>
  <si>
    <t>mia@dark-cosmology.dk</t>
  </si>
  <si>
    <t>Andersen, Michael/H-6403-2018</t>
  </si>
  <si>
    <t>NSF Arctic programme at SUMMIT; Instrument Centre for Danish Astrophysics</t>
  </si>
  <si>
    <t>We acknowledge support from the NSF Arctic programme at SUMMIT and from the Instrument Centre for Danish Astrophysics</t>
  </si>
  <si>
    <t>10.1017/S1743921310010847</t>
  </si>
  <si>
    <t>WOS:000290186900379</t>
  </si>
  <si>
    <t>Zinnecker, H</t>
  </si>
  <si>
    <t>Zinnecker, Hans</t>
  </si>
  <si>
    <t>Astronomy from the Antarctic Plateau: a global personal vision</t>
  </si>
  <si>
    <t>DOME-C; TELESCOPE</t>
  </si>
  <si>
    <t>The Antarctic Plateau (Dome C, also Dome A) is emerging as an especially good sitefor astronomical observations (high, dry, cold, no wind, good free seeing above a certain-boundary layer). Over the last few years, several meetings and conferences tookplace to discuss potential astrophysical science cases for such exceptional atmosphericconditions. I summarise my personal conclusions from these discussions and presenta global vision (roadmap) for Antarctic Astronomy for future optical, near-IR, thermal-IR, andfar-IR/sub-mm observations. The need for international collaboration between Europe, Australia and China is stressed.</t>
  </si>
  <si>
    <t>Astrophys Inst Potsdam, D-14482 Potsdam, Germany</t>
  </si>
  <si>
    <t>Zinnecker, H (corresponding author), Astrophys Inst Potsdam, Sternwarte 16, D-14482 Potsdam, Germany.</t>
  </si>
  <si>
    <t>hzinnecker@aip.de</t>
  </si>
  <si>
    <t>10.1017/S1743921310010859</t>
  </si>
  <si>
    <t>WOS:000290186900380</t>
  </si>
  <si>
    <t>Cui, XQ</t>
  </si>
  <si>
    <t>Cui, Xiangqun</t>
  </si>
  <si>
    <t>CCAA</t>
  </si>
  <si>
    <t>CSTAR and future plans for Dome A</t>
  </si>
  <si>
    <t>Antarctica; Telescopes; Site Testing</t>
  </si>
  <si>
    <t>The first set of Chinese Antarctic telescopes at Dome A is called CSTAR. It consists of four 14.5 cm wide-field telescopes and was installed at Dome A during the traverse of 2007/2008. CSTAR successfully operated for 135 days in 2008 and for more than 200 clays in 2009. This paper briefly introduces recent developments in Chinese Antarctic astronomy and their international collaborative activities. It also describes future plans for Dome A, as the building of Kunlun Station began in January of this year.</t>
  </si>
  <si>
    <t>[Cui, Xiangqun] NIAOT, Nanjing 210042, Peoples R China</t>
  </si>
  <si>
    <t>Chinese Academy of Sciences; Nanjing Institute of Astronomical Optics &amp; Technology, NAOC, CAS</t>
  </si>
  <si>
    <t>Cui, XQ (corresponding author), NIAOT, 188 Bancang St, Nanjing 210042, Peoples R China.</t>
  </si>
  <si>
    <t>xcui@niaot.ac.cn</t>
  </si>
  <si>
    <t>10.1017/S1743921310010860</t>
  </si>
  <si>
    <t>WOS:000290186900381</t>
  </si>
  <si>
    <t>Lopeandía, NN</t>
  </si>
  <si>
    <t>Lopeandia, Nancy Nicholls</t>
  </si>
  <si>
    <t>The Whaling Society of Magallanes: from whalers to heroes who marked national sovereignty, 1906-1916</t>
  </si>
  <si>
    <t>HISTORIA-SANTIAGO</t>
  </si>
  <si>
    <t>Regional History; Whaling; Antarctic Territory</t>
  </si>
  <si>
    <t>The article deals with the history of the Whaling Society of Magallanes since its formation in 1906 until its dissolution in 1916. The first part describes the Society using primary sources including newspapers from Magallanes and travel accounts written by explorers and foreign travelers during the period. The second part reflects on the significance this whaling company had in economic and geopolitical terms. There is consideration of the absence of the idea of a sustainable exploitation of whales in the Antarctic region at the beginning of the Twentieth Century. Finally, the article reflects about the heroic imaginary elaborated during the period and years later in the varied literature about the Whaling Society of Magallanes.</t>
  </si>
  <si>
    <t>nnicholls@academia.cl</t>
  </si>
  <si>
    <t>PONTIFICIA UNIVERSIDAD CATOLICA CHILE, INSTITUTO HISTORIA</t>
  </si>
  <si>
    <t>MACUL, CAMPUS SAN JOAQUIN, INSTITUTO HISTORIA, VICUNA MACKENNA 4860, SANTIAGO 00000, CHILE</t>
  </si>
  <si>
    <t>0073-2435</t>
  </si>
  <si>
    <t>HIST-SANTIAGO</t>
  </si>
  <si>
    <t>Hist.-Santiago</t>
  </si>
  <si>
    <t>JAN-JUN</t>
  </si>
  <si>
    <t>History</t>
  </si>
  <si>
    <t>629CP</t>
  </si>
  <si>
    <t>WOS:000280172200002</t>
  </si>
  <si>
    <t>Dodds, K; Gan, I; Howkins, A</t>
  </si>
  <si>
    <t>Barr, S; Ludecke, C</t>
  </si>
  <si>
    <t>Dodds, Klaus; Gan, Irina; Howkins, Adrian</t>
  </si>
  <si>
    <t>The IPY-3: The International Geophysical Year (1957-1958)</t>
  </si>
  <si>
    <t>HISTORY OF THE INTERNATIONAL POLAR YEARS (IPYS)</t>
  </si>
  <si>
    <t>From Pole to Pole</t>
  </si>
  <si>
    <t>SOVEREIGNTY; ANTARCTICA; MAWSON</t>
  </si>
  <si>
    <t>[Dodds, Klaus] Univ London, Polit &amp; Environm Res Grp, London WC1E 7HU, England; [Gan, Irina] Univ Tasmania, Inst Antarctic &amp; So Ocean Studies, Hobart, Tas 7001, Australia; [Howkins, Adrian] Colorado State Univ, Ft Collins, CO 80523 USA</t>
  </si>
  <si>
    <t>University of London; University of Tasmania; Colorado State University</t>
  </si>
  <si>
    <t>Dodds, K (corresponding author), Univ London, Polit &amp; Environm Res Grp, London WC1E 7HU, England.</t>
  </si>
  <si>
    <t>k.dodds@rhul.ac.uk; igan@postoffice.utas.edu.au; Adrian.Howkins@colostate.edu</t>
  </si>
  <si>
    <t>978-3-642-12401-3</t>
  </si>
  <si>
    <t>FROM POLE POLE</t>
  </si>
  <si>
    <t>10.1007/978-3-642-12402-0_10</t>
  </si>
  <si>
    <t>10.1007/978-3-642-12402-0</t>
  </si>
  <si>
    <t>Environmental Sciences; Environmental Studies; History &amp; Philosophy Of Science</t>
  </si>
  <si>
    <t>Environmental Sciences &amp; Ecology; History &amp; Philosophy of Science</t>
  </si>
  <si>
    <t>BQX81</t>
  </si>
  <si>
    <t>WOS:000282073800010</t>
  </si>
  <si>
    <t>Carlson, D</t>
  </si>
  <si>
    <t>Carlson, Dave</t>
  </si>
  <si>
    <t>Why Do We Have a 4th IPY?</t>
  </si>
  <si>
    <t>British Antarctic Survey, IPY Int Programme Off, Cambridge CB3 0ET, England</t>
  </si>
  <si>
    <t>Carlson, D (corresponding author), British Antarctic Survey, IPY Int Programme Off, Madingley Rd, Cambridge CB3 0ET, England.</t>
  </si>
  <si>
    <t>ipy.djc@gmail.com</t>
  </si>
  <si>
    <t>10.1007/978-3-642-12402-0_14</t>
  </si>
  <si>
    <t>WOS:000282073800014</t>
  </si>
  <si>
    <t>Cathcart, R; Badescu, V</t>
  </si>
  <si>
    <t>Veress, B; Szigethy, J</t>
  </si>
  <si>
    <t>Cathcart, Richard; Badescu, Viorel</t>
  </si>
  <si>
    <t>LIQUID FRESHWATER DELIVERY FROM AMERY ICE SHELF TO WESTERN AUSTRALIA</t>
  </si>
  <si>
    <t>HORIZONS IN EARTH SCIENCE RESEARCH, VOL 1</t>
  </si>
  <si>
    <t>Horizons in Earth Science Research</t>
  </si>
  <si>
    <t>IMPACTS</t>
  </si>
  <si>
    <t>Western Australia is suffering drought and actively fighting desertification at considerable economic cost. We propose very large floating containers (Stauber Bags) hauled by carousel super-tugboats, be employed to convey bulk potable sub-glacial Antarctic meltwater siphoned from beneath the Amery Ice Shelf and transported to Western Australia. Accumulated reserve containers may be parked in the lee of Rottnest Island near Perth. From there, freshwater could be ferried to wherever it is required in coastal rural and urban Western Australia. On land, we propose that Pecero Self-Rolling Bags distribute imported freshwater farther inland and to serve as stationary reservoirs. Stock watering, farm irrigation and drinking water as well as mineral mine, petroleum refinery and sewage treatment processing are likely additional income-producing consumption. The use of both bulk conveyance and long-term storage by such means will naturally reduce the present-day stress on Western Australia's domestic water supplies storage and delivery systems that are limited by changing regional climate trending to dryness. Water imported would absolutely reduce water stress on Western Australia's already over-taxed rivers, streams and mined aquifers.</t>
  </si>
  <si>
    <t>[Badescu, Viorel] Univ Politehn Bucuresti, Fac Mech Engn, Candida Oancea Inst Solar Energy, Bucharest 79590, Romania</t>
  </si>
  <si>
    <t>National University of Science &amp; Technology POLITEHNICA Bucharest</t>
  </si>
  <si>
    <t>Cathcart, R (corresponding author), Geographos 1300 W Olive Ave Suite M, Burbank, CA 91506 USA.</t>
  </si>
  <si>
    <t>rbcathcart@gmail.com; badeseu@theta.termo.pub.ro</t>
  </si>
  <si>
    <t>Badescu, Viorel/AAF-2832-2020; Badescu, Viorel M/B-9819-2011</t>
  </si>
  <si>
    <t>Badescu, Viorel/0000-0002-7708-5108; Badescu, Viorel M/0000-0002-7708-5108</t>
  </si>
  <si>
    <t>978-1-60741-221-2</t>
  </si>
  <si>
    <t>HORIZ EARTH SCI RES</t>
  </si>
  <si>
    <t>BPC04</t>
  </si>
  <si>
    <t>WOS:000278494800021</t>
  </si>
  <si>
    <t>Tzafestas, SG</t>
  </si>
  <si>
    <t>Tzafestas, Spyros G.</t>
  </si>
  <si>
    <t>Automation, Humans, Nature, and Development</t>
  </si>
  <si>
    <t>HUMAN AND NATURE MINDING AUTOMATION: AN OVERVIEW OF CONCEPTS, METHODS, TOOLS AND APPLICATIONS</t>
  </si>
  <si>
    <t>Intelligent Systems Control and Automation Science and Engineering</t>
  </si>
  <si>
    <t>ANTARCTIC OZONE HOLE; HUMAN-MACHINE INTERACTION; CONTROL ARCHITECTURE; PREDICTIVE CONTROL; ROBOT NAVIGATION; FORCE FEEDBACK; MOBILE ROBOTS; ACID-RAIN; SYSTEMS; MODEL</t>
  </si>
  <si>
    <t>Natl &amp; Tech Univ Athens, Sch Elect &amp; Comp Engn, Athens 15773, Greece</t>
  </si>
  <si>
    <t>National Technical University of Athens</t>
  </si>
  <si>
    <t>Tzafestas, SG (corresponding author), Natl &amp; Tech Univ Athens, Sch Elect &amp; Comp Engn, Athens 15773, Greece.</t>
  </si>
  <si>
    <t>tzafesta@cs.ntua.gr</t>
  </si>
  <si>
    <t>978-90-481-3561-5</t>
  </si>
  <si>
    <t>INTEL SYST CONTR AUT</t>
  </si>
  <si>
    <t>10.1007/978-90-481-3562-2_1</t>
  </si>
  <si>
    <t>10.1007/978-90-481-3562-2</t>
  </si>
  <si>
    <t>Automation &amp; Control Systems; Computer Science, Cybernetics</t>
  </si>
  <si>
    <t>Automation &amp; Control Systems; Computer Science</t>
  </si>
  <si>
    <t>BNF47</t>
  </si>
  <si>
    <t>WOS:000274343800001</t>
  </si>
  <si>
    <t>Mori, N; Yasuda, T; Mase, H; Tom, T; Oku, Y</t>
  </si>
  <si>
    <t>Mori, Nobuhito; Yasuda, Tomohiro; Mase, Hajime; Tom, Tracey; Oku, Yuichiro</t>
  </si>
  <si>
    <t>Projection of Extreme Wave Climate Change under Global Warming</t>
  </si>
  <si>
    <t>HYDROLOGICAL RESEARCH LETTERS</t>
  </si>
  <si>
    <t>global warming; climate change; ocean wave; wave height; sea surface wind</t>
  </si>
  <si>
    <t>The influence of global climate change due to greenhouse effects on the earth's environment will require impact assessment, mitigation and adaptation strategies for the future of our society. This study predicts future ocean wave climate in comparison with present wave climate based on the atmospheric general circulation model and global wave model. The annual averaged and extreme sea surface winds and waves are analyzed in detail. There are clear regional dependences of both annual average and also extreme wave height changes from present to future climates. The wave heights of future climate will increase at both middle latitudes and also in the Antarctic Ocean, with a decrease at the equator.</t>
  </si>
  <si>
    <t>[Mori, Nobuhito; Yasuda, Tomohiro; Mase, Hajime; Tom, Tracey; Oku, Yuichiro] Kyoto Univ, Disaster Prevent Res Inst, Kyoto, Japan; [Tom, Tracey] Surflegend Co Ltd, Fujisawa, Kanagawa, Japan</t>
  </si>
  <si>
    <t>Kyoto University</t>
  </si>
  <si>
    <t>Mori, N (corresponding author), Kyoto Univ, Disaster Prevent Res Inst, Kyoto, Japan.</t>
  </si>
  <si>
    <t>mori@oceanwave.jp</t>
  </si>
  <si>
    <t>Mori, Nobuhito/B-8627-2008; Yasuda, Tomohiro/JCD-9608-2023</t>
  </si>
  <si>
    <t>Mori, Nobuhito/0000-0001-9082-3235; Yasuda, Tomohiro/0000-0002-1443-7989</t>
  </si>
  <si>
    <t>KAKUSHIN Program; Ministry of Education, Culture, Sports, Science, and Technology (MEXT); Grants-in-Aid for Scientific Research [22360196] Funding Source: KAKEN</t>
  </si>
  <si>
    <t>KAKUSHIN Program;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</si>
  <si>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This research was supported by the KAKUSHIN Program and the Kakenhi Grant-in-Aid of the Ministry of Education, Culture, Sports, Science, and Technology (MEXT).</t>
  </si>
  <si>
    <t>JSHWR, JAGH, JAHS, JSPH</t>
  </si>
  <si>
    <t>C/O INT ACAD PRINTING CO, LTD, SHINJUKU-KU, TOKYO, 169-0075, JAPAN</t>
  </si>
  <si>
    <t>1882-3416</t>
  </si>
  <si>
    <t>HYDROL RES LETT</t>
  </si>
  <si>
    <t>Hydrol. Res. Lett.</t>
  </si>
  <si>
    <t>10.3178/hrl.4.15</t>
  </si>
  <si>
    <t>VB6DT</t>
  </si>
  <si>
    <t>WOS:000416418000004</t>
  </si>
  <si>
    <t>Penna, D; Stenni, B; Sanda, M; Wrede, S; Bogaard, TA; Gobbi, A; Borga, M; Fischer, BMC; Bonazza, M; Chárová, Z</t>
  </si>
  <si>
    <t>Penna, D.; Stenni, B.; Sanda, M.; Wrede, S.; Bogaard, T. A.; Gobbi, A.; Borga, M.; Fischer, B. M. C.; Bonazza, M.; Charova, Z.</t>
  </si>
  <si>
    <t>On the reproducibility and repeatability of laser absorption spectroscopy measurements for δ2H and δ18O isotopic analysis</t>
  </si>
  <si>
    <t>HYDROLOGY AND EARTH SYSTEM SCIENCES</t>
  </si>
  <si>
    <t>NESTED MESOSCALE CATCHMENT; HYDROGRAPH SEPARATION; RESIDENCE TIME; WATER SAMPLES; SET-UP; TRACERS; CAVITY; 2-COMPONENT; EVENT</t>
  </si>
  <si>
    <t>The aim of this study was to analyse the reproducibility of off-axis integrated cavity output spectroscopy (OA-ICOS)-derived delta H-2 and delta O-18 measurements on a set of 35 water samples by comparing the performance of four laser spectroscopes with the performance of a conventional mass spectrometer under typical laboratory conditions. All samples were analysed using three different schemes of standard/sample combinations and related data processing to assess the improvement of results compared with mass spectrometry. The repeatability of the four OA-ICOS instruments was further investigated by multiple analyses of a sample subset to evaluate the stability of delta H-2 and delta O-18 measurements. Results demonstrated an overall agreement between OA-ICOS-based and mass spectrometry-based measurements for the entire dataset. However, a certain degree of variability existed in precision and accuracy between the four instruments. There was no evident bias or systematic deviations from the mass spectrometer values, but random errors, which were apparently not related to external factors, significantly affected the final results. Our investigation revealed that analytical precision ranged +/- from +/- 0.56 parts per thousand to +/- 1.80 parts per thousand for delta H-2 and from +/- 0.10 parts per thousand to +/- 0.27 parts per thousand for delta O-18 measurements, with a marked variability among the four instruments. The overall capability of laser instruments to reproduce stable results with repeated measurements of the same sample was acceptable, and there were general differences within the range of the analytical precision for each spectroscope. Hence, averaging the measurements of three identical samples led to a higher degree of accuracy and eliminated the potential for random deviations.</t>
  </si>
  <si>
    <t>[Penna, D.; Gobbi, A.; Borga, M.] Univ Padua, Dept Land &amp; Agroforest Environm, Padua, Italy; [Stenni, B.; Bonazza, M.] Univ Trieste, Dept Geosci, Trieste, Italy; [Sanda, M.; Charova, Z.] Czech Tech Univ, Fac Civil Engn, CR-16635 Prague, Czech Republic; [Wrede, S.] Ctr Rech Publ Gabriel Lippmann, Dept Environm &amp; Agrobiotechnol, Luxembourg, Luxembourg; [Wrede, S.; Bogaard, T. A.] Delft Univ Technol, Fac Civil Engn &amp; Geosci, Delft, Netherlands; [Fischer, B. M. C.] Univ Zurich, Dept Geog, Zurich, Switzerland</t>
  </si>
  <si>
    <t>University of Padua; University of Trieste; Czech Technical University Prague; Luxembourg Institute of Science &amp; Technology; Delft University of Technology; University of Zurich</t>
  </si>
  <si>
    <t>Penna, D (corresponding author), Univ Padua, Dept Land &amp; Agroforest Environm, Padua, Italy.</t>
  </si>
  <si>
    <t>daniele.penna@unipd.it</t>
  </si>
  <si>
    <t>Penna, Daniele/A-5084-2012; Sanda, Martin/G-3141-2011; borga, marco/C-6697-2014</t>
  </si>
  <si>
    <t>Penna, Daniele/0000-0001-6915-0697; Sanda, Martin/0000-0001-8715-4317; Fischer, Benjamin/0000-0003-2530-6084; Bogaard, Thom/0000-0002-1325-024X; Stenni, Barbara/0000-0003-4950-3664; borga, marco/0000-0003-3435-2779</t>
  </si>
  <si>
    <t>STREP Project HYDRATE [GOCE-037024]; University of Padova [STPD08RWBY]; Czech Ministry of Education, Czech Republic [CEZ MSM 6840770002]; National Research Fund of Luxembourg [TR-PHD BFR07-047]</t>
  </si>
  <si>
    <t>STREP Project HYDRATE; University of Padova; Czech Ministry of Education, Czech Republic(Ministry of Education, Youth &amp; Sports - Czech Republic); National Research Fund of Luxembourg(Luxembourg National Research Fund)</t>
  </si>
  <si>
    <t>This work was supported by the STREP Project HYDRATE, Contract GOCE-037024, the Research Project GEO-RISKS (University of Padova, STPD08RWBY), the Czech Ministry of Education, Czech Republic (CEZ MSM 6840770002), and the National Research Fund of Luxembourg (TR-PHD BFR07-047-Investigating scale dependency of runoff generation). We would like to express special thanks to Jeff McDonnell (Oregon State University, Corvallis, USA) for useful feedback at the beginning of this study, Tyler Coplen for providing the USGS RSIL W-64444 sample of Antarctic water (sample 30), Francois Barnich (Centre de Recherche Public - Gabriel Lippmann, Luxembourg) for continuous support during sample and data analysis, Luigi Dallai (National Council Research, Pisa, Italy) for analysis of the first calibration samples of the Padova spectroscope, and Markus Weiler (University of Freiburg, Germany) for interesting discussions about isotopic analyses. We also thank Brent D. Newman and Luis Araguas-Araguas (IAEA, Vienna) and an anonymous reviewer for their valuable comments that greatly improved the final version of the manuscript.</t>
  </si>
  <si>
    <t>1027-5606</t>
  </si>
  <si>
    <t>HYDROL EARTH SYST SC</t>
  </si>
  <si>
    <t>Hydrol. Earth Syst. Sci.</t>
  </si>
  <si>
    <t>10.5194/hess-14-1551-2010</t>
  </si>
  <si>
    <t>Geosciences, Multidisciplinary; Water Resources</t>
  </si>
  <si>
    <t>Geology; Water Resources</t>
  </si>
  <si>
    <t>645EA</t>
  </si>
  <si>
    <t>WOS:000281432500011</t>
  </si>
  <si>
    <t>Polito, MJ; Miller, AK; Trivelpiece, SG; Trivelpiece, WZ</t>
  </si>
  <si>
    <t>Polito, Michael J.; Miller, Aileen K.; Trivelpiece, Susan G.; Trivelpiece, Wayne Z.</t>
  </si>
  <si>
    <t>Maturation increases early reproductive investment in Adelie Penguins Pygoscelis adeliae</t>
  </si>
  <si>
    <t>IBIS</t>
  </si>
  <si>
    <t>age; clutch size; egg size; female investment; laying date; reproduction</t>
  </si>
  <si>
    <t>THICK-BILLED MURRES; EGG-SIZE; BREEDING PERFORMANCE; HATCHING ASYNCHRONY; CATHARACTA-SKUA; WESTERN GULLS; GREAT SKUAS; LAYING DATE; FEMALE AGE; SURVIVAL</t>
  </si>
  <si>
    <t>Correlations between female investment in egg production and age, breeding experience and laying date have been reported in several seabird species. In general, clutch and egg sizes increase with female age and breeding experience but decrease with laying date. Positive correlations of clutch and egg size with age and breeding experience can be caused by an increase in reproductive investment with maturation or they may be an artefact of lower survival rates for individuals with poor-quality phenotypes. Negative correlations of clutch and egg size with laying date might signal an adaptive reduction in egg production or be due in part to variation among individuals. We examined the interactions of female age, breeding experience, laying date and clutch and egg size in Adelie Penguins Pygoscelis adeliae. Breeding experience strongly affected clutch size with 87.3% of all one-egg clutches laid by first-time breeders. In addition, increasing age had a positive influence on egg size and was associated with earlier laying dates. However, there was little evidence to suggest that either clutch or egg sizes are influenced by laying date. Laying dates and clutch and egg sizes did not affect a female's probability of returning to breed in the following year, indicating that increased investment is a product of maturation and not of the loss of poor-quality breeders from the population. Our results suggest that as female Adelie Penguins gain foraging and breeding experience they are able to initiate breeding earlier, to lay complete clutches of two eggs and to lay larger eggs.</t>
  </si>
  <si>
    <t>[Polito, Michael J.] Univ N Carolina, Dept Biol &amp; Marine Biol, Wilmington, NC 28403 USA; [Miller, Aileen K.; Trivelpiece, Susan G.; Trivelpiece, Wayne Z.] SW Fisheries Sci Ctr, Natl Marine Fisheries Serv, Antarctic Ecosyst Res Div, La Jolla, CA 92037 USA</t>
  </si>
  <si>
    <t>University of North Carolina; University of North Carolina Wilmington; National Oceanic Atmospheric Admin (NOAA) - USA</t>
  </si>
  <si>
    <t>Polito, MJ (corresponding author), Univ N Carolina, Dept Biol &amp; Marine Biol, 601 S Coll Dr, Wilmington, NC 28403 USA.</t>
  </si>
  <si>
    <t>mjp7454@uncw.edu</t>
  </si>
  <si>
    <t>Lu, tch/HOC-0794-2023; Polito, Michael/G-9118-2012</t>
  </si>
  <si>
    <t>Polito, Michael/0000-0001-8639-4431</t>
  </si>
  <si>
    <t>U.S. National Science Foundation [OPP 0344275]; Pew Charitable Trusts</t>
  </si>
  <si>
    <t>U.S. National Science Foundation(National Science Foundation (NSF)); Pew Charitable Trusts</t>
  </si>
  <si>
    <t>We thank the numerous researchers who have worked at the Admiralty Bay field camp: without them this study would not have been possible. This research was funded by a grant to W. and S. Trivelpiece from the U.S. National Science Foundation (OPP 0344275). Additional support from the Lenfest Ocean programme of the Pew Charitable Trusts is gratefully acknowledged. We thank N. Ratcliffe, R. Phillips and two anonymous reviewers for helpful comments on earlier versions of this manuscript. J. Blum, R. Boulton and C. Zavalaga provided valuable statistical advice. This work complies with, and was completed in accordance with, an Antarctic Conservation Act permit provided by the U.S. National Science Foundation.</t>
  </si>
  <si>
    <t>0019-1019</t>
  </si>
  <si>
    <t>1474-919X</t>
  </si>
  <si>
    <t>Ibis</t>
  </si>
  <si>
    <t>10.1111/j.1474-919X.2009.00971.x</t>
  </si>
  <si>
    <t>530FI</t>
  </si>
  <si>
    <t>WOS:000272574000006</t>
  </si>
  <si>
    <t>Grennerat, F; Montagnat, M; Castelnau, O; Vacher, P; Duval, P</t>
  </si>
  <si>
    <t>Bremand, F</t>
  </si>
  <si>
    <t>Grennerat, F.; Montagnat, M.; Castelnau, O.; Vacher, P.; Duval, P.</t>
  </si>
  <si>
    <t>Intragranular strain field in columnar ice during transient creep regime and relation with the local microstucture</t>
  </si>
  <si>
    <t>ICEM 14: 14TH INTERNATIONAL CONFERENCE ON EXPERIMENTAL MECHANICS, VOL 6</t>
  </si>
  <si>
    <t>14th International Conference on Experimental Mechanics (ICEM14)</t>
  </si>
  <si>
    <t>JUL 04-09, 2010</t>
  </si>
  <si>
    <t>Poitiers, FRANCE</t>
  </si>
  <si>
    <t>Transient effects in the creep of polycrystalline ice could play a crucial role for several ice flows (e. g. interaction between Antarctic ice shelves and ocean tides) and also have a major impact concerning deformation mechanisms of ice. During creep deformation of polycrystalline ice, strong stress and strain-rate intragranular heterogeneities are expected. These heterogeneities come from the very large viscoplastic anisotropy of ice crystals (with essentially a single easy plane for the dislocations to glide) which is responsible for the strong mechanical interaction between adjacent grains [1]. In order to go one step further in the quantitative understanding of this process, and to characterize the development of strain heterogeneities at a microscopic (intragranular) scale, we have performed deformation tests on 2-D polycrystalline ice exhibiting columnar grains with controlled grain size. Specimens were submitted to creep test and transient effects, in which both elastic and viscoplastic responses come in play, are investigated. A Digital Image Correlation (DIC) technique, with spatial resolution far smaller than the mean grain size, has been set to get continuous record of the intragranular displacement field during the test [2]. Experimental parameters have been optimized to improve the precision of the DIC results. In parallel, specimen microstructures were analyzed with an automatic ice texture analyzer, before and after deformation, and post-mortem measurements of local misorientations at the intragranular scale were performed. For the first time in ice, this work presents a direct link between grain orientation, strain localization, and lattice distortion at the intragranular scale.</t>
  </si>
  <si>
    <t>[Grennerat, F.; Montagnat, M.; Duval, P.] Univ Grenoble 1, Lab Glaciol &amp; Geophys Environm, CNRS, F-38402 St Martin Dheres, France; [Castelnau, O.] CNRS, Arts &amp; Met Paris Tech, Lab Proc &amp; Ingn Mecan Mat, Paris, France; [Vacher, P.] Polytech Savoie, Lab Syst Mat Meca, Savoie, France</t>
  </si>
  <si>
    <t>Centre National de la Recherche Scientifique (CNRS); Communaute Universite Grenoble Alpes; Universite Grenoble Alpes (UGA); Centre National de la Recherche Scientifique (CNRS); Arts et Metiers Institute of Technology; Universite Savoie Mont Blanc</t>
  </si>
  <si>
    <t>Grennerat, F (corresponding author), Univ Grenoble 1, Lab Glaciol &amp; Geophys Environm, CNRS, F-38402 St Martin Dheres, France.</t>
  </si>
  <si>
    <t>Montagnat, Maurine/N-6431-2014; castelnau, olivier/E-7789-2011</t>
  </si>
  <si>
    <t>Castelnau, Olivier/0000-0001-7422-294X</t>
  </si>
  <si>
    <t>10.1051/epjconf/20100631001</t>
  </si>
  <si>
    <t>Engineering, Mechanical; Mechanics</t>
  </si>
  <si>
    <t>Engineering; Mechanics</t>
  </si>
  <si>
    <t>BVK40</t>
  </si>
  <si>
    <t>WOS:000291704000198</t>
  </si>
  <si>
    <t>Bradshaw, MA</t>
  </si>
  <si>
    <t>Bradshaw, Margaret A.</t>
  </si>
  <si>
    <t>Devonian Trace Fossils of the Horlick Formation, Ohio Range, Antarctica: Systematic Description and Palaeoenvironmental Interpretation</t>
  </si>
  <si>
    <t>ICHNOS-AN INTERNATIONAL JOURNAL FOR PLANT AND ANIMAL TRACES</t>
  </si>
  <si>
    <t>Trace Fossils; Devonian; marine; clastic sediments; Ohio Range; Antarctica</t>
  </si>
  <si>
    <t>CATSKILL DELTAIC COMPLEX; ARTHROPOD TRACKWAYS; ROSSELIA-SOCIALIS; BASIN; NONMARINE; ICHNOCOENOSES; PALEOECOLOGY; SEQUENCES; SKOLITHOS; MARINE</t>
  </si>
  <si>
    <t>The clastic Horlick Formation contains an ichnofauna of 28 ichnotaxa dominated by burrowers. These are a mixture of simple vertical forms (Skolithos linearis, S. magnus, Bergaueria cf. langi, Rosselia socialis, Monocraterion isp.), U or arc-like forms (Diplocraterion parallelum, Arenicolites types A and B, Catenarichnus antarcticus, C. isp., aff. Lanicoidichna isp.), and complex, vertical spiral structures (Asterosoma isp., Spirophyton isp.). Horizontal burrows include Ancorichnus cf. capronus, Palaeophycus tubularis, and Psammichnites devonicus isp. nov. Surface traces comprise Haplotichnus isp., Cruziana problematica, C. rhenana, Rusophycus aff. carbonarius, R. isp., Protovirgularia rugosa, Lockeia ornata and cubichnia indet., while trackways include Diplichnites gouldi, D. isp., Maculichna? isp. and large imprints. The Horlick Formation (maximum 56 m) records an early Devonian transgression onto a deeply weathered land area that lay in the direction of Marie Byrd Land, spreading from the South Africa sector of Gondwana. Analysis of the trace fossils confirms their formation in near-shore to intertidal environments, with some ichnotaxa living close to the marine/fluvial boundary (e.g., Spirophyton, aff. Lanicoidichna, Cruziana problematica, Rusophycus aff. carbonarius, Maculichna?). The ichnofauna probably comprised a variety of marine suspension and deposit-feeding worms, shallow burrowing molluscs (bivalves and possibly bellerophontids) and several different types of arthropods, including trilobites.</t>
  </si>
  <si>
    <t>Univ Canterbury, Dept Geol Sci, Christchurch 1, New Zealand</t>
  </si>
  <si>
    <t>University of Canterbury</t>
  </si>
  <si>
    <t>Bradshaw, MA (corresponding author), Univ Canterbury, Dept Geol Sci, Private Bag, Christchurch 1, New Zealand.</t>
  </si>
  <si>
    <t>margaret.bradshaw@canterbury.ac.nz</t>
  </si>
  <si>
    <t>Antarctica New Zealand; Antarctic Division, DSIR</t>
  </si>
  <si>
    <t>I gratefully acknowledge the companionship of colleagues Lucy Force, Karl Kellogg, and Graeme Ayres during the first deep-field season in the Ohio Range, and Jane Newman, Jonathon Aitchison, and Bill Atkinson during the second deep-field season three years later. I would like to thank Antarctica New Zealand (then Antarctic Division, DSIR) for their excellent support, and the Scott Base staff for their enthusiasm during the short times we were on base. I have valued the expertise and advice of fellow Antarctican, Molly Miller, during numerous email and face-to-face discussions about trace fossils. Alfred Uchman, as referee, did much to help make this a better paper by offering advice and pointing me towards some relevant publications. I also thank the unknown second referee who raised some significant points. The help of the New Zealand Advisory Committee of the Trans-Antarctic Association with financial assistance in the preparation of this paper, particularly with photographic expenses, is gratefully acknowledged.</t>
  </si>
  <si>
    <t>1042-0940</t>
  </si>
  <si>
    <t>1563-5236</t>
  </si>
  <si>
    <t>ICHNOS</t>
  </si>
  <si>
    <t>Ichnos</t>
  </si>
  <si>
    <t>PII 922859429</t>
  </si>
  <si>
    <t>10.1080/10420941003659329</t>
  </si>
  <si>
    <t>610HC</t>
  </si>
  <si>
    <t>WOS:000278721300002</t>
  </si>
  <si>
    <t>Mélin, F</t>
  </si>
  <si>
    <t>Melin, Frederic</t>
  </si>
  <si>
    <t>Global Distribution of the Random Uncertainty Associated With Satellite-Derived Chla</t>
  </si>
  <si>
    <t>Chlorophyll a (Chla); ocean color; uncertainty</t>
  </si>
  <si>
    <t>CHLOROPHYLL DATA; SEAWIFS DATA; COLOR; MODEL; SEA; ASSIMILATION; CALIBRATION; ALGORITHMS; MODIS</t>
  </si>
  <si>
    <t>The comparison of coincident daily records of the concentration of chlorophyll a (Chla) derived from the Sea-viewing Wide Field-of-view Sensor and the Moderate Resolution Imaging Spectroradiometer can provide the distribution of the standard deviation sigma associated with the zero-mean random component of the uncertainty budget. The proposed approach does not quantify the bias characterizing the Chla satellite product, but it is spatially and temporally resolved and thus appears as a useful complement to validation exercises with in situ data. The global median of sigma is equal to 0.074 for log-transformed Chla. The values of sigma that are around or larger than 0.1 are found in a significant part of the ocean, including the centers of the subtropical gyres, some Arctic and Antarctic areas, or eastern boundary upwelling regions. In general, sigma increases at the low and high ends of the Chla range, whereas it is lowest in the interval 0.1-0.3 mg . m(-3).</t>
  </si>
  <si>
    <t>European Commiss, Joint Res Ctr, Inst Environm &amp; Sustainabil, I-21027 Ispra, Italy</t>
  </si>
  <si>
    <t>European Commission Joint Research Centre; EC JRC ISPRA Site</t>
  </si>
  <si>
    <t>Mélin, F (corresponding author), European Commiss, Joint Res Ctr, Inst Environm &amp; Sustainabil, I-21027 Ispra, Italy.</t>
  </si>
  <si>
    <t>frederic.melin@jrc.ec.europa.eu</t>
  </si>
  <si>
    <t>MELIN, FREDERIC/0000-0003-4381-682X</t>
  </si>
  <si>
    <t>European Community [FP7/2007-2013, 218812]</t>
  </si>
  <si>
    <t>European Community</t>
  </si>
  <si>
    <t>This work was supported by the European Community's 7th Framework Programme FP7/2007-2013 under Grant Agreement no. 218812 (MyOcean).</t>
  </si>
  <si>
    <t>10.1109/LGRS.2009.2031825</t>
  </si>
  <si>
    <t>575PI</t>
  </si>
  <si>
    <t>WOS:000276079000045</t>
  </si>
  <si>
    <t>Willatt, RC; Giles, KA; Laxon, SW; Stone-Drake, L; Worby, AP</t>
  </si>
  <si>
    <t>Willatt, Rosemary C.; Giles, Katharine A.; Laxon, Seymour W.; Stone-Drake, Lucas; Worby, Anthony P.</t>
  </si>
  <si>
    <t>Field Investigations of Ku-Band Radar Penetration Into Snow Cover on Antarctic Sea Ice</t>
  </si>
  <si>
    <t>Antarctic regions; frequency-modulated (FM) radar; ice; radar altimetry; snow</t>
  </si>
  <si>
    <t>LASER ALTIMETER MEASUREMENTS; AIRBORNE LASER; BACKSCATTER; THICKNESS; SHEET</t>
  </si>
  <si>
    <t>Monitoring long-term, large-scale changes in the Antarctic sea ice thickness is not currently possible due to the sampling constraints of the ship-based and airborne observations which comprise most of the available thickness data. Satellite radar altimetry has been used to measure sea ice thickness variability in the Arctic where it is assumed that the highest amplitude radar return originates from the snow/ice interface as the Arctic snow is cold and dry; however, this may not be the case in the Antarctic due to more complex snow stratigraphy caused by warmer winter temperatures and frequent snow flooding. We present the first measurements of radar penetration into snow cover on Antarctic sea ice in the Ku-band at which satellite radar altimeters operate. Data were taken using a sled-borne radar on sea ice off East Antarctica during September and October 2007. Radar data and field measurements of snow density, thickness, wetness, and layers were taken over a range of locations including snow packs with flooding, hard crusts, and icy layers. Detailed snow pit studies showed that the snow/ice interface was the dominant scattering surface only for snow without morphological features or flooding. Analysis of transect data showed that the mean depth of the dominant scattering surface of the radar was only around 50% of the mean measured snow depth, indicating that the dominant scattering surface was not always the snow/ice interface for the Antarctic sea ice surveyed.</t>
  </si>
  <si>
    <t>[Willatt, Rosemary C.; Giles, Katharine A.; Laxon, Seymour W.; Stone-Drake, Lucas] UCL, Ctr Polar Observat &amp; Modelling, London WC1E 6BT, England; [Worby, Anthony P.] Antarctic Climate &amp; Ecosyst Cooperat Res Ctr, Hobart, Tas 7001, Australia; [Worby, Anthony P.] Australian Antarctic Div, Hobart, Tas 7001, Australia</t>
  </si>
  <si>
    <t>University of London; University College London; Antarctic Climate &amp; Ecosystems Cooperative Research Centre (ACE CRC); Australian Antarctic Division</t>
  </si>
  <si>
    <t>Willatt, RC (corresponding author), UCL, Ctr Polar Observat &amp; Modelling, Mortimer St, London WC1E 6BT, England.</t>
  </si>
  <si>
    <t>rcw@cpom.ucl.ac.uk; k.giles@cpom.ucl.ac.uk; swl@cpom.ucl.ac.uk; ls@cpom.ucl.ac.uk; tony.worby@aad.gov.au</t>
  </si>
  <si>
    <t>Willatt, Rosemary/HTN-4931-2023; Worby, Anthony P/A-2373-2012; Laxon, Seymour/C-1644-2008; Giles, Katharine A/G-3837-2010</t>
  </si>
  <si>
    <t>Willatt, Rosemary/0000-0003-2512-562X</t>
  </si>
  <si>
    <t>Australian Government; Natural Environment Research Council [NE/F006446/1]; Natural Environment Research Council [earth010006, cpom20001] Funding Source: researchfish; NERC [cpom20001] Funding Source: UKRI</t>
  </si>
  <si>
    <t>Australian Government(Australian Government);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</si>
  <si>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in part by the Australian Government under the Cooperative Research Centre Program through the Antarctic Climate and Ecosystems Cooperative Research Center and in part by the Natural Environment Research Council under Grant NE/F006446/1.</t>
  </si>
  <si>
    <t>10.1109/TGRS.2009.2028237</t>
  </si>
  <si>
    <t>535UV</t>
  </si>
  <si>
    <t>WOS:000272998300007</t>
  </si>
  <si>
    <t>Mishra, KP; Yadav, AP; Shweta; Chanda, S; Ganju, L; Majumdar, D; Ilavazhagan, G</t>
  </si>
  <si>
    <t>Mishra, Kamla Prasad; Yadav, Anand Prakash; Shweta; Chanda, Sudipta; Ganju, Lilly; Majumdar, Dhurjati; Ilavazhagan, Govindasamy</t>
  </si>
  <si>
    <t>Ship-borne Journey Induces Th1 Cytokines Level in Antarctic Summer Expeditioners</t>
  </si>
  <si>
    <t>IMMUNOLOGICAL INVESTIGATIONS</t>
  </si>
  <si>
    <t>Antarctica; Stress; Cytokines; Chemokines; Cortisol</t>
  </si>
  <si>
    <t>CELL-MEDIATED-IMMUNITY; RESPONSES; EXERCISE; EXPOSURE; STRESS; ADULTS</t>
  </si>
  <si>
    <t>It has become apparent that extreme environmental conditions of Antarctic continent alters many immune responses. The present study was conducted on 28th Indian Antarctic expeditioners. The investigations were carried out to explore the effect of multiple stresses like isolation, cold and UV exposure on human immunity. Thirty blood samples were collected between 6 and 7 AM, after an overnight fast at different stages of the expedition-viz. the pre-exposure sample was collected at Delhi on 25(th) October 2008. The expedition started its ship journey from Capetown, on 6(th) January, 2009 and on-board blood was collected on 31(st) January 2009. After 1 month stay at Maitri, blood was collected on 3(rd) March 2009. Different parameters studied included levels of cytokines, chemokines and cortisol. The ship-borne journey induced a dramatic increase in TNF-alpha, IFN-gamma, and B cell activating factor (BAFF) levels and moderate decreases in TGF-beta and cortisol levels. However, after being off board for 1 month at Maitri station, levels of above cytokines, cortisol and BAFF were decreased but MIP-1 alpha was significantly increased. These data for the first time suggest that ship-borne journey to the Antarctic continent results in tremendous stress to the body, which eventually resulted in increased TH1-biased immunity.</t>
  </si>
  <si>
    <t>[Mishra, Kamla Prasad; Yadav, Anand Prakash; Shweta; Chanda, Sudipta; Ganju, Lilly; Majumdar, Dhurjati; Ilavazhagan, Govindasamy] Def Inst Physiol &amp; Allied Sci, Immunomodulat Lab, Delhi 110054, India</t>
  </si>
  <si>
    <t>Defence Research &amp; Development Organisation (DRDO); Defence Institute of Physiology &amp; Allied Sciences (DIPAS)</t>
  </si>
  <si>
    <t>Mishra, KP (corresponding author), Def Inst Physiol &amp; Allied Sci, Immunomodulat Lab, Lucknow Rd, Delhi 110054, India.</t>
  </si>
  <si>
    <t>kpmpgi@rediffmail.com</t>
  </si>
  <si>
    <t>Joshi, Shweta/0000-0002-6833-9073; Mishra, KP/0000-0002-8371-3772</t>
  </si>
  <si>
    <t>DRDO, Ministry of Defence, Government of India; NCAOR</t>
  </si>
  <si>
    <t>The authors are thankful to Mr. Dev Karan and Mr. Parveen Kumar for helping in transportation of scientific materials; Mr. Javed Beg at Capetown and Mr. Ajay Dhar on MV Emerald Ship for providing all the logistic support required for the study, Dr. Pradeep Malhotra leader of the 28th Indian Antarctic Expedition for drawing blood samples at Maitri. Authors are indebted to all the expeditioners who voluntarily gave their blood for the study at Delhi, on MV Emerald Ship and at Maitri, Antarctica. The study was supported by DRDO, Ministry of Defence, Government of India. NCAOR is acknowledged for all the support required for the study.</t>
  </si>
  <si>
    <t>0882-0139</t>
  </si>
  <si>
    <t>1532-4311</t>
  </si>
  <si>
    <t>IMMUNOL INVEST</t>
  </si>
  <si>
    <t>Immunol. Invest.</t>
  </si>
  <si>
    <t>10.3109/08820139.2010.494194</t>
  </si>
  <si>
    <t>Immunology</t>
  </si>
  <si>
    <t>665YS</t>
  </si>
  <si>
    <t>WOS:000283074600008</t>
  </si>
  <si>
    <t>Majumder, M</t>
  </si>
  <si>
    <t>Jana, BK; Majumder, M</t>
  </si>
  <si>
    <t>Majumder, Mrinmoy</t>
  </si>
  <si>
    <t>Introduction to Climate Change and Climate Models</t>
  </si>
  <si>
    <t>IMPACT OF CLIMATE CHANGE ON NATURAL RESOURCE MANAGEMENT</t>
  </si>
  <si>
    <t>Climate; climate models; global warming; IPCC</t>
  </si>
  <si>
    <t>PHYSICAL-BIOLOGICAL MODEL; CENTER COUPLED MODEL; ANTARCTIC ICE-SHEET; NORTH-ATLANTIC; CIRCULATION MODEL; SULFATE AEROSOLS; OCEAN MODEL; SENSITIVITY; IMPACT; ALBEDO</t>
  </si>
  <si>
    <t>Climate change is defined as the change in the weather pattern of a region. The models which are employed to predict climate change of the future are collectively called as climate models. The present note describes the formation, structures, and working principles of global as well as regional climate models. The note also describes the climate change scenarios that are presently created.</t>
  </si>
  <si>
    <t>[Majumder, Mrinmoy] Jadavpur Univ, Sch Water Resources Engn, Kolkata 700032, W Bengal, India; [Majumder, Mrinmoy] Jadavpur Univ, Reg Ctr, Natl Afforestat &amp; Ecodev Board, Kolkata 700032, W Bengal, India</t>
  </si>
  <si>
    <t>Jadavpur University; Jadavpur University</t>
  </si>
  <si>
    <t>Majumder, M (corresponding author), Jadavpur Univ, Sch Water Resources Engn, Kolkata 700032, W Bengal, India.</t>
  </si>
  <si>
    <t>mrinmoy@majumder.info</t>
  </si>
  <si>
    <t>Majumder, Mrinmoy/G-6431-2013</t>
  </si>
  <si>
    <t>Majumder, Mrinmoy/0000-0001-6231-5989</t>
  </si>
  <si>
    <t>978-90-481-3580-6</t>
  </si>
  <si>
    <t>10.1007/978-90-481-3581-3_23</t>
  </si>
  <si>
    <t>10.1007/978-90-481-3581-3</t>
  </si>
  <si>
    <t>BQX58</t>
  </si>
  <si>
    <t>WOS:000282064300023</t>
  </si>
  <si>
    <t>Jana, PK; Saha, I; Das, P; Sarkar, D; Midya, SK</t>
  </si>
  <si>
    <t>Jana, P. K.; Saha, I.; Das, P.; Sarkar, D.; Midya, S. K.</t>
  </si>
  <si>
    <t>Long-term ozone trend and its effect on night airglow intensity of Li 6708 Å at Ahmedabad (23°N, 72.5°E), India and Halley Bay (76°S, 27°W), British Antarctic Service Station</t>
  </si>
  <si>
    <t>INDIAN JOURNAL OF PHYSICS</t>
  </si>
  <si>
    <t>Ozone depletion; airglow emission; excitation mechanism; intensity</t>
  </si>
  <si>
    <t>GALACTIC COSMIC-RAYS; DECLINE</t>
  </si>
  <si>
    <t>A critical analysis has been made of the long-term yearly and seasonal variations of ozone concentration at Ahmedabad (23 degrees N, 72.5 degrees E), India and Halley Bay (76 degrees S, 27 degrees W), a British Antarctic Service Station. The effect of O-3 depletion on night airglow emission of Li 6708 angstrom line at Ahmedabad and Halley Bay has been studied. Calculations based on chemical kinetics show that the airglow intensity of Li 6708 angstrom line has also been affected due to the depletion of O-3 concentration. The nature of yearly variation and seasonal variation of intensity of Li 6708 angstrom line for the above two stations have been shown and compared. It has been shown that the rate of decrease of intensity of Li 6708 angstrom line was comparatively higher at Halley Bay due to dramatic decrease of Antarctic O-3 concentration.</t>
  </si>
  <si>
    <t>[Jana, P. K.] Govt Coll Educ, Dept Chem, Banipur 743233, W Bengal, India; [Saha, I.] Metia High Sch, Dept Chem, Basirhat 743437, W Bengal, India; [Das, P.] Govt W Bengal, Directorate Tech Educ, Kolkata 700091, India; [Sarkar, D.] Howrah Zilla Sch, Dept Chem, Howrah 711101, W Bengal, India; [Midya, S. K.] Univ Calcutta, Dept Atmospher Sci, Kolkata 700019, W Bengal, India</t>
  </si>
  <si>
    <t>Jana, PK (corresponding author), Govt Coll Educ, Dept Chem, N 24 Parganas, Banipur 743233, W Bengal, India.</t>
  </si>
  <si>
    <t>pkjjngl@yahoo.co.in</t>
  </si>
  <si>
    <t>INDIAN ASSOC CULTIVATION SCIENCE</t>
  </si>
  <si>
    <t>INDIAN J PHYSICS, JADAVPUR, KOLKATA 700 032, INDIA</t>
  </si>
  <si>
    <t>0973-1458</t>
  </si>
  <si>
    <t>0974-9845</t>
  </si>
  <si>
    <t>INDIAN J PHYS</t>
  </si>
  <si>
    <t>Indian J. Phys.</t>
  </si>
  <si>
    <t>10.1007/s12648-010-0003-5</t>
  </si>
  <si>
    <t>580ZL</t>
  </si>
  <si>
    <t>WOS:000276489600002</t>
  </si>
  <si>
    <t>Huang, JP; Hoover, RB; Swain, A; Murdock, C; Andersen, DT; Bej, AK</t>
  </si>
  <si>
    <t>Hoover, RB; Levin, GV; Rozanov, AY; Davies, PCW</t>
  </si>
  <si>
    <t>Huang, Jonathan P.; Hoover, Richard B.; Swain, Ashit; Murdock, Chris; Andersen, Dale T.; Bej, Asim K.</t>
  </si>
  <si>
    <t>Comparison of the microbial diversity and abundance between the freshwater land-locked lakes of Schirmacher Oasis and the perennially ice-covered Lake Untersee in East Antarctica</t>
  </si>
  <si>
    <t>INSTRUMENTS, METHODS, AND MISSIONS FOR ASTROBIOLOGY XIII</t>
  </si>
  <si>
    <t>Conference on Instruments, Methods, and Missions for Astrobiology XIII</t>
  </si>
  <si>
    <t>AUG 03-05, 2010</t>
  </si>
  <si>
    <t>Antarctica; Schirmacher Oasis; Lake Untersee; Microorganisms; Biodiversity; Lakes; Phylogenetics; 16S rRNA; Microbial Taxonomy; Culture-dependent methodology</t>
  </si>
  <si>
    <t>Extreme conditions such as low temperature, dryness, and constant UV-radiation in terrestrial Antarctica are limiting factors to the survival of microbial populations. The objective of this study was to investigate the microbial diversity and enumeration between the open water lakes of Schirmacher Oasis and the permanently ice-covered Lake Untersee. The lakes in Schirmacher Oasis possessed an abundant and diverse group of microorganisms compared to Lake Untersee. Furthermore, the microbial diversity between two lakes in Schirmacher Oasis (Lake L27C and L47) was compared by culture-based molecular approach. It was determined that L27C had a richer microbial diversity representing 4 different phyla and 7 different genera. In contrast L47 consisted of 3 different phyla and 6 different genera. The difference in microbial community could be due to the wide range of pH between L27C (pH 9.1) and L47 (pH 5.7). Most of the microbes isolated from these lakes consisted of adaptive biological pigmentation. Characterization of the microbial community found in the freshwater lakes of East Antarctica is important because it gives a further glimpse into the adaptation and survival strategies found in extreme conditions.</t>
  </si>
  <si>
    <t>[Huang, Jonathan P.; Bej, Asim K.] Univ Alabama Birmingham, Birmingham, AL 35294 USA; [Hoover, Richard B.] NASA, NSSTC, Huntsville, AL 35805 USA; [Swain, Ashit] Geol Survey India, Antarctic Div, NIT, Faridabad, India; [Murdock, Chris] Jacksonville State Univ, Jacksonville, AL 36265 USA; [Andersen, Dale T.] SETI Inst, Carl Sagan Ctr Study Life Universe, Mountain View, CA 94043 USA</t>
  </si>
  <si>
    <t>University of Alabama System; University of Alabama Birmingham; National Aeronautics &amp; Space Administration (NASA); Geological Survey India; Jacksonville State University</t>
  </si>
  <si>
    <t>Bej, AK (corresponding author), Univ Alabama Birmingham, Birmingham, AL 35294 USA.</t>
  </si>
  <si>
    <t>Andersen, Dale T/B-4816-2013</t>
  </si>
  <si>
    <t>Andersen, Dale T/0000-0001-8827-1259; /0000-0003-3060-1088</t>
  </si>
  <si>
    <t>Tawani Foundation of Chicago; NASA [NNX08AO19G, NNX07AD90A]; NASA [97030, NNX08AO19G] Funding Source: Federal RePORTER</t>
  </si>
  <si>
    <t>Tawani Foundation of Chicago; NASA(National Aeronautics &amp; Space Administration (NASA)); NASA(National Aeronautics &amp; Space Administration (NASA))</t>
  </si>
  <si>
    <t>We would like to thank Tawani Foundation of Chicago; NASAs Exobiology program (grant #NNX08AO19G), and Astrobiology Program (Grant #NNX07AD90A) for supporting the Tawani 2008 International Antarctic Scientific Expedition; We are grateful to Colonel (IL) J.N. Pritzker IL ARNG (Retired) for the leadership and supporting the expedition; Logistics support was provided by the Arctic and Antarctic Research Institute/Russian Antarctic Expedition (AARI/RAE); Antarctic Logistics Centre International (ALCI), Cape Town, SA; Von Braun Center for Science Innovation, Inc (VCSI, Inc.); National Space Science Technology (NSSTC), NASA; Rasik Ravindra (Director) of National Center for Antarctic and Ocean Research (NCAOR); 2008-2009 Maitri staffs and Cdr. Arun Chaturvedi and Cdr. Pradip Malhotra and personnel at Novolazarevskaya Station, Russia. We also thank Ed Tracy of Tawani Foundation, Marty Kress of VCSI, Inc., and Robert Fischer of Biology, UAB for the support; special thanks to Art Mortvedt for the field logistic support and Mark Roderer for the logistic support from Cape Town, South Africa base camp during the expedition.</t>
  </si>
  <si>
    <t>978-0-8194-8315-7</t>
  </si>
  <si>
    <t>78190W</t>
  </si>
  <si>
    <t>10.1117/12.863131</t>
  </si>
  <si>
    <t>Astronomy &amp; Astrophysics; Biology; Geosciences, Multidisciplinary; Optics</t>
  </si>
  <si>
    <t>Astronomy &amp; Astrophysics; Life Sciences &amp; Biomedicine - Other Topics; Geology; Optics</t>
  </si>
  <si>
    <t>BSU44</t>
  </si>
  <si>
    <t>WOS:000285826700026</t>
  </si>
  <si>
    <t>Smirnov, A; Korablev, A; Alekseev, G; Esau, I</t>
  </si>
  <si>
    <t>Djolov, G; Esau, I</t>
  </si>
  <si>
    <t>Smirnov, A.; Korablev, A.; Alekseev, G.; Esau, I.</t>
  </si>
  <si>
    <t>Temporal and spatial changes in mixed layer properties and atmospheric net heat flux in the Nordic Seas</t>
  </si>
  <si>
    <t>INTERNATIONAL CONFERENCE ON PLANETARY BOUNDARY LAYER AND CLIMATE CHANGE</t>
  </si>
  <si>
    <t>International Conference on Planetary Boundary Layer and Climate Change</t>
  </si>
  <si>
    <t>OCT 26-28, 2009</t>
  </si>
  <si>
    <t>Cape Town, SOUTH AFRICA</t>
  </si>
  <si>
    <t>BULK PARAMETERIZATION; FRAM STRAIT; OCEAN; SURFACE; ICE</t>
  </si>
  <si>
    <t>The Nordic Seas are an important area of the World Ocean where warm Atlantic waters penetrate far north forming the mild climate of Northern Europe. These waters represent the northern rim of the global thermohaline circulation. Estimates of the relationships between the net heat flux and mixed layer properties in the Nordic Seas are examined. Oceanographic data are derived from the Oceanographic Data Base (ODB) compiled in the Arctic and Antarctic Research Institute. Ocean weather ship 'Mike' (OWS) data are used to calculate radiative and turbulent components of the net heat flux. The net shortwave flux was calculated using a satellite albedo dataset and the EPA model. The net longwave flux was estimated by Southampton Oceanography Centre (SOC) method. Turbulent fluxes at the air-sea interface were calculated using the COARE 3.0 algorithm. The net heat flux was calculated by using oceanographic and meteorological data of the OWS 'Mike'. The mixed layer depth was estimated for the period since 2002 until 2009 by the 'Mike' data as well. A good correlation between these two parameters has been found. Sensible and latent heat fluxes controlled by surface air temperature/sea surface temperature gradient are the main contributors into net heat flux. Significant correlation was found between heat fluxes variations at the OWS location and sea ice export from the Arctic Ocean.</t>
  </si>
  <si>
    <t>[Smirnov, A.; Alekseev, G.] SI Arct &amp; Antarct Res Inst, St Petersburg, Russia; [Korablev, A.; Esau, I.] Nansen Environm &amp; Remote Sensing Ctr, Bergen, Norway; [Smirnov, A.] Nansen Int Environm &amp; Remote Sensing Ctr, St Petersburg, Russia</t>
  </si>
  <si>
    <t>Nansen Environmental &amp; Remote Sensing Center (NERSC); Nansen Environmental &amp; Remote Sensing Center (NERSC)</t>
  </si>
  <si>
    <t>Smirnov, A (corresponding author), SI Arct &amp; Antarct Res Inst, St Petersburg, Russia.</t>
  </si>
  <si>
    <t>avsmir@aari.nwsu</t>
  </si>
  <si>
    <t>Smirnov, Alexander/J-5935-2014; Esau, Igor/AAG-9769-2021; Esau, Igor/C-6298-2008</t>
  </si>
  <si>
    <t>Smirnov, Alexander/0000-0003-3231-7283; Esau, Igor/0000-0003-4122-6340;</t>
  </si>
  <si>
    <t>10.1088/1755-1315/13/1/012006</t>
  </si>
  <si>
    <t>Environmental Sciences; Meteorology &amp; Atmospheric Sciences; Remote Sensing</t>
  </si>
  <si>
    <t>Environmental Sciences &amp; Ecology; Meteorology &amp; Atmospheric Sciences; Remote Sensing</t>
  </si>
  <si>
    <t>BVK48</t>
  </si>
  <si>
    <t>WOS:000291710000006</t>
  </si>
  <si>
    <t>Cobra, G</t>
  </si>
  <si>
    <t>Cobra, G.</t>
  </si>
  <si>
    <t>PSYCHODYNAMIC ANALYSIS OF ANTARCTIC INTERGROUPS RELATIONS</t>
  </si>
  <si>
    <t>INTERNATIONAL JOURNAL OF CIRCUMPOLAR HEALTH</t>
  </si>
  <si>
    <t>[Cobra, G.] Fiocruz MS, ENSP, Rio De Janeiro, Brazil</t>
  </si>
  <si>
    <t>Fundacao Oswaldo Cruz</t>
  </si>
  <si>
    <t>geny.cobra@gmail.com</t>
  </si>
  <si>
    <t>1239-9736</t>
  </si>
  <si>
    <t>2242-3982</t>
  </si>
  <si>
    <t>INT J CIRCUMPOL HEAL</t>
  </si>
  <si>
    <t>Int. J. Circumpolar Health</t>
  </si>
  <si>
    <t>VI3IG</t>
  </si>
  <si>
    <t>WOS:000471812300196</t>
  </si>
  <si>
    <t>Boon, D; Grant, I; Gawn, L; Cross, S; Knapp, K; Vivian, G; Moniz, C; Rees, G; Marquis, P</t>
  </si>
  <si>
    <t>Boon, D.; Grant, I.; Gawn, L.; Cross, S.; Knapp, K.; Vivian, G.; Moniz, C.; Rees, G.; Marquis, P.</t>
  </si>
  <si>
    <t>THE ASSESSMENT OF BONE MINERAL DENSITY, CALCIUM AND VITAMIN D INTAKE AND EXPOSURE IN BRITISH ANTARCTIC SURVEY PERSONNEL</t>
  </si>
  <si>
    <t>British Antarctic Survey, Cambridge, England; SCAR Expert Grp, Cambridge, England</t>
  </si>
  <si>
    <t>daranee.boon@phnt.swest.nhs.uk</t>
  </si>
  <si>
    <t>WOS:000471812300336</t>
  </si>
  <si>
    <t>Ohno, G; Watanabe, K</t>
  </si>
  <si>
    <t>Ohno, G.; Watanabe, K.</t>
  </si>
  <si>
    <t>A REPORT OF THE JAPAN WORKSHOP ON ANTARCTIC MEDICAL RESEARCH AND MEDICINE WE NEED A BROAD NETWORK OF ANTARCTIC MEDICAL RESEARCH</t>
  </si>
  <si>
    <t>oonog@mb.infoweb.ne.jp</t>
  </si>
  <si>
    <t>WOS:000471812300557</t>
  </si>
  <si>
    <t>Goodwin, R</t>
  </si>
  <si>
    <t>Goodwin, Ross</t>
  </si>
  <si>
    <t>THE CIRCUMPOLAR HEALTH BIBLIOGRAPHIC DATABASE</t>
  </si>
  <si>
    <t>health; medicine; circumpolar region; Arctic; database; bibliography</t>
  </si>
  <si>
    <t>Objective: The Circumpolar Health Bibliographic Database (CHBD) contains 4,850 records describing publications about all aspects of human health in the circumpolar region. The database is a project of the Canadian Institutes of Health Research (CIHR) Team in circumpolar health research. In this paper we describe the CHBD. Methods: Descriptive study. Results: The CHBD includes all types of publications, both peer-reviewed and gray (not peer-reviewed) literature, in paper and digital formats. It can be searched using words from titles and abstracts, names of diseases or conditions, types of people, geographic regions, authors, years and special groups of publications, such as all publications of the members of the CIHR Team. Search results can be sorted by year or by first author. The records in the CHBD contain citations, abstracts, subject and geographic indexing terms, library symbols and links to 2,000 online publications. As part of the CHBD project, server space is available to make PDF files of publications available online. Records created for the CHBD also appear in the Arctic Science and Technology Information System (ASTIS), the international Arctic &amp; Antarctic Regions database and in relevant Canadian regional databases, such as the Inuvialuit Settlement Region Database, the Nunavut Environmental Database and the Nunavik Bibliography. Conclusions: The CHBD's coverage is far from comprehensive, but the database includes many publications not indexed elsewhere, such as gray literature from Canada's northern territories, all human health publications from the Northern Contaminants Program and International Polar Year health publications.</t>
  </si>
  <si>
    <t>[Goodwin, Ross] Univ Calgary, Arctic Inst North Amer, 2500 Univ Dr NW, Calgary, AB T2N 1N4, Canada</t>
  </si>
  <si>
    <t>University of Calgary</t>
  </si>
  <si>
    <t>Goodwin, R (corresponding author), Univ Calgary, Arctic Inst North Amer, 2500 Univ Dr NW, Calgary, AB T2N 1N4, Canada.</t>
  </si>
  <si>
    <t>ross.goodwin@ucalgary.ca</t>
  </si>
  <si>
    <t>Canadian Institutes of Health Research (CIHR) Team in Circumpolar Health Research; CIHR</t>
  </si>
  <si>
    <t>Canadian Institutes of Health Research (CIHR) Team in Circumpolar Health Research; CIHR(Canadian Institutes of Health Research (CIHR))</t>
  </si>
  <si>
    <t>The CHBD is a project of the Canadian Institutes of Health Research (CIHR) Team in Circumpolar Health Research. The Team would like to thank the CIHR for its support. We would also like to thank the members of the Team, and other circumpolar health researchers, who have reported circumpolar health publications for inclusion in the database.</t>
  </si>
  <si>
    <t>WOS:000471812300561</t>
  </si>
  <si>
    <t>Ohno, G; Toyama, Y; Watanabe, K</t>
  </si>
  <si>
    <t>Ohno, Giichiro; Toyama, Yosuke; Watanabe, Kentaro</t>
  </si>
  <si>
    <t>WE NEED A BROAD NETWORK OF ANTARCTIC MEDICAL RESEARCH - REPORT OF THE JAPAN WORKSHOP ON ANTARCTIC MEDICAL RESEARCH AND MEDICINE</t>
  </si>
  <si>
    <t>Objectives: In Japan, Antarctic medical researchers are treated by Antarctic doctors employed by each expedition. In spite of many medical problems, Antarctic medical researchers are rarely assigned to permanent, specific departments. To deal with these difficulties, we set up the Japan Workshop of Antarctic Medical Research and Medicine. Method: The task of this workshop was to discuss previous medical studies and to develop a research plan for future expedition doctors. Specialists were invited to lecture on various concerns in Antarctic medicine. We invited members from Asian nations to the workshop and aimed to conduct joint research between participants and the Antarctic medical group. Results: We started the workshop in 2004 with 23 participants from 16 institutes, universities and hospitals. The workshop in 2008 gathered 63 participants from 38 different departments and 4 Asian nations involved in Antarctic wintering operations. The resident doctors in Antarctica joined the discussion through a videoconferencing system. Both issues of human biology and problems of medical operations were discussed. Several joint areas of research were identified and some are being studied now. Conclusions: The Antarctic medical workshop succeeded in gathering many researchers from various institutes, universities and other Asian nations. Joint research has contributed significantly to Antarctic medical studies. We will pursue further cooperation in various fields including the Arctic.</t>
  </si>
  <si>
    <t>[Ohno, Giichiro; Toyama, Yosuke; Watanabe, Kentaro] Japan Antarctic Med Res Grp, Tachikawa, Tokyo, Japan; [Ohno, Giichiro] Tokatsu Hosp, Nagareyama, Chiba, Japan; [Toyama, Yosuke] Shimosa Hosp, Funabashi, Chiba, Japan; [Watanabe, Kentaro] Natl Inst Polar Res, 10-3 Midori Cho, Tachikawa, Tokyo 1908518, Japan</t>
  </si>
  <si>
    <t>Research Organization of Information &amp; Systems (ROIS); National Institute of Polar Research (NIPR) - Japan; Research Organization of Information &amp; Systems (ROIS); National Institute of Polar Research (NIPR) - Japan</t>
  </si>
  <si>
    <t>Ohno, G (corresponding author), Natl Inst Polar Res, 10-3 Midori Cho, Tachikawa, Tokyo 1908518, Japan.</t>
  </si>
  <si>
    <t>WOS:000471812300562</t>
  </si>
  <si>
    <t>Franckx, E</t>
  </si>
  <si>
    <t>Franckx, Erik</t>
  </si>
  <si>
    <t>The International Seabed Authority and the Common Heritage of Mankind: The Need for States to Establish the Outer Limits of their Continental Shelf</t>
  </si>
  <si>
    <t>INTERNATIONAL JOURNAL OF MARINE AND COASTAL LAW</t>
  </si>
  <si>
    <t>law of the sea; the Area; common heritage of mankind; delineation of maritime zones</t>
  </si>
  <si>
    <t>The principle of the common heritage of mankind was introduced in international law to internationalize certain common spaces beyond national jurisdiction. It has found a certain application in outer space as well as in the Antarctic, but it is with respect to the oceans that it has so far found its fullest exposition. Since the principle is very much tied to the Area in the United Nations Convention on the Law of the Sea, i.e., the seabed and ocean floor and subsoil thereof beyond the limits of national jurisdiction, it can be said to have triggered that convention, but at the same time was also almost responsible for its demise. As a consequence, its content has changed over the years. The present article intends to have a closer look at how this principle at present relates to the obligation of broad-margin states to establish the outer limit of their continental shelf.</t>
  </si>
  <si>
    <t>[Franckx, Erik] Vrije Univ Brussel, Dept Int &amp; European Law, B-1050 Brussels, Belgium; [Franckx, Erik] Vrije Univ Brussel, Ctr Int Law, B-1050 Brussels, Belgium</t>
  </si>
  <si>
    <t>Vrije Universiteit Brussel; Vrije Universiteit Brussel</t>
  </si>
  <si>
    <t>Franckx, E (corresponding author), Vrije Univ Brussel, Dept Int &amp; European Law, Pl Laan 2, B-1050 Brussels, Belgium.</t>
  </si>
  <si>
    <t>Erik.Franckx@vub.ac.be</t>
  </si>
  <si>
    <t>Franckx, Erik/0000-0002-5604-6476</t>
  </si>
  <si>
    <t>MARTINUS NIJHOFF PUBL</t>
  </si>
  <si>
    <t>PO BOX 9000, LEIDEN, 2300 PA, NETHERLANDS</t>
  </si>
  <si>
    <t>0927-3522</t>
  </si>
  <si>
    <t>1571-8085</t>
  </si>
  <si>
    <t>INT J MAR COAST LAW</t>
  </si>
  <si>
    <t>Int. J. Mar. Coast. Law</t>
  </si>
  <si>
    <t>10.1163/157180810X525377</t>
  </si>
  <si>
    <t>Law</t>
  </si>
  <si>
    <t>Government &amp; Law</t>
  </si>
  <si>
    <t>V27MS</t>
  </si>
  <si>
    <t>WOS:000208617900005</t>
  </si>
  <si>
    <t>Láska, K; Prosek, P; Budík, L; Budíková, M; Milinevsky, G</t>
  </si>
  <si>
    <t>Laska, K.; Prosek, P.; Budik, L.; Budikova, M.; Milinevsky, G.</t>
  </si>
  <si>
    <t>Estimation of solar UV radiation in maritime Antarctica using a nonlinear model including cloud effects</t>
  </si>
  <si>
    <t>INTERNATIONAL JOURNAL OF REMOTE SENSING</t>
  </si>
  <si>
    <t>TOTAL OZONE; ULTRAVIOLET-RADIATION; IRRADIANCE; HOLE; VARIABILITY; FORECAST</t>
  </si>
  <si>
    <t>A new approach to the estimation of erythemally effective ultraviolet (EUV) radiation for all sky conditions that occur in maritime Antarctica is reported. The spatial variability of the total ozone content (TOC) and attenuation of the EUV radiation in the atmosphere are taken into consideration. The proposed nonlinear regression model of EUV radiation is described by a hyperbolic transmission function. The first results and the model validation for Vernadsky Station (formerly the British Faraday Station) during the period 2002-2005 show very good agreement with the measured values (R(2) = 99.2). The developed model was evaluated using daily doses of EUV radiation with respect to solar elevation angle and cloudiness. The mean average prediction error (MAPE) for cloudy (4.1-7.0 oktas) and overcast skies (7.1-8.0 oktas) varied between 4.0% and 4.3%, while for partly cloudy days (0-4.0 oktas) with high variability of cloud types during a day, MAPE reached 5.9%.</t>
  </si>
  <si>
    <t>[Laska, K.; Prosek, P.] Masaryk Univ, Fac Sci, Dept Geog, CS-61137 Brno, Czech Republic; [Budik, L.] Czech Hydrometeorol Inst, Brno Reg Off, Brno 61667, Czech Republic; [Budikova, M.] Masaryk Univ, Fac Sci, Dept Math &amp; Stat, CS-61137 Brno, Czech Republic; [Milinevsky, G.] Natl Taras Shevchenko Univ Kyiv, Fac Phys, Space Phys Dept, UA-03680 Kiev, Ukraine</t>
  </si>
  <si>
    <t>Masaryk University Brno; Czech Hydrometeorological Institute; Masaryk University Brno; Ministry of Education &amp; Science of Ukraine; Taras Shevchenko National University of Kyiv</t>
  </si>
  <si>
    <t>Láska, K (corresponding author), Masaryk Univ, Fac Sci, Dept Geog, CS-61137 Brno, Czech Republic.</t>
  </si>
  <si>
    <t>laska@sci.muni.cz</t>
  </si>
  <si>
    <t>Budíková, Marie/AAF-5455-2019; Laska, Kamil/L-7875-2013; Milinevsky, Gennadi/AAD-8801-2019</t>
  </si>
  <si>
    <t>Budíková, Marie/0000-0002-2748-6480; Laska, Kamil/0000-0002-5199-9737; Milinevsky, Gennadi/0000-0002-2342-2615</t>
  </si>
  <si>
    <t>Czech Republic [205/07/1377]</t>
  </si>
  <si>
    <t>Czech Republic(Czech Republic Government)</t>
  </si>
  <si>
    <t>We thank all employees of the National Antarctic Scientific Centre of Ukraine in Kyiv and members of the crews wintering on Vernadsky Station, and Andrey Zalizowski, Alexander Kolesnik and Igor Gvozdovsky for their assistance and faultless operation of the radiation instruments. We also appreciate the valuable discussions with Milos. Bartak, who helped to improve the manuscript. This study was undertaken as a part of the research programme 'The effects of atmospheric factors on the regime of UV radiation of Antarctic Peninsula' (Grant No. 205/07/1377) funded by the Grant Agency of the Czech Republic.</t>
  </si>
  <si>
    <t>0143-1161</t>
  </si>
  <si>
    <t>INT J REMOTE SENS</t>
  </si>
  <si>
    <t>Int. J. Remote Sens.</t>
  </si>
  <si>
    <t>10.1080/01431160902897866</t>
  </si>
  <si>
    <t>Remote Sensing; Imaging Science &amp; Photographic Technology</t>
  </si>
  <si>
    <t>572ZO</t>
  </si>
  <si>
    <t>WOS:000275877800001</t>
  </si>
  <si>
    <t>Santi, E</t>
  </si>
  <si>
    <t>Santi, E.</t>
  </si>
  <si>
    <t>An application of the SFIM technique to enhance the spatial resolution of spaceborne microwave radiometers</t>
  </si>
  <si>
    <t>BRIGHTNESS TEMPERATURES; SSM/I; ALGORITHM; SOIL</t>
  </si>
  <si>
    <t>Microwave radiometers operating from space are one of the most promising tools for soil, snow and vegetation monitoring, due to the sensitivity of the measured emission to surface features and to the extended and recursive Earth observation. However, these potentials are partially hampered by the coarse spatial resolution, which is of the order of tens of kilometres, especially at the lower frequencies. This paper describes the results obtained by using a simple algorithm for enhancing the spatial resolution of the spaceborne microwave radiometer at C-band. The algorithm is based on the smoothing filter-based intensity modulation technique (SFIM), applied to the Advanced Microwave Remote Scanning Radiometer-Earth Observing System (AMSR-E) data collected from some reference targets, including the Amazon river basin, Lake Victoria in Africa and the Antarctic plateau.</t>
  </si>
  <si>
    <t>Inst Appl Phys Nello Carrara IFAC, Natl Res Council, Florence, Italy</t>
  </si>
  <si>
    <t>Consiglio Nazionale delle Ricerche (CNR); Istituto di Fisica Applicata Nello Carrara (IFAC-CNR)</t>
  </si>
  <si>
    <t>Santi, E (corresponding author), Inst Appl Phys Nello Carrara IFAC, Natl Res Council, Via Madonna Piano,10 S0019 Sesto Fiorentino, Florence, Italy.</t>
  </si>
  <si>
    <t>e.santi@ifac.cnr.it</t>
  </si>
  <si>
    <t>Santi, Emanuele/A-7755-2013</t>
  </si>
  <si>
    <t>Santi, Emanuele/0000-0003-1882-6321</t>
  </si>
  <si>
    <t>10.1080/01431160903005725</t>
  </si>
  <si>
    <t>600PL</t>
  </si>
  <si>
    <t>WOS:000277999100012</t>
  </si>
  <si>
    <t>Clark, MS; Tanguy, A; Jollivet, D; Bonhomme, F; Guinand, B; Viard, F</t>
  </si>
  <si>
    <t>Cock, JM; TessmarRaible, K; Boyen, C; Viard, F</t>
  </si>
  <si>
    <t>Clark, Melody S.; Tanguy, Arnaud; Jollivet, Didier; Bonhomme, Francois; Guinand, Bruno; Viard, Frederique</t>
  </si>
  <si>
    <t>Populations and Pathways: Genomic Approaches to Understanding Population Structure and Environmental Adaptation</t>
  </si>
  <si>
    <t>INTRODUCTION TO MARINE GENOMICS</t>
  </si>
  <si>
    <t>BASS DICENTRARCHUS-LABRAX; HEAT-SHOCK RESPONSE; SINGLE-NUCLEOTIDE POLYMORPHISMS; QUANTITATIVE TRAIT LOCI; GENETIC-LINKAGE MAP; SALMON SALMO-SALAR; FISH TREMATOMUS-BERNACCHII; CDNA MICROARRAY ANALYSIS; SNAILS GENUS TEGULA; MOSAIC HYBRID ZONE</t>
  </si>
  <si>
    <t>The field of Genomics has essentially been fuelled by medical research with developments in human gene therapy, such as the Human Genome Project. This major international undertaking resulted in a significantly increased sequencing capacity, a dramatic decrease in the time and cost of sequencing and also the computational effort required for the analysis. Marine biologists are taking advantage of this high throughput technology, hence, the tools are now available to answer questions that would have not been possible even five years ago. Genomics, in terms of studying DNA, can effectively define the genetic structure of populations and as a consequence the mapping of species boundaries, approximate drift in populations and accurately measure biodiversity. Studying transcribed sequences (RNA) enables the identification of changes at the cellular level associated with the adaptation of species to particular habitats and now, in our changing environment, predicts their ability to survive perturbation. The aim of this chapter is to familiarize the reader with the most commonly used genomic techniques that are available for population and adaptation studies. These encompass both DNA based methodologies for population studies and RNA based techniques for expression studies. Which technique is used largely depends on the species under study and the resources available. In environmental research it is important to understand that resources does not just refer to money for sequencing and library production, but also access to starting material and the ability to store the material successfully, often under difficult conditions. For example, a cruise to investigate a particular hydrothermal vent may only happen once in a researcher's lifetime and so material will be scarce, numbers will be limited and it may not be possible to store the material at a low enough temperature to prevent RNA degradation (thereby excluding expression studies). Also species availability tends to be on what is there at the time, rather than being able to perform a calculated choice for which species is the best to study. In other studies such as aquaculture or invasive species, a means has to be found to work on a particular species even if the material is intractable as there is a defined requirement for work in that area. So having outlined the techniques, the question is how to use them? In this chapter specific examples will be used to demonstrate how such techniques are being used to address these important ecological issues in the marine environment, concentrating on lower vertebrates (fish) and invertebrates. These encompass both population analyses and gene expression (functional) studies to understand how populations have adapted to and interact with, their environment. Ultimately, the challenge for the marine biologist is to utilize the tools produced for the study of model organisms, where significant amounts of sequence data exist (i.e. resource rich) and to develop these for non-model species, essentially from a zero base-line. It is not an easy task.</t>
  </si>
  <si>
    <t>[Clark, Melody S.] British Antarctic Survey, Nat Environm Res Council, Cambridge CB3 0ET, England; [Tanguy, Arnaud; Jollivet, Didier; Viard, Frederique] UPMC, CNRS, Stn Biol Roscoff, Equipe Evolut &amp; Genet Populat Marines EGPM,UMR 71, F-29682 Roscoff, France; [Bonhomme, Francois; Guinand, Bruno] Univ Montpellier 2, ISEM, F-34095 Montpellier, France</t>
  </si>
  <si>
    <t>UK Research &amp; Innovation (UKRI); Natural Environment Research Council (NERC); NERC British Antarctic Survey; Centre National de la Recherche Scientifique (CNRS); Sorbonne Universite; Centre National de la Recherche Scientifique (CNRS); Institut de Recherche pour le Developpement (IRD); Universite de Montpellier</t>
  </si>
  <si>
    <t>Clark, MS (corresponding author), British Antarctic Survey, Nat Environm Res Council, Cambridge CB3 0ET, England.</t>
  </si>
  <si>
    <t>mscl@bas.ac.uk; atanguy@sb-roscoff.fr; jollivet@sb-roscoff.fr; bonhomme@univ-montp2.fr; bruno.guinand@univ-montp2.fr; viard@sb-roscoff.fr</t>
  </si>
  <si>
    <t>Viard, Frédérique/O-4360-2018; Clark, Melody S/D-7371-2014; Bonhomme, Francois/C-6290-2012; Bonhomme, Francois/AAG-6558-2021</t>
  </si>
  <si>
    <t>Viard, Frédérique/0000-0001-5603-9527; Bonhomme, Francois/0000-0002-8792-9239; GUINAND, Bruno/0000-0002-6934-1677</t>
  </si>
  <si>
    <t>978-90-481-8616-7</t>
  </si>
  <si>
    <t>10.1007/978-90-481-8639-6_3</t>
  </si>
  <si>
    <t>10.1007/978-90-481-8639-6</t>
  </si>
  <si>
    <t>BOY65</t>
  </si>
  <si>
    <t>WOS:000278068900003</t>
  </si>
  <si>
    <t>Sigwart, JD; Schwabe, E; Saito, H; Samadi, S; Giribet, G</t>
  </si>
  <si>
    <t>Sigwart, Julia D.; Schwabe, Enrico; Saito, Hiroshi; Samadi, Sarah; Giribet, Gonzalo</t>
  </si>
  <si>
    <t>Evolution in the deep sea: a combined analysis of the earliest diverging living chitons (Mollusca: Polyplacophora: Lepidopleurida)</t>
  </si>
  <si>
    <t>INVERTEBRATE SYSTEMATICS</t>
  </si>
  <si>
    <t>SEQUENCE ALIGNMENT; HANLEYA-NAGELFAR; PHYLOGENY; GENUS; LEPTOCHITONIDAE; FERTILIZATION; SUBUNIT</t>
  </si>
  <si>
    <t>Lepidopleurida is the earliest diverged group of living polyplacophoran molluscs. They are found predominantly in the deep sea, including sunken wood, cold seeps, other abyssal habitats, and a few species are found in shallow water. The group is morphologically identified by anatomical features of their gills, sensory aesthetes, and gametes. Their shell features closely resemble the oldest fossils that can be identified as modern polyplacophorans. We present the first molecular phylogenetic study of this group, and also the first combined phylogenetic analysis for any chiton, including three gene regions and 69 morphological characters. The results show that Lepidopleurida is unambiguously monophyletic, and the nine genera fall into five distinct clades, which partly support the current view of polyplacophoran taxonomy. The genus Hanleyella Sirenko, 1973 is included in the family Protochitonidae, and Ferreiraellidae constitutes another distinct clade. The large cosmopolitan genus Leptochiton Gray, 1847 is not monophyletic; Leptochiton and Leptochitonidae sensu stricto are restricted to North Atlantic and Mediterranean taxa. Leptochitonidae s. str. is sister to Protochitonidae. The results also suggest two separate clades independently inhabiting sunken wood substrates in the south-west Pacific. Antarctic and other chemosynthetic-dwelling species may be derived from wood-living species. Substantial taxonomic revision remains to be done to resolve lepidopleuran classification, but the phylogeny presented here is a dramatic step forward in clarifying the relationships within this interesting group.</t>
  </si>
  <si>
    <t>[Sigwart, Julia D.] Queens Univ Belfast, Sch Biol Sci, Marine Lab, Portaferry BT22 1PF, North Ireland; [Schwabe, Enrico] Mollusca Sect, D-81247 Munich, Germany; [Saito, Hiroshi] Natl Museum Nat &amp; Sci, Dept Zool, Tokyo 1690073, Japan; [Samadi, Sarah] UPMC IRD MNHN CNRS, Museum Natl Hist Nat, Dept Systemat &amp; Evolut, UMR7138, Paris, France; [Giribet, Gonzalo] Harvard Univ, Museum Comparat Zool, Dept Organism &amp; Evolutionary Biol, Cambridge, MA 02138 USA</t>
  </si>
  <si>
    <t>Queens University Belfast; National Museum of Nature and Science; Sorbonne Universite; Museum National d'Histoire Naturelle (MNHN); Centre National de la Recherche Scientifique (CNRS); CNRS - National Institute for Biology (INSB); Harvard University</t>
  </si>
  <si>
    <t>Sigwart, JD (corresponding author), Queens Univ Belfast, Sch Biol Sci, Marine Lab, Portaferry BT22 1PF, North Ireland.</t>
  </si>
  <si>
    <t>j.sigwart@qub.ac.uk</t>
  </si>
  <si>
    <t>Giribet, Gonzalo/P-1086-2015; samadi, sarah/G-5011-2010</t>
  </si>
  <si>
    <t>Giribet, Gonzalo/0000-0002-5467-8429; samadi, sarah/0000-0003-0725-9368</t>
  </si>
  <si>
    <t>University of California; Institut de la Recherche pour le Developement</t>
  </si>
  <si>
    <t>University of California(University of California System); Institut de la Recherche pour le Developement</t>
  </si>
  <si>
    <t>For providing specimens, we thank: Boris Sirenko (St Petersburg, Russia), Hermann Strack (Britanny, France), Bruno Dell'Angelo (Bologna, Italy), and Jon Arne Sneli (Tromso, Norway). University of California Ship Funds to Nerida Wilson (California, United States) allowed for an invitation to Gonzalo Giribet on a cruise to the Cortes Bank that also provided specimens. Museum national d'Histoire naturelle (MNHN) specimens were collected onboard the RV M/V DA-BFAR in the Philippines (expedition led by Philippe Bouchet and the National Fisheries Research and Development Institute Ludivina Labe), and the RV ALIS in Vanuatu and Solomon Islands (funding by the Institut de la Recherche pour le Developement to Bertrand Richer de Forges, Sarah Samadi, and Philippe Bouchet). Two anonymous reviewers provided constructive comments that improved this paper.</t>
  </si>
  <si>
    <t>1445-5226</t>
  </si>
  <si>
    <t>1447-2600</t>
  </si>
  <si>
    <t>INVERTEBR SYST</t>
  </si>
  <si>
    <t>Invertebr. Syst.</t>
  </si>
  <si>
    <t>10.1071/IS10028</t>
  </si>
  <si>
    <t>Evolutionary Biology; Zoology</t>
  </si>
  <si>
    <t>756CY</t>
  </si>
  <si>
    <t>WOS:000289990500003</t>
  </si>
  <si>
    <t>Tsuchiya, T; Matsumoto, S; Anada, T; Endoh, N</t>
  </si>
  <si>
    <t>Tsuchiya, Takenobu; Matsumoto, Sayuri; Anada, Tetsuo; Endoh, Nobuyuki</t>
  </si>
  <si>
    <t>Numerical Analysis of Pulse Wave Propagation in Lutzow-Holm Bay of the Antarctic Ocean Calculated by the Parabolic Equation Method</t>
  </si>
  <si>
    <t>JAPANESE JOURNAL OF APPLIED PHYSICS</t>
  </si>
  <si>
    <t>30TH SYMPOSIUM ON ULTRASONIC ELECTRONICS</t>
  </si>
  <si>
    <t>NOV 18-20, 2009</t>
  </si>
  <si>
    <t>KYOTO, JAPAN</t>
  </si>
  <si>
    <t>ACOUSTICAL PROPAGATION; PACIFIC-OCEAN; COMMUNICATION; SOUND</t>
  </si>
  <si>
    <t>Ocean climate research is being carried out considering the use of an autonomous underwater vehicle (AUV) in the Antarctic Ocean. In this study, to understand the characteristics of sound propagation in Lutzow-Holm bay of the Antarctic Ocean for acoustical communication with an AUV, we estimate pulse waveforms using a two-dimensional (2D) parabolic equation method. We assumed that one transmitter each is placed at three different depths (50, 100, and 150 m) and the propagation range is up to 39 km in a traverse line OW. We calculate the pulse propagation in the Antarctic Ocean using three bottom models to determine its influences on pulse wave amplitude by bathymetry. The results show a variation in pulse wave amplitude of about 3 dB when the source depth is 100 m. The pulse amplitude varies from 5 to -10 dB when the source depth changes from 50 to 150 m. (C) 2010 The Japan Society of Applied Physics</t>
  </si>
  <si>
    <t>[Tsuchiya, Takenobu; Anada, Tetsuo; Endoh, Nobuyuki] Kanagawa Univ, Fac Engn, Dept Frontier Elect &amp; Informat, Yokohama, Kanagawa 2218686, Japan; [Matsumoto, Sayuri] Port &amp; Airport Res Inst, Kanagawa 2390826, Japan</t>
  </si>
  <si>
    <t>Kanagawa University; Port &amp; Airport Research Institute</t>
  </si>
  <si>
    <t>Tsuchiya, T (corresponding author), Kanagawa Univ, Fac Engn, Dept Frontier Elect &amp; Informat, Yokohama, Kanagawa 2218686, Japan.</t>
  </si>
  <si>
    <t>Ministry of Education, Culture, Sports, Science and Technology [20500429]; Kanagawa University, Japan; Grants-in-Aid for Scientific Research [20500429] Funding Source: KAKEN</t>
  </si>
  <si>
    <t>Ministry of Education, Culture, Sports, Science and Technology(Ministry of Education, Culture, Sports, Science and Technology, Japan (MEXT)); Kanagawa University, Japan; Grants-in-Aid for Scientific Research(Ministry of Education, Culture, Sports, Science and Technology, Japan (MEXT)Japan Society for the Promotion of ScienceGrants-in-Aid for Scientific Research (KAKENHI))</t>
  </si>
  <si>
    <t>This study was partially supported by the High-Tech Research Center Project of the Ministry of Education, Culture, Sports, Science and Technology, a Grant-in-Aid for Scientific Research (20500429) in 2008-2010 from the Ministry of Education, Culture, Sports, Science and Technology, and a Grant-in-Aid for Collaborative Project in 2008-2010 from Kanagawa University, Japan.</t>
  </si>
  <si>
    <t>JAPAN SOC APPLIED PHYSICS</t>
  </si>
  <si>
    <t>KUDAN-KITA BUILDING 5TH FLOOR, 1-12-3 KUDAN-KITA, CHIYODA-KU, TOKYO, 102-0073, JAPAN</t>
  </si>
  <si>
    <t>0021-4922</t>
  </si>
  <si>
    <t>JPN J APPL PHYS</t>
  </si>
  <si>
    <t>Jpn. J. Appl. Phys.</t>
  </si>
  <si>
    <t>07HG14</t>
  </si>
  <si>
    <t>10.1143/JJAP.49.07HG14</t>
  </si>
  <si>
    <t>Physics, Applied</t>
  </si>
  <si>
    <t>Conference Proceedings Citation Index - Science (CPCI-S); Science Citation Index Expanded (SCI-EXPANDED)</t>
  </si>
  <si>
    <t>631XK</t>
  </si>
  <si>
    <t>WOS:000280383800129</t>
  </si>
  <si>
    <t>Cooper, APR; Tate, JW; Cook, AJ</t>
  </si>
  <si>
    <t>Guilbert, E; Lees, B; Leung, Y</t>
  </si>
  <si>
    <t>Cooper, A. P. R.; Tate, J. W.; Cook, A. J.</t>
  </si>
  <si>
    <t>ESTIMATING ICE THICKNESS IN SOUTH GEORGIA FROM SRTM ELEVATION DATA</t>
  </si>
  <si>
    <t>JOINT INTERNATIONAL CONFERENCE ON THEORY, DATA HANDLING AND MODELLING IN GEOSPATIAL INFORMATION SCIENCE</t>
  </si>
  <si>
    <t>Joint International Conference on Theory, Data Handling and Modelling in GeoSpatial Information Science</t>
  </si>
  <si>
    <t>MAY 26-28, 2010</t>
  </si>
  <si>
    <t>Hong Kong, PEOPLES R CHINA</t>
  </si>
  <si>
    <t>South Georgia; Glaciology; ice thickness; SRTM; Climate change</t>
  </si>
  <si>
    <t>South Georgia is a glaciated island in the South Atlantic, which provides a primary nesting site for the albatrosses and petrels of the Southern Ocean. 60% of the island is covered by glaciers and ice fields, and the majority of the coastal glaciers are observed to be retreating. A small number of these glaciers are advancing, and others are retreating at anomalously fast rates. As the status of these glaciers is important for environmental management of South Georgia, potentially controlling the spread of invasive species into currently pristine regions, it is necessary to understand the pattern of glacier change in South Georgia. However, detailed study of the glaciology of South Georgia is hampered by lack of measurements of the thickness of the ice. Because of the logistic difficulties of operating on South Georgia, there are no conventional ice thickness measurements from drilling, radar or seismic techniques, and it is unlikely that these will be available in the near future. This paper addresses this lack of basic information by using surface slope data to estimate the ice thickness of glaciers and ice fields in South Georgia. The surface slope data are derived using surface elevations from the Shuttle Radar Topographic Mission, which provides elevation measurements with a high relative accuracy. The estimate of ice thickness critically depends on assumptions about the conditions in the ice column and at the base of the ice mass, and areas where the estimate is clearly in error provide an insight into changed ice flow conditions or the environment at the ice/rock interface. These anomalous regions are then compared with glacier change data, providing insights into the reasons for the unusually rapid retreat or advance of certain glaciers. The paper describes the methodology used to compute ice thickness values, with an estimate of accuracy and variability of the thickness measures under different assumptions. The paper then identifies regions with anomalous thickness measurements, and seeks to ascertain why the thickness measurement is unreliable in certain regions. Finally these anomalous areas are compared with coastal change data to suggest why certain glaciers are retreating or advancing more rapidly than the norm for South Georgia, and to make predictions concerning future glacier change.</t>
  </si>
  <si>
    <t>[Cooper, A. P. R.; Cook, A. J.] British Antarctic Survey, Cambridge CB3 0ET, England; [Tate, J. W.] UCL, Dept Civil Environm &amp; Geomat Engn, London WC1E 6BT, England</t>
  </si>
  <si>
    <t>UK Research &amp; Innovation (UKRI); Natural Environment Research Council (NERC); NERC British Antarctic Survey; University of London; University College London</t>
  </si>
  <si>
    <t>Cooper, APR (corresponding author), British Antarctic Survey, Madingley Rd, Cambridge CB3 0ET, England.</t>
  </si>
  <si>
    <t>aprc@bas.ac.uk; james.tate@ucl.ac.uk; acook@bas.ac.uk</t>
  </si>
  <si>
    <t>BD1PD</t>
  </si>
  <si>
    <t>WOS:000358220500108</t>
  </si>
  <si>
    <t>Hopkins, J; Challenor, P; Shaw, AGP</t>
  </si>
  <si>
    <t>Hopkins, Jo; Challenor, Peter; Shaw, Andrew G. P.</t>
  </si>
  <si>
    <t>A New Statistical Modeling Approach to Ocean Front Detection from SST Satellite Images</t>
  </si>
  <si>
    <t>SEA-SURFACE TEMPERATURE; ANTARCTIC POLAR FRONT; EDGE-DETECTION; NEW-ZEALAND; SOUTHERN-OCEAN; SEASONAL VARIABILITY; INDIAN-OCEAN; ALGORITHM; LOCATION; FEATURES</t>
  </si>
  <si>
    <t>Ocean fronts are narrow zones of intense dynamic activity that play an important role in global ocean-atmosphere interactions. Owing to their highly variable nature, both in space and time, they are notoriously difficult features to adequately sample using traditional in situ techniques. In this paper, the authors propose a new statistical modeling approach for detecting and monitoring ocean fronts from Advanced Very High Resolution Radiometer (AVHRR) SST satellite images that builds on a previous front following'' algorithm. Weighted local likelihood is used to provide a smooth, nonparametric description of spatial variations in the position, mean temperature, width, and temperature change of an individual front within an image. Weightings are provided by a Gaussian kernel function whose width is automatically determined by likelihood cross-validation. The statistical model fitting approach allows estimation of the uncertainty of each parameter to be quantified, a capability not possessed by other techniques. The algorithm is shown to be robust to noise and missing data in an image, problems that hamper many of the existing front-detection schemes. The approach is general and could be used with other remotely sensed datasets, model output, or data assimilation products.</t>
  </si>
  <si>
    <t>[Hopkins, Jo] Proudman Oceanog Lab, Liverpool L3 5DA, Merseyside, England; [Challenor, Peter; Shaw, Andrew G. P.] Natl Oceanog Ctr, Southampton, Hants, England</t>
  </si>
  <si>
    <t>NERC National Oceanography Centre; NERC National Oceanography Centre</t>
  </si>
  <si>
    <t>Hopkins, J (corresponding author), Proudman Oceanog Lab, Joseph Proudman Bldg,6 Brownlow St, Liverpool L3 5DA, Merseyside, England.</t>
  </si>
  <si>
    <t>jeh200@pol.ac.uk</t>
  </si>
  <si>
    <t>Shaw, Andrew G.P./D-7517-2011; Hopkins, Joanne E/E-1209-2019; Challenor, Peter/M-2579-2016</t>
  </si>
  <si>
    <t>Shaw, Andrew/0000-0003-0627-7193; Challenor, Peter/0000-0001-8661-2718</t>
  </si>
  <si>
    <t>National Environment Research Council; Natural Environment Research Council [noc010005] Funding Source: researchfish; NERC [noc010005] Funding Source: UKRI</t>
  </si>
  <si>
    <t>National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</si>
  <si>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J. Hopkins was funded by the National Environment Research Council and undertook this work while studying for a doctorate at Southampton University. The authors thank Dr. Peter Miller for his helpful comments and application of the SIED in Fig. 9. Thanks also to Prof. Meric Srokosz, Dr. Peter Cornillon, and an anonymous reviewer for their useful suggestions and advice.</t>
  </si>
  <si>
    <t>10.1175/2009JTECHO684.1</t>
  </si>
  <si>
    <t>547UK</t>
  </si>
  <si>
    <t>WOS:000273914800013</t>
  </si>
  <si>
    <t>McGaughran, A; Torricelli, G; Carapelli, A; Frati, F; Stevens, MI; Convey, P; Hogg, ID</t>
  </si>
  <si>
    <t>McGaughran, Angela; Torricelli, Giulia; Carapelli, Antonio; Frati, Francesco; Stevens, Mark I.; Convey, Peter; Hogg, Ian D.</t>
  </si>
  <si>
    <t>Contrasting phylogeographical patterns for springtails reflect different evolutionary histories between the Antarctic Peninsula and continental Antarctica</t>
  </si>
  <si>
    <t>Antarctica; Collembola; Cryptopygus antarcticus antarcticus; demography; glaciation; Gomphiocephalus hodgsoni; population genetics; refugia; springtail</t>
  </si>
  <si>
    <t>POPULATION-GROWTH; VICTORIA LAND; MITOCHONDRIAL; ICE; PHYLOGENY; TESTS; GENUS; RATES; INVERTEBRATES; VARIABILITY</t>
  </si>
  <si>
    <t>Aim We examined the genetic structure among populations and regions for the springtails Cryptopygus antarcticus antarcticus and Gomphiocephalus hodgsoni (Collembola) to identify potential historical refugia and subsequent colonization routes, and to examine population growth/expansion and relative ages of population divergence. Location Antarctic Peninsula for C. a. antarcticus; Antarctic continent (southern Victoria Land) for G. hodgsoni. Methods Samples were collected from 24 and 28 locations across the Antarctic Peninsula and southern Victoria Land regions for C. a. antarcticus and G. hodgsoni, respectively. We used population genetic, demographic and nested clade analyses based on mitochondrial DNA (cytochrome c oxidase subunit I and subunit II). Results Both species were found to have population structures compatible with the presence of historical glacial refugia on Pleistocene (2 Ma-present) time-scales, followed by post-glacial expansion generating contemporary geographically isolated populations. However, G. hodgsoni populations were characterized by a fragmented pattern with several 'phylogroups' (likely ancestral haplotypes present in high frequency) retaining strong ancestral linkages among present-day populations. Conversely, C. a. antarcticus had an excess of rare haplotypes with a much reduced volume of ancestral lineages, possibly indicating historical founder/bottleneck events and widespread expansion. Main conclusions We infer that these differences reflect distinct evolutionary histories in each locality despite the resident species having similar life-history characteristics. We suggest that this has predominantly been influenced by variation in the success of colonization events as a result of intrinsic historical glaciological differences between the Antarctic Peninsula and continental Antarctic environments.</t>
  </si>
  <si>
    <t>[McGaughran, Angela; Torricelli, Giulia] Massey Univ, Allan Wilson Ctr Mol Ecol &amp; Evolut, Palmerston North, New Zealand; [Torricelli, Giulia; Carapelli, Antonio; Frati, Francesco] Univ Siena, Dept Evolutionary Biol, I-53100 Siena, Italy; [Stevens, Mark I.] S Australian Museum, Adelaide, SA 5000, Australia; [Stevens, Mark I.] Flinders Univ S Australia, Adelaide, SA, Australia; [Convey, Peter] British Antarctic Survey, Nat Environm Res Council, Cambridge CB3 0ET, England; [Hogg, Ian D.] Univ Waikato, Ctr Biodivers &amp; Ecol Res, Hamilton, New Zealand</t>
  </si>
  <si>
    <t>Massey University; University of Siena; Flinders University South Australia; UK Research &amp; Innovation (UKRI); Natural Environment Research Council (NERC); NERC British Antarctic Survey; University of Waikato</t>
  </si>
  <si>
    <t>McGaughran, A (corresponding author), Massey Univ, Allan Wilson Ctr Mol Ecol &amp; Evolut, Private Bag 11-222, Palmerston North, New Zealand.</t>
  </si>
  <si>
    <t>McGaughran, Angela/C-5916-2014; Carapelli, Antonio/H-9216-2019; Hogg, Ian D./HNS-7393-2023; Convey, Peter/AAV-5728-2020</t>
  </si>
  <si>
    <t>McGaughran, Angela/0000-0002-3429-8699; Carapelli, Antonio/0000-0002-3165-9620; Hogg, Ian D./0000-0002-6685-0089; Convey, Peter/0000-0001-8497-9903</t>
  </si>
  <si>
    <t>New Zealand Tertiary Education Commission; NERC [bas0100025] Funding Source: UKRI; Natural Environment Research Council [bas0100025] Funding Source: researchfish</t>
  </si>
  <si>
    <t>New Zealand Tertiary Education Commission; NERC(UK Research &amp; Innovation (UKRI)Natural Environment Research Council (NERC)); Natural Environment Research Council(UK Research &amp; Innovation (UKRI)Natural Environment Research Council (NERC))</t>
  </si>
  <si>
    <t>We are grateful to Jon Sadler, Jon Waters and two anonymous referees for their valuable comments on the manuscript. We also thank Antarctica New Zealand, the British Antarctic Survey, the Italian National Antarctic Program and the University of Waikato Vice Chancellor's Fund for logistic support enabling sample collection. A.M. was supported by a New Zealand Tertiary Education Commission Top Achievers Doctoral Scholarship. This paper contributes to the BAS BIOFLAME, SCAR EBA and Antarctica New Zealand LGP research programmes.</t>
  </si>
  <si>
    <t>10.1111/j.1365-2699.2009.02178.x</t>
  </si>
  <si>
    <t>534GU</t>
  </si>
  <si>
    <t>WOS:000272885400011</t>
  </si>
  <si>
    <t>Zazulie, N; Rusticucci, M; Solomon, S</t>
  </si>
  <si>
    <t>Zazulie, Natalia; Rusticucci, Matilde; Solomon, Susan</t>
  </si>
  <si>
    <t>Changes in Climate at High Southern Latitudes: A Unique Daily Record at Orcadas Spanning 1903-2008</t>
  </si>
  <si>
    <t>ANNULAR MODE; ANTARCTIC TEMPERATURES; TRENDS; VARIABILITY; OSCILLATION; SURFACE; INDEX</t>
  </si>
  <si>
    <t>The climate observations at Orcadas represent the only southern high-latitude site where data span more than a century, and its daily measurements are presented for the first time in this paper. Although limited to a single station, the observed warming trends are among the largest found anywhere on the earth, facilitating the study of changes in extreme temperatures as well as averages. Factors that may influence Antarctic climate include natural variability; changes in greenhouse gases; and, since about the mid-1970s, the development of the ozone hole. The seasonality of observed warming and its temporal evolution during the century are both key for interpretations of Antarctic climate change. No statistically significant climate trends are observed at Orcadas from 1903 to 1950. However, statistically significant warming is evident at Orcadas throughout all four seasons of the year since 1950. Particularly in austral fall and winter, the warming of the cold extremes (coldest 5% and 10% of days) substantially exceeds the warming of the mean or of the warmest days, providing a key indicator for cold season Antarctic climate change studies. Trends in the summer season means and extremes since 1970 are approximately twice as large as those observed earlier, supporting suggestions of additional regional warming in that season because of the effects of ozone depletion on the circulation. Further, in the spring and summer seasons, significant mean warming also occurred prior to the development of the Antarctic ozone hole (i.e., 1950-70), supporting an important role for processes other than ozone depletion, such as greenhouse gas increases, for the climate changes.</t>
  </si>
  <si>
    <t>[Solomon, Susan] NOAA, ESRL, CSD, Boulder, CO 80305 USA; [Zazulie, Natalia; Rusticucci, Matilde] Univ Buenos Aires, Dept Ciencias Atmosfera &amp; Oceanos, FCEN, Buenos Aires, DF, Argentina; [Zazulie, Natalia; Rusticucci, Matilde] Consejo Nacl Invest Cient &amp; Tecn, Buenos Aires, DF, Argentina</t>
  </si>
  <si>
    <t>National Oceanic Atmospheric Admin (NOAA) - USA; University of Buenos Aires; Consejo Nacional de Investigaciones Cientificas y Tecnicas (CONICET)</t>
  </si>
  <si>
    <t>Solomon, S (corresponding author), NOAA, ESRL, CSD, 325 Broadway, Boulder, CO 80305 USA.</t>
  </si>
  <si>
    <t>susan.solomon@noaa.gov</t>
  </si>
  <si>
    <t>Rusticucci, Matilde/Y-6481-2019</t>
  </si>
  <si>
    <t>Rusticucci, Matilde/0000-0003-2588-6234; Zazulie, Natalia/0000-0002-1113-5635</t>
  </si>
  <si>
    <t>10.1175/2009JCLI3074.1</t>
  </si>
  <si>
    <t>540TA</t>
  </si>
  <si>
    <t>hybrid, Green Published</t>
  </si>
  <si>
    <t>WOS:000273361000013</t>
  </si>
  <si>
    <t>Cai, WJ; Cowan, T; Godfrey, S; Wijffels, S</t>
  </si>
  <si>
    <t>Cai, Wenju; Cowan, Tim; Godfrey, Stuart; Wijffels, Susan</t>
  </si>
  <si>
    <t>Simulations of Processes Associated with the Fast Warming Rate of the Southern Midlatitude Ocean</t>
  </si>
  <si>
    <t>SEA-LEVEL; CLIMATE; PACIFIC; MODEL; CIRCULATION; TRENDS; IMPACT</t>
  </si>
  <si>
    <t>Significant warming has occurred across many of the world's oceans throughout the latter part of the twentieth-century. The increase in the oceanic heat content displays a considerable spatial difference, with amaximumin the 35 degrees-50 degrees S midlatitude band. The relative importance of wind and surface heat flux changes in driving the warming pattern is the subject of much debate. Using wind, oceanic temperature, and heat flux outputs from twentieth-century multimodel experiments, conducted for the Fourth Assessment Report (AR4) of the Intergovernmental Panel on Climate Change (IPCC), the authors were able to reproduce the fast, deep warming in the midlatitude band; however, this warming is unable to be accounted for by local heat flux changes. The associated vertical structure and zonal distribution are consistent with a Sverdrup-type response to poleward-strengthening winds, with a poleward shift of the Southern Hemisphere (SH) supergyre and the Antarctic Circumpolar Current. However, the shift is not adiabatic and involves a net oceanic heat content increase over the SH, which can only be forced by changes in the net surface heat flux. Counterintuitively, the heat required for the fast, deep warming is largely derived from the surface heat fluxes south of 50 degrees S, where the surface flux into the ocean is far larger than that of the midlatitude band. The heat south of 50 degrees S is advected northward by an enhanced northward Ekman transport induced by the poleward-strengthening winds and penetrates northward and downward along the outcropping isopycnals to a depth of over 1000 m. However, because none of the models resolve eddies and given that eddy fluxes could offset the increase in the northward Ekman transport, the heat source for the fast, deep warming in the midlatitude band could be rather different in the real world.</t>
  </si>
  <si>
    <t>[Cai, Wenju; Cowan, Tim] CSIRO, Aspendale, Vic, Australia; [Godfrey, Stuart; Wijffels, Susan] CSIRO, Hobart, Tas, Australia</t>
  </si>
  <si>
    <t>Commonwealth Scientific &amp; Industrial Research Organisation (CSIRO); Commonwealth Scientific &amp; Industrial Research Organisation (CSIRO)</t>
  </si>
  <si>
    <t>Cai, WJ (corresponding author), CSIRO Marine &amp; Atmospher Res, PMB 1, Mordialloc, Vic 3195, Australia.</t>
  </si>
  <si>
    <t>wenju.cai@csiro.au</t>
  </si>
  <si>
    <t>Cai, Wenju/C-2864-2012; Cowan, Timothy D/AAA-7372-2019; Cowan, Tim/A-5797-2013; Wijffels, Susan E/I-8215-2012</t>
  </si>
  <si>
    <t>Cai, Wenju/0000-0001-6520-0829; Cowan, Timothy D/0000-0002-8376-4879; Wijffels, Susan/0000-0002-4717-0811</t>
  </si>
  <si>
    <t>Australian Department of Climate Change</t>
  </si>
  <si>
    <t>Australian Department of Climate Change(Australian Government)</t>
  </si>
  <si>
    <t>W. Cai, T. Cowan, and S. Wijffels are supported by the Australian Department of Climate Change. We thank the many modeling groups and institutions for the use of their climate model output and recognize the significant work that the Program for Climate Model Diagnosis and Intercomparison (PCMDI) has undertaken in collecting and storing the model data. For more details on model data or documentation, readers are referred to the PCMDI Website (available online at http://www-pcmdi.llnl.gov).</t>
  </si>
  <si>
    <t>10.1175/2009JCLI3081.1</t>
  </si>
  <si>
    <t>WOS:000273361000014</t>
  </si>
  <si>
    <t>Pohl, B; Fauchereau, N; Reason, CJC; Rouault, M</t>
  </si>
  <si>
    <t>Pohl, B.; Fauchereau, N.; Reason, C. J. C.; Rouault, M.</t>
  </si>
  <si>
    <t>Relationships between the Antarctic Oscillation, the Madden - Julian Oscillation, and ENSO, and Consequences for Rainfall Analysis</t>
  </si>
  <si>
    <t>SOUTHERN ANNULAR MODE; INDIAN-OCEAN; AFRICAN RAINFALL; SURFACE-TEMPERATURE; AUSTRALIAN RAINFALL; PART I; HEMISPHERE; VARIABILITY; INDEX; SUMMER</t>
  </si>
  <si>
    <t>The Antarctic Oscillation (AAO) is the leading mode of atmospheric variability in the Southern Hemisphere mid-and high latitudes (south of 20 degrees S). In this paper, the authors examine its statistical relationships with the major tropical climate signals at the intraseasonal and interannual time scales and their consequences on its potential influence on rainfall variability at regional scales. At the intraseasonal time scale, although the AAO shows its most energetic fluctuations in the 30-60-day range, it is not unambiguously related to the global-scale Madden-Julian oscillation (MJO) activity, with in particular no coherent phase relationship with the MJO index. Moreover, in the high southern latitudes, the MJO-associated anomaly fields do not appear to project coherently on the well-known AAO patterns and are never of an annular nature. At the interannual time scale, a strong teleconnection with ENSO is found during the peak of the austral summer season, corroborating previous studies. El Nino (La Nina) tends to correspond to a negative (positive) AAO phase. The results are statistically significant only when the seasonal mean fields averaged for the November through February season are considered. Based on these results, the authors then isolate the specific influence of the AAO on rainfall variability at both intraseasonal and interannual time scales. The example taken here is southern Africa, a region under the influence of both the MJO and ENSO, experiencing its main rainy season in austral summer and containing a relatively dense network of rain gauge measurements. At the interannual time scale, the significance of the teleconnections between southern African rainfall and the AAO reveals itself to be a statistical artifact and becomes very weak once the influence of ENSO is removed. At the intraseasonal time scale, the AAO is seen to significantly affect the rainfall amounts over much of the country, without interference with other modes of variability. Its influence in modulating the rain appears to be strongest during La Nina years.</t>
  </si>
  <si>
    <t>[Pohl, B.] Univ Bourgogne, CNRS, Ctr Rech Climatol, F-21000 Dijon, France; [Fauchereau, N.; Reason, C. J. C.; Rouault, M.] Univ Cape Town, Marine Res Inst, Dept Oceanog, ZA-7925 Cape Town, South Africa; [Fauchereau, N.] CSIR, Cape Town, South Africa</t>
  </si>
  <si>
    <t>Centre National de la Recherche Scientifique (CNRS); Universite de Bourgogne; University of Cape Town; Council for Scientific &amp; Industrial Research (CSIR) - South Africa</t>
  </si>
  <si>
    <t>Pohl, B (corresponding author), Univ Bourgogne, CNRS, Ctr Rech Climatol, 6 Blvd Gabriel, F-21000 Dijon, France.</t>
  </si>
  <si>
    <t>benjamin.pohl@u-bourgogne.fr</t>
  </si>
  <si>
    <t>Pohl, Benjamin/AAW-8018-2020; Rouault, Mathieu/A-5022-2008; Pohl, Benjamin/L-7696-2017</t>
  </si>
  <si>
    <t>Rouault, Mathieu/0000-0002-3207-6777; Pohl, Benjamin/0000-0002-9339-797X</t>
  </si>
  <si>
    <t>WRC [K5/1747]</t>
  </si>
  <si>
    <t>WRC</t>
  </si>
  <si>
    <t>The EMD code has been made available by Patrick Flandrin online athttp://perso.ens-lyon.fr/patrick.flandrin/emd.html. The MEI, OLR, and NCEP-2 fields were obtained from the Climate Diagnostics Center (information online at http://www.cdc.noaa.gov). The HadISST data were provided by the Met Office (information online at http://www.badc.nerc. ac.uk/data/hadisst/). The Wheeler and Hendon MJO indices were provided through the Australian Bureau of Meteorology (information online at http://www.bom.gov.au).; This work was carried out at the University of Cape Town as part of the PICS PESOCA exchange program cofunded by France and South Africa. Benjamin Pohl thanks the Department of Oceanography at UCT for its hospitality. Nicolas Fauchereau and Mathieu Rouault thank funding from WRC project K5/1747. The authors thank Matt Wheeler as well as three anonymous reviewers for helpful comments on the manuscript.</t>
  </si>
  <si>
    <t>10.1175/2009JCLI2443.1</t>
  </si>
  <si>
    <t>543FC</t>
  </si>
  <si>
    <t>WOS:000273555500003</t>
  </si>
  <si>
    <t>Zeng, XA; Xiao, XA; Wang, FP</t>
  </si>
  <si>
    <t>Zeng, Xiang; Xiao, Xiang; Wang, Fengping</t>
  </si>
  <si>
    <t>Response of bacteria in the deep-sea sediments and the Antarctic soils to carbohydrates: Effects on ectoenzyme activity and bacterial community</t>
  </si>
  <si>
    <t>JOURNAL OF ENVIRONMENTAL SCIENCES</t>
  </si>
  <si>
    <t>deep-sea sediments; Antarctic soils; amending; cellulose; chitin; olive oil; ectoenzyme activity</t>
  </si>
  <si>
    <t>GRADIENT GEL-ELECTROPHORESIS; ORGANIC-MATTER; MICROBIAL COMMUNITIES; MARINE-SEDIMENTS; DIVERSITY; ARCHAEA; GROWTH; GENES; OCEAN</t>
  </si>
  <si>
    <t>The response of bacteria to various carbohydrates in the deep-sea sediments and the Antarctic soils was investigated using cellulose, chitin, and olive oil. It was found that the carbohydrates significantly increased the corresponding specific ectoenzyme activity (beta-glucosidase, beta-N-acetylglucosaminidase, lipase) in the samples from deep-sea sediments. In the case of Antarctic soil samples, the cellulose or olive oil amendments had minor or no effect on beta-glucosidase or lipase activity, except the chitin which stimulated beta-N-acetylglucosaminidase production. The responses of the bacteria in the deep-sea sediment sample WP02-3 and the Antarctic soil sample CC-TY2 towards the chitin amendment were further analyzed. Chitin amendments were shown to stimulate the ectoenzyme activity in all the tested sediments and the soils. The bacterial response before and after the carbohydrates amendments were compared by denaturing gradient gel electrophoresis and quantitative competitive polymerase chain reaction. Significant changes were found in the structure and density of the bacterial community in the deep sea sediments as compared to the Antarctic soil sample, where the effects were relatively lower. There was no change in the bacterial population in both studied samples in response to carbohydrates amendments. These data indicate that the bacterial communities in the oligotrophic deep-sea sediments are more dynamic than that in the Antarctic soils as they respond to the nutrient sources efficiently by regulation of ectoenzyme activity and/or changing community structure.</t>
  </si>
  <si>
    <t>[Zeng, Xiang; Xiao, Xiang; Wang, Fengping] State Ocean Adm, Inst Oceanog 3, Key Lab Marine Biogenet Resources, Xiamen 361005, Peoples R China; [Zeng, Xiang] Xiamen Univ, Sch Life Sci, Xiamen 361005, Peoples R China; [Xiao, Xiang; Wang, Fengping] Shanghai Jiao Tong Univ, Sch Life Sci &amp; Biotechnol, Shanghai 200240, Peoples R China</t>
  </si>
  <si>
    <t>Third Institute of Oceanography, Ministry of Natural Resources; Xiamen University; Shanghai Jiao Tong University</t>
  </si>
  <si>
    <t>Wang, FP (corresponding author), State Ocean Adm, Inst Oceanog 3, Key Lab Marine Biogenet Resources, Xiamen 361005, Peoples R China.</t>
  </si>
  <si>
    <t>zengxiangemail@yahoo.com.cn; Fengpingw@sjtu.edu.cn</t>
  </si>
  <si>
    <t>China Ocean Mineral Resources RD Association [DYXM-115-02-2-01]; National Natural Science Foundation of China [40830213]; Hi-Tech Research and Development Program (863) of China [2007AA091904]</t>
  </si>
  <si>
    <t>China Ocean Mineral Resources RD Association; National Natural Science Foundation of China(National Natural Science Foundation of China (NSFC)); Hi-Tech Research and Development Program (863) of China(National High Technology Research and Development Program of China)</t>
  </si>
  <si>
    <t>This work was supported by the China Ocean Mineral Resources R&amp;D Association (No. DYXM-115-02-2-01), the National Natural Science Foundation of China (No. 40830213), and the Hi-Tech Research and Development Program (863) of China (No. 2007AA091904). The authors thank the crews on Haiyang No. 4 and the members of the 19th Antarctic scientific expedition of China in collecting the samples.</t>
  </si>
  <si>
    <t>1001-0742</t>
  </si>
  <si>
    <t>1878-7320</t>
  </si>
  <si>
    <t>J ENVIRON SCI-CHINA</t>
  </si>
  <si>
    <t>J. Environ. Sci.</t>
  </si>
  <si>
    <t>10.1016/S1001-0742(09)60319-3</t>
  </si>
  <si>
    <t>684PW</t>
  </si>
  <si>
    <t>WOS:000284562800017</t>
  </si>
  <si>
    <t>Wark, AR; Peichel, CL</t>
  </si>
  <si>
    <t>Wark, A. R.; Peichel, C. L.</t>
  </si>
  <si>
    <t>Lateral line diversity among ecologically divergent threespine stickleback populations</t>
  </si>
  <si>
    <t>lateral line; stickleback; evolution; sensory system; diversity; adaptation</t>
  </si>
  <si>
    <t>ANTARCTIC NOTOTHENIOID FISH; LANDLOCKED RED SALMON; VIBRATIONAL COMMUNICATION; PUNGITIUS-PUNGITIUS; ADAPTIVE DIVERGENCE; ONCORHYNCHUS-NERKA; STREAM STICKLEBACK; SENSORY BASIS; GENE FLOW; CAVE FISH</t>
  </si>
  <si>
    <t>The lateral line is a mechanoreceptive sensory system that allows fish to sense objects and motion in their local environment. Variation in lateral line morphology may allow fish in different habitats to differentially sense and respond to salient cues. Threespine sticklebacks (Gasterosteus aculeatus) occupy a diverse range of aquatic habitats; we therefore hypothesized that populations within the G. aculeatus species complex might show variation in the morphology of the lateral line sensory system. We sampled 16 threespine stickleback populations from marine, stream and lake (including benthic and limnetic) habitats and examined the distribution, type and number of neuromasts on different regions of the body. We found that the threespine stickleback has a reduced lateral line canal system, completely lacking canal neuromasts. Although the arrangement of lines of superficial neuromasts on the body was largely the same in all populations, the number of neuromasts within these lines varied across individuals, populations and habitats. In pairwise comparisons between threespine sticklebacks adapted to divergent habitats, we found significant differences in neuromast number. Stream residents had more neuromasts than marine sticklebacks living downstream in the same watershed. In two independent lakes, benthic sticklebacks had more trunk neuromasts than sympatric limnetic sticklebacks, providing evidence for parallel evolution of the lateral line system. Our data provide the first demonstration that the lateral line sensory system can vary significantly between individuals and among populations within a single species, and suggest that this sensory system may experience different selection regimes in alternative habitats.</t>
  </si>
  <si>
    <t>[Wark, A. R.; Peichel, C. L.] Fred Hutchinson Canc Res Ctr, Div Human Biol, Seattle, WA 98109 USA; [Wark, A. R.] Univ Washington, Hlth Sci Ctr T471, Program Neurobiol &amp; Behav, Seattle, WA 98195 USA</t>
  </si>
  <si>
    <t>Fred Hutchinson Cancer Center; University of Washington; University of Washington Seattle</t>
  </si>
  <si>
    <t>Peichel, CL (corresponding author), Fred Hutchinson Canc Res Ctr, Div Human Biol, 1100 Fairview Ave N, Seattle, WA 98109 USA.</t>
  </si>
  <si>
    <t>cpeichel@fhcrc.org</t>
  </si>
  <si>
    <t>Burroughs Wellcome Fund Career Award in the Biomedical Sciences; National Institutes of Health [P50 HG02568]</t>
  </si>
  <si>
    <t>Burroughs Wellcome Fund Career Award in the Biomedical Sciences(Burroughs Wellcome Fund); National Institutes of Health(United States Department of Health &amp; Human ServicesNational Institutes of Health (NIH) - USA)</t>
  </si>
  <si>
    <t>We are grateful to Matt Arnegard, Susan Foster, Andrew Hendry, Jun Kitano, Jean-Sebastien Moore, Dolph Schluter and Mike Shapiro for help collecting sticklebacks; Cecilia Moens and Greg Walsh for use of their microscope; Anne Knecht for DASPEI-staining advice; Tiffany Malek, Bobbie Schneider and Franque Remington for help with electron microscopy; and especially Matt Arnegard, Anna Greenwood, Joe Sisneros, James Urton and Barry Wark for helpful suggestions on the manuscript. This work was supported by a Burroughs Wellcome Fund Career Award in the Biomedical Sciences (C.L.P.) and National Institutes of Health grant P50 HG02568 (C.L.P.). Deposited in PMC for release after 12 months.</t>
  </si>
  <si>
    <t>10.1242/jeb.031625</t>
  </si>
  <si>
    <t>531EJ</t>
  </si>
  <si>
    <t>WOS:000272645800022</t>
  </si>
  <si>
    <t>Sugie, K; Kuma, K; Fujita, S; Ikeda, T</t>
  </si>
  <si>
    <t>Sugie, Koji; Kuma, Kenshi; Fujita, Satoshi; Ikeda, Tsutomu</t>
  </si>
  <si>
    <t>Increase in Si:N drawdown ratio due to resting spore formation by spring bloom-forming diatoms under Fe- and N-limited conditions in the Oyashio region</t>
  </si>
  <si>
    <t>Diatom; Iron; Oyashio region; Resting spore; Si:N drawdown ratio; Spring bloom</t>
  </si>
  <si>
    <t>SUB-ARCTIC PACIFIC; ANTARCTIC PENINSULA REGION; COMMUNITY STRUCTURE; IRON AVAILABILITY; SOUTHERN-OCEAN; MARINE DIATOM; BERING-SEA; CHAETOCEROS-PSEUDOCURVISETUS; THALASSIOSIRA-WEISSFLOGII; KERGUELEN PLATEAU</t>
  </si>
  <si>
    <t>Resting spore formation and Si:N drawdown ratios were investigated under iron (Fe)- and nitrogen (N)-limited conditions using a unialgal culture of Thalassiosira nordenskioeldii and natural phytoplankton assemblages during the spring bloom in the Oyashio region. In the unialgal culture of T nordenskioeldii, 20% and 100% of the cells formed resting spores under Fe- and N-limited conditions, respectively. The Si:N drawdown ratios were 2- and 14-fold higher in Fe- and N-limited conditions, respectively, compared to Fe- and N-sufficient conditions. At the start of the natural phytoplankton incubation, 18 among 47 identified diatom species were known resting spore-forming species. Approximately 15 common diatom species formed resting spores under Fe- and N-limited conditions. During the natural phytoplankton incubation, the percentage of the resting spores increased with time under both Fe- and N-limited conditions, reaching 25% and 40% of total diatom abundance, respectively. The Si: N drawdown ratios significantly increased with an increase in the contribution of resting spores in both the unialgal culture and natural phytoplankton incubations. These results suggest that if the bloom dominated by neritic, resting spore-forming diatom species decline by either Fe- or N-depletion, Si may be utilized preferentially to N in the upper mixed layer due to the formation of heavily silicified resting spores. (C) 2009 Elsevier B.V. All rights reserved.</t>
  </si>
  <si>
    <t>[Sugie, Koji; Kuma, Kenshi; Fujita, Satoshi] Hokkaido Univ, Grad Sch Environm Sci, Kita Ku, Sapporo, Hokkaido 0600810, Japan; [Kuma, Kenshi; Ikeda, Tsutomu] Hokkaido Univ, Fac Fisheries Sci, Hakodate, Hokkaido 0418611, Japan</t>
  </si>
  <si>
    <t>Hokkaido University; Hokkaido University</t>
  </si>
  <si>
    <t>Sugie, K (corresponding author), Cent Res Inst Elect Power Ind, Environm Sci Res Lab, 1646 Abiko, Abiko, Chiba 2701194, Japan.</t>
  </si>
  <si>
    <t>kojisugie@gmail.com</t>
  </si>
  <si>
    <t>Sugie, Koji/AAG-1639-2020; Kuma, Kenshi/B-2799-2012</t>
  </si>
  <si>
    <t>Sugie, Koji/0000-0003-3316-504X; Kuma, Kenshi/0000-0001-8851-5997</t>
  </si>
  <si>
    <t>Japan Science Society; Ministry of Education, Culture, Sports, Science and Technology [18201001]</t>
  </si>
  <si>
    <t>Japan Science Society; Ministry of Education, Culture, Sports, Science and Technology(Ministry of Education, Culture, Sports, Science and Technology, Japan (MEXT))</t>
  </si>
  <si>
    <t>We thank the captain and crews of the RV Hakuho-Maru for their efforts at the sea. We acknowledge the anonymous reviewers for valuable comments which significantly improved the paper. We also thank Dr. S. Montani, Dr. K. Suzuki, Dr. I. Kudo, and Dr. J. Nishioka in the Hokkaido University, Dr. M. Ichinomiya in the Tohoku National Fisheries Research Institute, and Dr. Y. Gomi in the Seikai National Fisheries Research Institute for their useful comments on this study. We thank Mr. Nakayama and Ms. E. Manabe in the Hokkaido University for their technical support. This work was supported by grants for the Sasakawa Scientific Research Grant from the Japan Science Society and for Scientific Research (18201001) from the Ministry of Education, Culture, Sports, Science and Technology. [SS]</t>
  </si>
  <si>
    <t>10.1016/j.jembe.2009.11.001</t>
  </si>
  <si>
    <t>549IT</t>
  </si>
  <si>
    <t>WOS:000274042200005</t>
  </si>
  <si>
    <t>Ohmura, A</t>
  </si>
  <si>
    <t>Ohmura, Atsumu</t>
  </si>
  <si>
    <t>Mass Balance of Glaciers and Ice Sheets during the Observational Period and Climate Change</t>
  </si>
  <si>
    <t>JOURNAL OF GEOGRAPHY-CHIGAKU ZASSHI</t>
  </si>
  <si>
    <t>Japanese</t>
  </si>
  <si>
    <t>glacier; ice sheet; mass balance; climate change; radiation</t>
  </si>
  <si>
    <t>SEA-LEVEL RISE; HIGH-RESOLUTION; GREENLAND; ACCUMULATION; ELEVATION; TEMPERATURE</t>
  </si>
  <si>
    <t>Glacier mass balance and secular changes in mountain glaciers and ice caps are evaluated from the annual net balance of 161 glaciers from 17 glacierized regions of the world. Further, the annual net balance is split into winter and summer balances for 35 glaciers of 11 glacierized regions. The global means are calculated by weighting glacier and regional surface areas. The area-weighted global mean net balance for the period 1960 to 2000 is -250 mma(-1) w.e.(-138 km(3)a(-1) w.e.), with seasonal components of 1470 mma(-1) w.e. (810 km(3)a(-1) w.e.) for winter and -1725 mma(-1) w.e. (-950 km(3)a(-1) w.e.) for summer balances. The linear-fitted global net balance is accelerating at a rate of -11 mma(-2). The main driving force behind this change is the summer balance with a rate of -12 mma(-2). The decadal balance, however, shows significant fluctuations: melt reached its peak around 1945, followed by a decrease. The annual net balance, although negative for the global mean, approached equilibrium from the 1960s to 1980s. Some regions experienced a period of positive balance during this time, for example, Europe. The balance has become strongly negative since the early 1990s. These decadal changes correspond to periods of global dimming (for smaller melt) and global brightening (for larger melt). The total radiation at the surface changed as a result of an imbalance between steadily increasing greenhouse gases and fluctuating aerosol emissions. The mass balance of the Greenland ice sheet and the surrounding smaller glaciers is negative at -74 mma(-1) with an accumulation of 297 mma(-1) w.e. (519 km(3)a(-1) w.e.), melt ablation -169 mma(-1) w.e (-296 km(3)a(-1) w.e.), calving ablation -181 mma(-1) w.e(-316 km(3)a(-1) w.e.) and the bottom melt -21 mma(-1) w.e.(-35 km(3)a(-1) w.e.). At present, it is difficult to detect any statistically significant trends for these components. The total mass balance of the Antarctic ice sheet is considered to be too premature to evaluate. The estimated sea-level contributions in the 20th Century are 3.7 cm by mountain glaciers and ice caps, 3.5 cm by Greenland, 2 cm by ocean thermal expansion. The difference of 8 cm between these components and the estimated value with tide-gage networks (17 cm) must be caused by the mass balance of Antarctica and other sources that were not considered in the present work, for example, the melt of permafrost.</t>
  </si>
  <si>
    <t>[Ohmura, Atsumu] Swiss Fed Inst Technol, Inst Atmospher &amp; Climate Res, Zurich, Switzerland</t>
  </si>
  <si>
    <t>Swiss Federal Institutes of Technology Domain; ETH Zurich</t>
  </si>
  <si>
    <t>Ohmura, A (corresponding author), Swiss Fed Inst Technol, Inst Atmospher &amp; Climate Res, Zurich, Switzerland.</t>
  </si>
  <si>
    <t>TOKYO GEOGRAPHICAL SOC</t>
  </si>
  <si>
    <t>12-2 NIBANCHO, CHIYODAKU-KU, TOKYO, 102-0084, JAPAN</t>
  </si>
  <si>
    <t>0022-135X</t>
  </si>
  <si>
    <t>1884-0884</t>
  </si>
  <si>
    <t>J GEOGR-TOKYO</t>
  </si>
  <si>
    <t>J. Geogr.</t>
  </si>
  <si>
    <t>Geography, Physical</t>
  </si>
  <si>
    <t>Physical Geography</t>
  </si>
  <si>
    <t>VG3AZ</t>
  </si>
  <si>
    <t>WOS:000446266400005</t>
  </si>
  <si>
    <t>Kavanaugh, JL; Moore, PL</t>
  </si>
  <si>
    <t>Kavanaugh, Jeffrey L.; Moore, Peter L.</t>
  </si>
  <si>
    <t>A peak-capturing measurement circuit for detecting and recording short-duration glacial signals</t>
  </si>
  <si>
    <t>JOURNAL OF GLACIOLOGY</t>
  </si>
  <si>
    <t>ANTARCTIC ICE STREAM; STORGLACIAREN; MOTION; SYSTEM; FLOW</t>
  </si>
  <si>
    <t>A simple circuit has been developed to allow measurement of brief subglacial water-pressure pulses. This circuit continuously powers a pressure transducer and captures the peak output of the transducer during each measurement interval, thus allowing determination of the maximum pressure attained during the interval. This circuit provides an alternative to setting a data logger to perform rapid repeated measurements, and overcomes some key limitations imposed by rapid measurement. Benefits include significantly lower demands on the data-logger microprocessor, which allows additional instruments to be monitored simultaneously, reduced memory usage and moderately lower power consumption. The reduced microprocessor and memory loads allow older and slower logger models, many of which are still in common use, to be used to obtain data that compare favourably with high-frequency data obtained using newer data loggers.</t>
  </si>
  <si>
    <t>[Kavanaugh, Jeffrey L.] Univ Alberta, Dept Earth &amp; Atmospher Sci, Edmonton, AB T6G 2E3, Canada; [Moore, Peter L.] Iowa State Univ, Dept Geol &amp; Atmospher Sci, Ames, IA 50011 USA</t>
  </si>
  <si>
    <t>University of Alberta; Iowa State University</t>
  </si>
  <si>
    <t>Kavanaugh, JL (corresponding author), Univ Alberta, Dept Earth &amp; Atmospher Sci, 1-26 Earth Sci Bldg, Edmonton, AB T6G 2E3, Canada.</t>
  </si>
  <si>
    <t>jeff.kavanaugh@ualberta.ca</t>
  </si>
  <si>
    <t>Moore, Peter/0000-0002-9523-6141</t>
  </si>
  <si>
    <t>Canadian Natural Sciences and Engineering Research Council; US National Science Foundation [EAR-0541918]</t>
  </si>
  <si>
    <t>Canadian Natural Sciences and Engineering Research Council(Natural Sciences and Engineering Research Council of Canada (NSERC)); US National Science Foundation(National Science Foundation (NSF))</t>
  </si>
  <si>
    <t>We thank A. Schaeffer and G.K.C. Clarke for calibrating and installing the pressure pulse sensors at Trapridge Glacier, and Parks Canada for permitting fieldwork to be conducted in Kluane National Park. We also thank N. Iverson and P. Jansson for coordinating the fieldwork at Storglaciaren, J. Byers and M. Mathison for assisting with the calibration and installation of transducers at Storglaciaren, and R.K. Stefaniuk for his suggestions for improving the monitoring circuit. This work was supported by grants from the Canadian Natural Sciences and Engineering Research Council and the US National Science Foundation (EAR-0541918).</t>
  </si>
  <si>
    <t>0022-1430</t>
  </si>
  <si>
    <t>J GLACIOL</t>
  </si>
  <si>
    <t>J. Glaciol.</t>
  </si>
  <si>
    <t>10.3189/002214310791190956</t>
  </si>
  <si>
    <t>642YK</t>
  </si>
  <si>
    <t>WOS:000281257600005</t>
  </si>
  <si>
    <t>Wen, JH; Wang, YF; Wang, WL; Jezek, KC; Liu, HX; Allison, I</t>
  </si>
  <si>
    <t>Wen, Jiahong; Wang, Yafeng; Wang, Weili; Jezek, K. C.; Liu, Hongxing; Allison, I.</t>
  </si>
  <si>
    <t>Basal melting and freezing under the Amery Ice Shelf, East Antarctica</t>
  </si>
  <si>
    <t>MASS-BALANCE; OCEAN INTERACTION; WEST ANTARCTICA; SHEET; GLACIER; PENINSULA; LAMBERT; BENEATH; VELOCITY; STABILITY</t>
  </si>
  <si>
    <t>The basal melting and freezing rates under the Amery Ice Shelf, East Antarctica, are evaluated, and their spatial distributions mapped. Ice velocity, surface elevation and accumulation rate datasets are employed in the analysis, along with a column-averaged ice density model. Our analysis shows that the total area of basal melting is 34 700 km(2), with a total annual melt of 62.5 +/- 9.3 Gt and an average melting rate of 1.8 +/- 0.3 m a(-1). Basal freezing mainly occurs in the northwestern part of the ice shelf, over a total area of 26 100 km(2) and with a maximum freezing rate of 2.4 +/- 0.4 m a(-1). The total marine ice that accretes to the ice-shelf base is estimated to be 16.2 +/- 2.4 Gt a(-1). Using a redefined grounding line and geometry of the Amery Ice Shelf, we estimate the net melt over the ice-shelf base is about 46.4 +/- 6.9 Gt a(-1), which is higher than previous modeling and oceanographic estimates. Net basal melting accounts for about half of the total ice-shelf mass loss, with the rest being from iceberg discharge. Our basal melting and freezing distribution map provides a scientific basis for quantitative analysis of ice-ocean interaction at the ice-shelf-ocean interface.</t>
  </si>
  <si>
    <t>[Wen, Jiahong; Wang, Yafeng] Shanghai Normal Univ, Dept Geog, Shanghai 200234, Peoples R China; [Wang, Yafeng] Jiangsu Univ Sci &amp; Technol, Informat Ctr Lib, Zhenjiang 212003, Jiangsu, Peoples R China; [Wang, Weili] NASA, Goddard Space Flight Ctr, SGT Inc, Greenbelt, MD 20771 USA; [Jezek, K. C.] Ohio State Univ, Byrd Polar Res Ctr, Columbus, OH 43210 USA; [Liu, Hongxing] Univ Cincinnati, Dept Geog, Cincinnati, OH 45221 USA; [Allison, I.] Australian Antarctic Div, Hobart, Tas 7001, Australia; [Allison, I.] Antarctic Climate &amp; Ecosyst CRC, Hobart, Tas 7001, Australia</t>
  </si>
  <si>
    <t>Shanghai Normal University; Jiangsu University of Science &amp; Technology; National Aeronautics &amp; Space Administration (NASA); NASA Goddard Space Flight Center; Stinger Ghaffarian Technologies, Inc. (SGT); University System of Ohio; Ohio State University; University System of Ohio; University of Cincinnati; Australian Antarctic Division; University of Tasmania</t>
  </si>
  <si>
    <t>Wen, JH (corresponding author), Shanghai Normal Univ, Dept Geog, Shanghai 200234, Peoples R China.</t>
  </si>
  <si>
    <t>jhwen@shnu.edu.cn</t>
  </si>
  <si>
    <t>Allison, Ian F/I-4477-2015; wang, yafeng/J-4829-2017</t>
  </si>
  <si>
    <t>Allison, Ian F/0000-0001-9599-0251;</t>
  </si>
  <si>
    <t>National Natural Science Foundation of China [40871035, 40730526]; Shanghai Municipal Education Commission; Shanghai Education Development Foundation [05SG46, S30406]; Shanghai Normal University [DZL801]; Center for Remote Sensing of Ice Sheets (CReSIS), University of Kansas</t>
  </si>
  <si>
    <t>National Natural Science Foundation of China(National Natural Science Foundation of China (NSFC)); Shanghai Municipal Education Commission(Shanghai Municipal Education Commission (SHMEC)); Shanghai Education Development Foundation; Shanghai Normal University; Center for Remote Sensing of Ice Sheets (CReSIS), University of Kansas</t>
  </si>
  <si>
    <t>This work was supported by the National Natural Science Foundation of China through grants 40871035 and 40730526, the Shanghai Municipal Education Commission, the Shanghai Education Development Foundation through grants 05SG46 and S30406, and the Leading Academic Discipline Project of Shanghai Normal University through grant DZL801. K. Jezek was partially supported by the Center for Remote Sensing of Ice Sheets (CReSIS), University of Kansas. Jiahong Wen expresses gratitude to the Antarctic Climate and Ecosystems Cooperative Research Centre for hosting a visit to Hobart to complete the paper. We also thank M.B. Giovinetto for providing accumulation compilations, R. Coleman, N. Young, H.A. Fricker, J. DiMarzio and M. Craven for providing the geoid model, grounding line, DEM and in situ GPS and accumulation data over the Amery Ice Shelf, and R. Warner for valuable suggestions. Constructive comments and suggestions from M. King and two anonymous reviewers have been very helpful in improving this paper.</t>
  </si>
  <si>
    <t>10.3189/002214310791190820</t>
  </si>
  <si>
    <t>WOS:000281257600009</t>
  </si>
  <si>
    <t>Anderson, B; Mackintosh, A; Stumm, D; George, L; Kerr, T; Winter-Billington, A; Fitzsimons, S</t>
  </si>
  <si>
    <t>Anderson, Brian; Mackintosh, Andrew; Stumm, Dorothea; George, Laurel; Kerr, Tim; Winter-Billington, Alexandra; Fitzsimons, Sean</t>
  </si>
  <si>
    <t>Climate sensitivity of a high-precipitation glacier in New Zealand</t>
  </si>
  <si>
    <t>FRANZ-JOSEF-GLACIER; SUBGLACIAL DRAINAGE SYSTEM; ENERGY-BALANCE; MASS-BALANCE; SOUTHERN ALPS; ICE CAPS; RADIATION; RUNOFF; MODEL; MELT</t>
  </si>
  <si>
    <t>The sensitivity of glaciers to climatic change is key information in assessing the response and sea-level implications of projected future warming. New Zealand glaciers are important globally as an example of how maritime glaciers will contribute to sea-level rise. A spatially distributed energy-balance model is applied to Brewster Glacier, New Zealand, in order to calculate glacier mass balance, run-off and sensitivity to climate change. The model successfully simulates four annual mass-balance cycles. Close to half (52%) of the energy available for melt on the glacier is supplied by turbulent heat fluxes, with radiation less important, except during the winter. Model sensitivity to temperature change is one of the largest reported on Earth, at -2.0 m w.e. a(-1)degrees C-1. In contrast, a 50% change in precipitation is required to offset the mass-balance change resulting from a 1 degrees C temperature change. Meltwater runoff sensitivity is also very high, increasing 60% with a 1 degrees C warming. The extreme sensitivity of mass balance to temperature change suggests that significant ice loss will occur with even moderate climate warming.</t>
  </si>
  <si>
    <t>[Anderson, Brian; Mackintosh, Andrew] Victoria Univ, Antarctic Res Ctr, Wellington, New Zealand; [Mackintosh, Andrew; Winter-Billington, Alexandra] Victoria Univ, Sch Geog Environm &amp; Earth Sci, Wellington, New Zealand; [Stumm, Dorothea; George, Laurel; Fitzsimons, Sean] Univ Otago, Dept Geog, Dunedin, New Zealand; [Kerr, Tim] Univ Canterbury, Dept Geog, Christchurch 1, New Zealand</t>
  </si>
  <si>
    <t>Victoria University Wellington; Victoria University Wellington; University of Otago; University of Canterbury</t>
  </si>
  <si>
    <t>Anderson, B (corresponding author), Victoria Univ, Antarctic Res Ctr, POB 600, Wellington, New Zealand.</t>
  </si>
  <si>
    <t>brian.anderson@vuw.ac.nz</t>
  </si>
  <si>
    <t>Kerr, Tim/0000-0002-5505-3244; Mackintosh, Andrew/0000-0002-6430-4711</t>
  </si>
  <si>
    <t>University Research Fund [URF 39180]; Foundation of Research, Science and Technology [ANZICE, VICX0704]; Comer Science and Education Foundation; Humanities Division; Active Earth Processes Research Theme; Geography Department of the University of Otago</t>
  </si>
  <si>
    <t>University Research Fund; Foundation of Research, Science and Technology; Comer Science and Education Foundation; Humanities Division; Active Earth Processes Research Theme; Geography Department of the University of Otago</t>
  </si>
  <si>
    <t>B.A. was supported by Victoria University's University Research Fund (URF 39180). Fieldwork for B.A. and A.M. was supported by a Foundation of Research, Science and Technology (ANZICE, VICX0704) grant and the Comer Science and Education Foundation. Climate station BG1 was established by the University of Otago and we acknowledge the work of N. Cullen in maintaining the station. D.S. acknowledges the Humanities Division, the Active Earth Processes Research Theme and the Geography Department of the University of Otago for financial support, and thanks the World Glacier Monitoring Service and the 3G group of the Geography Department of the University of Zurich for advice and hospitality during several research visits to Zurich.</t>
  </si>
  <si>
    <t>1727-5652</t>
  </si>
  <si>
    <t>10.3189/002214310791190929</t>
  </si>
  <si>
    <t>WOS:000281257600012</t>
  </si>
  <si>
    <t>King, MA; Murray, T; Smith, AM</t>
  </si>
  <si>
    <t>King, Matt A.; Murray, Tavi; Smith, Andy M.</t>
  </si>
  <si>
    <t>Non-linear responses of Rutford Ice Stream, Antarctica, to semi-diurnal and diurnal tidal forcing</t>
  </si>
  <si>
    <t>WEST ANTARCTICA; OCEAN TIDES; SHELF; FLOW; DISCHARGE; BENEATH; SPEED</t>
  </si>
  <si>
    <t>Modulation of the flow of Rutford Ice Stream, Antarctica, has been reported previously at semi-diurnal, diurnal, fortnightly and semi-annual periods. A model that includes non-linear response to tidal forcing has been shown to fit closely observations at fortnightly frequencies. Here we examine that model further and test its fit at a larger set of observed frequencies, including the large semi-annual displacement. We show analytically that, when forced by major tidal terms, the model (using a basal shear stress exponent m = 3) predicts several discrete response periods from 4 hours to 0.5 years. We examine a 1.5 year GPS record from Rutford Ice Stream and find that the model, when forced by a numerical tide model, is able to reproduce the reported semi-annual signal. We confirm that about 5% of the mean flow is due solely to the (m = 3) non-linear response to tidally varying basal shear stress. Our best-fitting set of model parameters is similar to those originally reported using a much shorter data record, although with noticeably improved fit, suggesting these parameters are robust. We find that m approximate to 3 fits the data well, but that m approximate to 2 does not. Furthermore, we find that a small variation in flow over the 18.6 year lunar node tide cycle is expected. Fits to semi-diurnal and diurnal terms remain relatively poor, possibly due to viscoelastic effects that are not included in the model and reduced GPS data quality at some discrete periods. For comparison, we predict the response of Bindschadler Ice Stream and Lambert Glacier and show, given identical model parameters, a similar response pattern but with similar to 1-2 orders of magnitude smaller variability; these may still be measurable and hence useful in testing the applicability of this model to other locations.</t>
  </si>
  <si>
    <t>[King, Matt A.] Newcastle Univ, Sch Civil Engn &amp; Geosci, Newcastle Upon Tyne NE1 7RU, Tyne &amp; Wear, England; [Murray, Tavi] Swansea Univ, Dept Geog, Glaciol Grp, Swansea SA2 8PP, W Glam, Wales; [Smith, Andy M.] British Antarctic Survey, Nat Environm Res Council, Cambridge CB3 0ET, England</t>
  </si>
  <si>
    <t>Newcastle University - UK; Swansea University; UK Research &amp; Innovation (UKRI); Natural Environment Research Council (NERC); NERC British Antarctic Survey</t>
  </si>
  <si>
    <t>King, MA (corresponding author), Newcastle Univ, Sch Civil Engn &amp; Geosci, Cassie Bldg, Newcastle Upon Tyne NE1 7RU, Tyne &amp; Wear, England.</t>
  </si>
  <si>
    <t>m.a.king@ncl.ac.uk</t>
  </si>
  <si>
    <t>Facility, NERC Geophysical Equipment/G-5260-2010; King, Matt/B-4622-2008</t>
  </si>
  <si>
    <t>King, Matt/0000-0001-5611-9498; Murray, Tavi/0000-0001-6714-6512</t>
  </si>
  <si>
    <t>UK Natural Environment Research Council (NERC); Research Councils UK Academic; NERC Antarctic Funding Initiative; British Antarctic Survey; Leverhulme Trust; NERC [NE/D009960/1, bas0100027] Funding Source: UKRI; Natural Environment Research Council [bas0100027, NE/D009960/1] Funding Source: researchfish</t>
  </si>
  <si>
    <t>UK Natural Environment Research Council (NERC)(UK Research &amp; Innovation (UKRI)Natural Environment Research Council (NERC)); Research Councils UK Academic(UK Research &amp; Innovation (UKRI)); NERC Antarctic Funding Initiative(UK Research &amp; Innovation (UKRI)Natural Environment Research Council (NERC)); British Antarctic Survey; Leverhulme Trust(Leverhulme Trust); NERC(UK Research &amp; Innovation (UKRI)Natural Environment Research Council (NERC)); Natural Environment Research Council(UK Research &amp; Innovation (UKRI)Natural Environment Research Council (NERC))</t>
  </si>
  <si>
    <t>M.K. was funded by the UK Natural Environment Research Council (NERC) and a Research Councils UK Academic Fellowship, field data collection was funded by NERC Antarctic Funding Initiative and the British Antarctic Survey, and T.M.'s participation in the field was supported by a Leverhulme Trust Fellowship. R. Hindmarsh, T. O'Donovan and H. Pritchard are thanked for maintaining equipment in the field. We thank L. Padman and R. Pawlowicz for providing CATS2008a and tilde, respectively. H. Gud-mundsson kindly provided some GPS data. We thank B. Smith and L. Padman for very detailed and constructive reviews.</t>
  </si>
  <si>
    <t>10.3189/002214310791190848</t>
  </si>
  <si>
    <t>WOS:000281257600017</t>
  </si>
  <si>
    <t>Otero, J; Navarro, FJ; Martin, C; Cuadrado, ML; Corcuera, MI</t>
  </si>
  <si>
    <t>Otero, Jaime; Navarro, Francisco J.; Martin, Carlos; Cuadrado, Maria L.; Corcuera, Maria I.</t>
  </si>
  <si>
    <t>A three-dimensional calving model: numerical experiments on Johnsons Glacier, Livingston Island, Antarctica</t>
  </si>
  <si>
    <t>HURD PENINSULA GLACIERS; LARSEN ICE SHELF; TIDEWATER GLACIERS; SURFACE MELT; DYNAMICS; ACCELERATION; SHEET; RETREAT; STABILITY; CREVASSES</t>
  </si>
  <si>
    <t>Calving from tidewater glaciers and ice shelves accounts for around half the mass loss from both polar ice sheets, yet the process is not well represented in prognostic models of ice dynamics. Benn and others proposed a calving criterion appropriate for both grounded and floating glacier tongues or ice shelves, based on the penetration depth of transverse crevasses near the calving front, computed using Nye's formula. The criterion is readily incorporated into glacier and ice-sheet models, but has not been fully validated with observations. We apply a three-dimensional extension of Benn and others' criterion, incorporated into a full-Stokes model of glacier dynamics, to estimate the current position of the calving front of Johnsons Glacier, Antarctica. We find that two improvements to the original model are necessary to accurately reproduce the observed calving front: (1) computation of the tensile deviatoric stress opening the crevasse using the full-stress solution and (2) consideration of such a tensile stress as a function of depth. Our modelling results also suggest that Johnsons Glacier has a polythermal structure, rather than the temperate structure suggested by earlier studies.</t>
  </si>
  <si>
    <t>[Otero, Jaime; Navarro, Francisco J.; Cuadrado, Maria L.; Corcuera, Maria I.] Univ Politecn Madrid, ETSI Telecomunicac, Dept Matemat Aplicacla, ES-28040 Madrid, Spain; [Martin, Carlos] British Antarctic Survey, Nat Environm Res Council, Cambridge CB3 0ET, England</t>
  </si>
  <si>
    <t>Universidad Politecnica de Madrid; UK Research &amp; Innovation (UKRI); Natural Environment Research Council (NERC); NERC British Antarctic Survey</t>
  </si>
  <si>
    <t>Otero, J (corresponding author), Univ Politecn Madrid, ETSI Telecomunicac, Dept Matemat Aplicacla, Ciudad Univ, ES-28040 Madrid, Spain.</t>
  </si>
  <si>
    <t>jaime.otero@upm.es</t>
  </si>
  <si>
    <t>Navarro, Francisco/L-2941-2014; Otero, Jaime/L-6521-2014; Martin, Carlos/S-2778-2018</t>
  </si>
  <si>
    <t>Navarro, Francisco/0000-0002-5147-0067; Otero, Jaime/0000-0002-3518-7763; Martin, Carlos/0000-0002-2661-169X</t>
  </si>
  <si>
    <t>Spanish Ministry of Science and Innovation [CGL2005-05483, CTM2008-05878/ANT]; Natural Environment Research Council [bas0100027] Funding Source: researchfish; NERC [bas0100027] Funding Source: UKRI</t>
  </si>
  <si>
    <t>Spanish Ministry of Science and Innovation(Spanish Government); Natural Environment Research Council(UK Research &amp; Innovation (UKRI)Natural Environment Research Council (NERC)); NERC(UK Research &amp; Innovation (UKRI)Natural Environment Research Council (NERC))</t>
  </si>
  <si>
    <t>This research was supported by grants CGL2005-05483 and CTM2008-05878/ANT from the Spanish Ministry of Science and Innovation. We thank the scientific editor, H.A. Fricker, and reviewers J.Bassis, D. Benn and F. Walter, whose comments and suggestions greatly improved the original manuscript. We also thank A. Rasmussen for his kind review of the writing style.</t>
  </si>
  <si>
    <t>10.3189/002214310791968539</t>
  </si>
  <si>
    <t>630FJ</t>
  </si>
  <si>
    <t>WOS:000280258200002</t>
  </si>
  <si>
    <t>Steen-Larsen, HC; Waddington, ED; Koutnik, MR</t>
  </si>
  <si>
    <t>Steen-Larsen, Hans Christian; Waddington, Edwin D.; Koutnik, Michelle R.</t>
  </si>
  <si>
    <t>Formulating an inverse problem to infer the accumulation-rate pattern from deep internal layering in an ice sheet using a Monte Carlo approach</t>
  </si>
  <si>
    <t>RESOLUTION; GLACIERS</t>
  </si>
  <si>
    <t>Using a Monte Carlo (MC) method, we determine the accumulation-rate profile along a flowband, the influx of ice into the upstream end of the flowband and the age of an internal layer. The data comprise the depth profile of the internal layer, a few velocity measurements at the surface and the average accumulation at one location. The data in our example were collected at Taylor Mouth, a flank site off Taylor Dome, Antarctica. We present three alternative formulations of this inverse problem. Depending on the formulation used, this particular inverse problem can have up to four solutions, each corresponding to a different spatial accumulation-rate pattern. This study demonstrates the ability of a MC method to find several solutions to this inverse problem, and how to use a Metropolis algorithm to determine the probability distribution of each of these different solutions. The only disadvantage of the MC method is that it is computationally more expensive than other inverse methods, such as the Gradient method.</t>
  </si>
  <si>
    <t>[Steen-Larsen, Hans Christian] Univ Copenhagen, Niels Bohr Inst, Ctr Ice &amp; Climate, DK-2100 Copenhagen, Denmark; [Steen-Larsen, Hans Christian; Waddington, Edwin D.; Koutnik, Michelle R.] Univ Washington, Dept Earth &amp; Space Sci, Seattle, WA 98195 USA</t>
  </si>
  <si>
    <t>University of Copenhagen; Niels Bohr Institute; University of Washington; University of Washington Seattle</t>
  </si>
  <si>
    <t>Steen-Larsen, HC (corresponding author), Univ Copenhagen, Niels Bohr Inst, Ctr Ice &amp; Climate, Juliane Manes Vej 30, DK-2100 Copenhagen, Denmark.</t>
  </si>
  <si>
    <t>hanschr@gfy.ku.dk</t>
  </si>
  <si>
    <t>Steen-Larsen, Hans Christian/F-9927-2013</t>
  </si>
  <si>
    <t>Steen-Larsen, Hans Christian/0000-0002-7202-5907</t>
  </si>
  <si>
    <t>US National Science Foundation [OPP-0440666, OPP-9421644]; University of Washington; Oticon Fonden; Niels Bohr Fondet; Karen Marie Louise Jensens Mindelegat; Hotelejer Anders Maansson og hustrus legat; Studenterhuset; Danish Geophysical Union</t>
  </si>
  <si>
    <t>US National Science Foundation(National Science Foundation (NSF)); University of Washington(University of Washington); Oticon Fonden; Niels Bohr Fondet; Karen Marie Louise Jensens Mindelegat; Hotelejer Anders Maansson og hustrus legat; Studenterhuset; Danish Geophysical Union</t>
  </si>
  <si>
    <t>We thank Antarctic Support Associates for field logistical support and J. Dibb for gross-beta accumulation-rate measurements. Reviewer O. Eisen and scientific editor R. Greve provided many helpful comments and suggestions. This work was supported by US National Science Foundation grants OPP-0440666 and OPP-9421644. H.C. Steen-Larsen thanks the following organizations for financial support during a six-month stay at University of Washington: Oticon Fonden; Niels Bohr Fondet; Karen Marie Louise Jensens Mindelegat; Hotelejer Anders Maansson og hustrus legat; Studenterhuset; and travel stipend from the Danish Geophysical Union.</t>
  </si>
  <si>
    <t>10.3189/002214310791968476</t>
  </si>
  <si>
    <t>WOS:000280258200014</t>
  </si>
  <si>
    <t>Hodson, A; Cameron, K; Boggild, C; Irvine-Fynn, T; Langford, H; Pearce, D; Banwart, S</t>
  </si>
  <si>
    <t>Hodson, Andy; Cameron, Karen; Boggild, Carl; Irvine-Fynn, Tristram; Langford, Harry; Pearce, Dave; Banwart, Steven</t>
  </si>
  <si>
    <t>The structure, biological activity and biogeochemistry of cryoconite aggregates upon an Arctic valley glacier: Longyearbreen, Svalbard</t>
  </si>
  <si>
    <t>SURFACE DUST; ANTARCTICA; HOLES; MELTWATER</t>
  </si>
  <si>
    <t>Glacier surfaces support unique microbial food webs dominated by organic and inorganic debris called 'cryoconite'. Observations from Longyearbreen, Spitsbergen, show how these aggregate particles can develop an internal structure following the cementation of mineral grains (mostly quartz and dolomite) by filamentous microorganisms. Measurements of carbon and dissolved O(2) show that these microorganisms, mostly cyanobacteria, promote significant rates of photosynthesis (average 231 mu gC g(-1) d(-1)) which assist aggregate growth by increasing the biomass and producing glue-like extracellular polymeric substances. The primary production takes place not only upon the surface of the aggregates but also just beneath, due to the translucence of the quartz particles. However, since total photosynthesis is matched by respiration (average 240 mu gC g(-1) d(-1)), primary production does not contribute directly to cryoconite accumulation upon the glacier surface. The microorganisms therefore influence the surface albedo most by cementing dark particles and organic debris together, rather than simply growing over it. Time-lapse photographs show that cryoconite is likely to reside upon the glacier for years as a result of this aggregation. These observations therefore show that a better understanding of the relationship between supraglacial debris and ablation upon glaciers requires an appreciation of the biological processes that take place during summer.</t>
  </si>
  <si>
    <t>[Hodson, Andy; Irvine-Fynn, Tristram; Langford, Harry] Univ Sheffield, Dept Geog, Sheffield S10 2TN, S Yorkshire, England; [Cameron, Karen] Univ Sheffield, Dept Anim &amp; Plant Sci, Sheffield S10 2TN, S Yorkshire, England; [Boggild, Carl] Univ Ctr Svalbard UNIS, NO-9171 Longyearbyen, Norway; [Langford, Harry; Banwart, Steven] Univ Sheffield, Kroto Res Inst, Sheffield S3 7HQ, S Yorkshire, England; [Pearce, Dave] British Antarctic Survey, Nat Environm Res Council, Cambridge CB3 0ET, England</t>
  </si>
  <si>
    <t>University of Sheffield; University of Sheffield; University Centre Svalbard (UNIS); University of Sheffield; UK Research &amp; Innovation (UKRI); Natural Environment Research Council (NERC); NERC British Antarctic Survey</t>
  </si>
  <si>
    <t>Hodson, A (corresponding author), Univ Sheffield, Dept Geog, Winter St, Sheffield S10 2TN, S Yorkshire, England.</t>
  </si>
  <si>
    <t>A.J.Hodson@Sheffield.ac.uk</t>
  </si>
  <si>
    <t>Banwart, Steven/B-3915-2016</t>
  </si>
  <si>
    <t>Banwart, Steven/0000-0001-7223-6678; Hodson, Andrew/0000-0002-1255-7987; Langford, Harry/0000-0003-4015-0452; Cameron, Karen/0000-0003-4658-4913; Pearce, David/0000-0001-5292-4596; Irvine-Fynn, Tristram/0000-0003-3157-6646</t>
  </si>
  <si>
    <t>Leverhulme Trust [RF/4/RFG/2007/0398]; NERC [bas0100025] Funding Source: UKRI; Engineering and Physical Sciences Research Council [GR/S72467/01] Funding Source: researchfish; Natural Environment Research Council [bas0100025] Funding Source: researchfish</t>
  </si>
  <si>
    <t>Leverhulme Trust(Leverhulme Trust);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</si>
  <si>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A.J.H. thanks the Leverhulme Trust for a Research Fellowship RF/4/RFG/2007/0398. We thank M.A. Jimenez, S. Coulson, M. Kristensen and R. Hermannsen for support in the field. A. Fountain, M. Stibal and N. Takeuchi are thanked for improving the manuscript.</t>
  </si>
  <si>
    <t>10.3189/002214310791968403</t>
  </si>
  <si>
    <t>WOS:000280258200017</t>
  </si>
  <si>
    <t>Calov, R; Greve, R; Abe-Ouchi, A; Bueler, E; Huybrechts, P; Johnson, JV; Pattyn, F; Pollard, D; Ritz, C; Saito, F; Tarasov, L</t>
  </si>
  <si>
    <t>Calov, Reinhard; Greve, Ralf; Abe-Ouchi, Ayako; Bueler, Ed; Huybrechts, Philippe; Johnson, Jesse V.; Pattyn, Frank; Pollard, David; Ritz, Catherine; Saito, Fuyuki; Tarasov, Lev</t>
  </si>
  <si>
    <t>Results from the Ice-Sheet Model Intercomparison Project-Heinrich Event INtercOmparison (ISMIP HEINO)</t>
  </si>
  <si>
    <t>CONTINUUM MIXTURE MODEL; ATLANTIC-OCEAN; HIGHER-ORDER; GREENLAND; STREAM; SENSITIVITY; FLOW; THERMOMECHANICS; DISCHARGES; HISTORY</t>
  </si>
  <si>
    <t>Results from the Heinrich Event INtercOmparison (HEINO) topic of the Ice-Sheet Model Intercomparison Project (ISMIP) are presented. ISMIP HEINO was designed to explore internal large-scale ice-sheet instabilities in different contemporary ice-sheet models. These instabilities are of interest because they are a possible cause of Heinrich events. A simplified geometry experiment reproduces the main characteristics of the Laurentide ice sheet, including the sedimented region over Hudson Bay and Hudson Strait. The model experiments include a standard run plus seven variations. Nine dynamic/thermodynamic ice-sheet models were investigated; one of these models contains a combination of the shallow-shelf (SSA) and shallow-ice approximation (SIA), while the remaining eight models are of SIA type only. Seven models, including the SIA-SSA model, exhibit oscillatory surges with a period of similar to 1000 years for a broad range of parameters, while two models remain in a permanent state of streaming for most parameter settings. In a number of models, the oscillations disappear for high surface temperatures, strong snowfall and small sediment sliding parameters. In turn, low surface temperatures and low snowfall are favourable for the ice-surge cycles. We conclude that further improvement of ice-sheet models is crucial for adequate, robust simulations of cyclic large-scale instabilities.</t>
  </si>
  <si>
    <t>[Calov, Reinhard] Potsdam Inst Climate Impact Res, D-14412 Potsdam, Germany; [Greve, Ralf] Hokkaido Univ, Inst Low Temp Sci, Kita Ku, Sapporo, Hokkaido 0600819, Japan; [Abe-Ouchi, Ayako] Univ Tokyo, Ctr Climate Syst Res, Chiba 2778568, Japan; [Bueler, Ed] Univ Alaska Fairbanks, Dept Math &amp; Stat, Fairbanks, AK 99775 USA; [Huybrechts, Philippe] Vrije Univ Brussel, Dept Geog, B-1050 Brussels, Belgium; [Johnson, Jesse V.] Univ Montana, Dept Comp Sci, Missoula, MT 59812 USA; [Pattyn, Frank] Univ Libre Bruxelles, Lab Glaciol, B-1050 Brussels, Belgium; [Pollard, David] Penn State Univ, EMS Earth &amp; Environm Syst Inst, University Pk, PA 16802 USA; [Ritz, Catherine] Univ Grenoble 1, Lab Glaciol &amp; Geophys Environm, CNRS, F-38402 St Martin Dheres, France; [Saito, Fuyuki] Japan Agcy Marine Earth Sci &amp; Technol, Kanazawa Ku, Kanagawa 2360001, Japan; [Tarasov, Lev] Mem Univ Newfoundland, Dept Phys &amp; Phys Oceanog, St John, NF A1B 3X7, Canada</t>
  </si>
  <si>
    <t>Potsdam Institut fur Klimafolgenforschung; Hokkaido University; University of Tokyo; University of Alaska System; University of Alaska Fairbanks; Vrije Universiteit Brussel; University of Montana System; University of Montana; Universite Libre de Bruxelles; Pennsylvania Commonwealth System of Higher Education (PCSHE); Pennsylvania State University; Pennsylvania State University - University Park; Communaute Universite Grenoble Alpes; Universite Grenoble Alpes (UGA); Centre National de la Recherche Scientifique (CNRS); Japan Agency for Marine-Earth Science &amp; Technology (JAMSTEC); Memorial University Newfoundland</t>
  </si>
  <si>
    <t>Calov, R (corresponding author), Potsdam Inst Climate Impact Res, POB 601203, D-14412 Potsdam, Germany.</t>
  </si>
  <si>
    <t>calov@pik-potsdam.de</t>
  </si>
  <si>
    <t>Pattyn, Frank/AAA-9640-2019; SAITO, Fuyuki/B-8776-2013; Abe-Ouchi, Ayako A/M-6359-2013; Greve, Ralf/G-2336-2010; Huybrechts, Philippe/J-5278-2013</t>
  </si>
  <si>
    <t>Pattyn, Frank/0000-0003-4805-5636; Abe-Ouchi, Ayako A/0000-0003-1745-5952; Johnson, Jesse/0000-0002-7387-6500; Greve, Ralf/0000-0002-1341-4777; Huybrechts, Philippe/0000-0003-1406-0525; Ritz, Catherine/0000-0003-0785-8571; SAITO, Fuyuki/0000-0001-5935-9614</t>
  </si>
  <si>
    <t>Scientific Committee on Antarctic Research</t>
  </si>
  <si>
    <t>ISMIP (Ice-Sheet Model Intercomparison Project) arose from the Numerical Experimentation Group of CliC (Climate and Cryosphere, a core project of the World Climate Research Programme co-sponsored by the Scientific Committee on Antarctic Research). Constructive reviews by O. Soucek and an anonymous reviewer resulted in improvements to the paper. The authors thank S. Dolaptchiev for producing a huge number of raw plots and S. Lubrich for assistance with creating plone-powered password-protected group space accounts for the HEINO results. R.C. thanks A. Ganopolski for many fruitful discussions on Heinrich events. R.G. thanks T. Dunse for clarifying remarks about surging and streaming. F.P. thanks C. Delcourt for her help with the model runs.</t>
  </si>
  <si>
    <t>10.3189/002214310792447789</t>
  </si>
  <si>
    <t>638WV</t>
  </si>
  <si>
    <t>Green Submitted, Bronze, Green Published</t>
  </si>
  <si>
    <t>WOS:000280930000001</t>
  </si>
  <si>
    <t>Iizuka, Y; Miura, H; Iwasaki, S; Maemoku, H; Sawagaki, T; Greve, R; Satake, H; Sasa, K; Matsushi, Y</t>
  </si>
  <si>
    <t>Iizuka, Yoshinori; Miura, Hideki; Iwasaki, Shogo; Maemoku, Hideaki; Sawagaki, Takanobu; Greve, Ralf; Satake, Hiroshi; Sasa, Kimikazu; Matsushi, Yuki</t>
  </si>
  <si>
    <t>Evidence of past migration of the ice divide between the Shirase and Soya drainage basins derived from chemical characteristics of the marginal ice in the Soya drainage basin, East Antarctica</t>
  </si>
  <si>
    <t>MASS-BALANCE; BASAL ICE; CLIMATE; GLACIERS; COAST; SHEET</t>
  </si>
  <si>
    <t>Ice originating near the inland ice divide of the ice sheet can reappear as marginal ice at the surface near the ice terminal in the ablation area. We have analyzed delta O-18 values and ion concentrations of the Skallen, Skarvsnes and Hamna terminal ice sections, located along the estuary line in the Soya drainage basin, East Antarctica. The data suggest that the upper part of the Skallen terminal ice section could have originated from inland precipitation on the Shirase drainage basin during marine isotope stage (MIS) 5e, while the upper part of Skarvsnes and Hamna terminal ice sections could have originated from inland precipitation on the Soya drainage basin. We calculate past elevation maps for the Antarctic ice sheet using the three-dimensional model, SICOPOLIS. This model suggests that the upstream portion of the Soya drainage basin during the glacial period (MIS 2, 3 or 4) was located to the northeast of its present location. A flow history is proposed wherein ice from the inland Shirase drainage area flowed over the present ice-divide line from the Shirase to the Soya drainage basin during the glacial period. The ice in the Soya drainage basin then flowed to the marginal part of the sheet after the ice divide had assumed its present position.</t>
  </si>
  <si>
    <t>[Iizuka, Yoshinori; Greve, Ralf] Hokkaido Univ, Inst Low Temp Sci, Sapporo, Hokkaido 0600819, Japan; [Miura, Hideki] Natl Inst Polar Res, Itabashi Ku, Tokyo 1738515, Japan; [Iwasaki, Shogo] Kitami Inst Technol, Management Sect Intellectual Property, Kitami, Hokkaido 0908507, Japan; [Maemoku, Hideaki] Hiroshima Univ, Grad Sch Educ, Higashihiroshima 7398524, Japan; [Sawagaki, Takanobu] Hokkaido Univ, Grad Sch Environm Sci, Sapporo, Hokkaido 0600810, Japan; [Satake, Hiroshi] Toyama Univ, Fac Sci, Toyama 9308555, Japan; [Sasa, Kimikazu] Univ Tsukuba, Inst Phys, Tsukuba, Ibaraki 3058577, Japan; [Matsushi, Yuki] Univ Tokyo, Micro Anal Lab, Tokyo 1130032, Japan</t>
  </si>
  <si>
    <t>Hokkaido University; Research Organization of Information &amp; Systems (ROIS); National Institute of Polar Research (NIPR) - Japan; Kitami Institute of Technology; Hiroshima University; Hokkaido University; University of Toyama; University of Tsukuba; University of Tokyo</t>
  </si>
  <si>
    <t>Iizuka, Y (corresponding author), Hokkaido Univ, Inst Low Temp Sci, Sapporo, Hokkaido 0600819, Japan.</t>
  </si>
  <si>
    <t>iizuka@lowtem.hokudai.ac.jp</t>
  </si>
  <si>
    <t>Sasa, Kimikazu/ITR-9279-2023; Sawagaki, Takanobu/C-7632-2012; Greve, Ralf/G-2336-2010; Iizuka, Yoshinori/D-9112-2012</t>
  </si>
  <si>
    <t>Sasa, Kimikazu/0000-0001-8705-886X; Greve, Ralf/0000-0002-1341-4777; Iizuka, Yoshinori/0000-0001-7241-6062</t>
  </si>
  <si>
    <t>Japan's Ministry of Education, Culture, Sports, Science and Technology (MEXT) [21710002]; Japan Society for the Promotion of Science (JSPS) [22244058]; Institute of Low Temperature Science (ILTS), Sapporo, Japan; Grants-in-Aid for Scientific Research [22244058, 21253001, 21710002, 21310004] Funding Source: KAKEN</t>
  </si>
  <si>
    <t>Japan's Ministry of Education, Culture, Sports, Science and Technology (MEXT)(Ministry of Education, Culture, Sports, Science and Technology, Japan (MEXT)); Japan Society for the Promotion of Science (JSPS)(Ministry of Education, Culture, Sports, Science and Technology, Japan (MEXT)Japan Society for the Promotion of Science); Institute of Low Temperature Science (ILTS), Sapporo, Japan; Grants-in-Aid for Scientific Research(Ministry of Education, Culture, Sports, Science and Technology, Japan (MEXT)Japan Society for the Promotion of ScienceGrants-in-Aid for Scientific Research (KAKENHI))</t>
  </si>
  <si>
    <t>We thank the Japanese Antarctic Research Expedition (JARE-35, -45 and -47) for sampling the terminal ice sections. The paper was significantly improved as a result of comments by V. Morgan and an anonymous referee, and by the Scientific Editor Wei Li Wang, to whom we are greatly indebted. This study was supported by Scientific Research (B) grant No. 21710002 provided by Japan's Ministry of Education, Culture, Sports, Science and Technology (MEXT) and the Japan Society for the Promotion of Science (JSPS). R. Greve was supported by a Grant-in-Aid for Scientific Research A (No. 22244058) from the JSPS and by a Category 2 research grant from the Institute of Low Temperature Science (ILTS), Sapporo, Japan.</t>
  </si>
  <si>
    <t>10.3189/002214310792447707</t>
  </si>
  <si>
    <t>WOS:000280930000003</t>
  </si>
  <si>
    <t>Brucker, L; Picard, G; Fily, M</t>
  </si>
  <si>
    <t>Brucker, Ludovic; Picard, Ghislain; Fily, Michel</t>
  </si>
  <si>
    <t>Snow grain-size profiles deduced from microwave snow emissivities in Antarctica</t>
  </si>
  <si>
    <t>RADIATIVE-TRANSFER THEORY; SURFACE MASS-BALANCE; QUASI-CRYSTALLINE APPROXIMATION; MODELING TIME-SERIES; ICE-SHEET SURFACE; BRIGHTNESS TEMPERATURES; DRY SNOW; COMPUTER-SIMULATION; PHYSICAL-PROPERTIES; EMISSION MODEL</t>
  </si>
  <si>
    <t>Spaceborne microwave radiometers are an attractive tool for observing Antarctic climate because their measurements are related to the snow temperature. However, the conversion from microwave emission to snow temperature is not simple and strongly depends on the emissivity through S snow properties. This difficulty in predicting the snow property profile for Antarctic conditions is the main bottleneck in the retrieval of accurate climate information from microwave radiometers. We attempt to explain the vertically polarized emissivity at 19.3 and 37 GHz derived from brightness temperatures acquired by the Special Sensor Microwave/Imager (SSM/I) and physical temperature from the ERA-40 re-analysis. In Antarctica the snow emissivities at 19.3 and 37 GHz are nearly equal although a decrease with frequency is expected. To explain this, we consider various profiles of snow grain size and density and predict their emissivity using a dense-medium radiative transfer (DMRT) model. The results show that the emissivities cannot be explained by constant profiles of grain size and density. Heterogeneous snowpacks need to be considered. We first test random variations of snow density and grain radius with depth and then monotonic and continuous variations in the snow grain radius. In both cases, we show that an overall increase of the snow grain radius with depth is required to match the observed emissivity in Antarctica. In addition, two parameters characterizing the snow grain profiles are retrieved and compared with (1) in situ measurements of grain size at various locations in East Antarctica, (2) grain size estimated using visible spaceborne radiometers and (3) a semi-empirical relationship for grain growth.</t>
  </si>
  <si>
    <t>[Brucker, Ludovic; Picard, Ghislain; Fily, Michel] Univ Grenoble 1, Lab Glaciol &amp; Geophys Environm, CNRS, F-38402 St Martin Dheres, France</t>
  </si>
  <si>
    <t>Communaute Universite Grenoble Alpes; Universite Grenoble Alpes (UGA); Centre National de la Recherche Scientifique (CNRS)</t>
  </si>
  <si>
    <t>Brucker, L (corresponding author), Univ Grenoble 1, Lab Glaciol &amp; Geophys Environm, CNRS, 54 Rue Moliere,BP 96, F-38402 St Martin Dheres, France.</t>
  </si>
  <si>
    <t>lbrucker@lgge.obs.ujf-grenoble.fr</t>
  </si>
  <si>
    <t>Brucker, Ludovic/ACJ-3763-2022; Brucker, Ludovic/A-8029-2010; Picard, Ghislain/D-4246-2013; Brucker, Ludovic/L-5412-2019</t>
  </si>
  <si>
    <t>Brucker, Ludovic/0000-0001-7102-8084; Picard, Ghislain/0000-0003-1475-5853;</t>
  </si>
  <si>
    <t>CNRS-CNES; Agence Nationale de la Recherche [ANR-07-VULN-013]; LEFE INSU-CNRS (NIEVE)</t>
  </si>
  <si>
    <t>CNRS-CNES(Centre National de la Recherche Scientifique (CNRS)Centre National D'etudes Spatiales); Agence Nationale de la Recherche(Agence Nationale de la Recherche (ANR)); LEFE INSU-CNRS (NIEVE)</t>
  </si>
  <si>
    <t>This work was funded by the French remote-sensing program, Programme National de Teledetection Spatial (CNRS-CNES), the ANR-07-VULN-013 VANISH project of the Agence Nationale de la Recherche and the LEFE INSU-CNRS (NIEVE) program. We thank H. Gallee and G. Krinner for providing the climate model data, C. Matzler for the MEMLS code and his reviewing work, and an anonymous referee.</t>
  </si>
  <si>
    <t>10.3189/002214310792447806</t>
  </si>
  <si>
    <t>WOS:000280930000012</t>
  </si>
  <si>
    <t>Arthern, RJ; Gudmundsson, GH</t>
  </si>
  <si>
    <t>Arthern, Robert J.; Gudmundsson, G. Hilmar</t>
  </si>
  <si>
    <t>Initialization of ice-sheet forecasts viewed as an inverse Robin problem</t>
  </si>
  <si>
    <t>BOUNDARY MEASUREMENTS; BASAL PROPERTIES; STREAM; ANTARCTICA; STRESSES; MOTION; MASS</t>
  </si>
  <si>
    <t>As simulations of 21st-century climate start to include components with longer timescales, such as ice sheets, the initial conditions for those components will become critical to the forecast. This paper describes an algorithm for specifying the initial state of an ice-sheet model, given spatially continuous observations of the surface elevation, the velocity at the surface and the thickness of the ice. The algorithm can be viewed as an inverse procedure to solve for the viscosity or the basal drag coefficient. It applies to incompressible Stokes flow over an impenetrable boundary, and is based upon techniques used in electric impedance tomography; in particular, the minimization of a type of cost function proposed by Kohn and Vogelius. The algorithm can be implemented numerically using only the forward solution of the Stokes equations, with no need to develop a separate adjoint model. The only requirement placed upon the numerical Stokes solver is that boundary conditions of Dirichlet, Neumann and Robin types can be implemented. As an illustrative example, the algorithm is applied to shear flow down an impenetrable inclined plane. A fully three-dimensional test case using a commercially available solver for the Stokes equations is also presented.</t>
  </si>
  <si>
    <t>[Arthern, Robert J.; Gudmundsson, G. Hilmar] British Antarctic Survey, NERC, Cambridge CB3 0ET, England</t>
  </si>
  <si>
    <t>Arthern, RJ (corresponding author), British Antarctic Survey, NERC, Madingley Rd, Cambridge CB3 0ET, England.</t>
  </si>
  <si>
    <t>rart@bas.ac.uk</t>
  </si>
  <si>
    <t>Gudmundsson, Gudmundur Hilmar/F-6499-2012; Gudmundsson, Gudmundur Hilmar/AAU-5987-2020</t>
  </si>
  <si>
    <t>We are grateful to two anonymous reviewers who each suggested a number of improvements. Funding was provided by the Natural Environment Research Council.</t>
  </si>
  <si>
    <t>10.3189/002214310792447699</t>
  </si>
  <si>
    <t>WOS:000280930000013</t>
  </si>
  <si>
    <t>Catania, G; Hulbe, C; Conway, H</t>
  </si>
  <si>
    <t>Catania, Ginny; Hulbe, Christina; Conway, Howard</t>
  </si>
  <si>
    <t>Grounding-line basal melt rates determined using radar-derived internal stratigraphy</t>
  </si>
  <si>
    <t>ANTARCTIC ICE-SHEET; OCEAN CIRCULATION BENEATH; PHASE-SENSITIVE RADAR; WEST ANTARCTICA; SAR INTERFEROMETRY; LASER ALTIMETRY; SIPLE DOME; ROSS SEA; SHELF; STREAM</t>
  </si>
  <si>
    <t>We use ice-penetrating radar data across grounding lines of Sip le Dome and Roosevelt Island, Antarctica, to measure the spatial pattern, magnitude and duration of sub-ice-shelf melting at these locations. Stratigraphic layers across the grounding line show, in places, a large-amplitude downwarp at, or slightly downstream of, the grounding line due to sub-ice-shelf basal melting. Localized downwarping indicates that melting is transient; melt rates, or the grounding line position, have changed within a few hundred years in order to produce the observed stratigraphy. Elsewhere, no melt-related stratigraphic signature is preserved. In part, heterogeneity in the amount of sub-ice-shelf melt is due to regional circulation patterns in the sub-shelf cavity, but local (on the order of tens of kilometers) heterogeneity in the melt pattern may reflect small differences in the shape of the ice-shelf base at the grounding line. We find that all of the grounding lines crossed have been in place for at most similar to 400 years.</t>
  </si>
  <si>
    <t>[Catania, Ginny] Univ Texas Austin, Inst Geophys, John A &amp; Katherine G Jackson Sch Geosci, Austin, TX 78758 USA; [Catania, Ginny] Univ Texas Austin, Dept Geol, Austin, TX 78713 USA; [Hulbe, Christina] Portland State Univ, Dept Geol, Portland, OR 97207 USA; [Conway, Howard] Univ Washington, Dept Earth &amp; Space Sci, Seattle, WA 98195 USA</t>
  </si>
  <si>
    <t>University of Texas System; University of Texas Austin; University of Texas System; University of Texas Austin; Portland State University; University of Washington; University of Washington Seattle</t>
  </si>
  <si>
    <t>Catania, G (corresponding author), Univ Texas Austin, Inst Geophys, John A &amp; Katherine G Jackson Sch Geosci, JJ Pickle Res Campus,Bldg 196,10100 Burnet Rd R22, Austin, TX 78758 USA.</t>
  </si>
  <si>
    <t>gcatania@ig.utexas.edu</t>
  </si>
  <si>
    <t>; Catania, Ginny/B-9787-2008</t>
  </si>
  <si>
    <t>Conway, Howard/0000-0003-4634-3474; Hulbe, Christina/0000-0003-4765-7037; Catania, Ginny/0000-0002-7561-5902</t>
  </si>
  <si>
    <t>US National Science Foundation (NSF) [OPP-0538120]; British Antarctic Survey; Center for Remote Sensing of Ice Sheets (CReSIS), University of Kansas</t>
  </si>
  <si>
    <t>US National Science Foundation (NSF)(National Science Foundation (NSF)); British Antarctic Survey; Center for Remote Sensing of Ice Sheets (CReSIS), University of Kansas</t>
  </si>
  <si>
    <t>This work was supported by US National Science Foundation (NSF) grant OPP-0538120 to Catania and Hulbe. We thank H. Corr of the British Antarctic Survey and P. Gogineni of the Center for Remote Sensing of Ice Sheets (CReSIS), University of Kansas, for the loan of critical radar equipment, and H. Henry, J. Greenbaum, A. Mironov, A. Lamb, K. Cruikshank and Raytheon Polar Services support staff for valuable assistance in the field. We also thank R.C.A. Hindmarsh and G. Leysinger Vieli for thorough reviews that greatly improved the quality of the manuscript.</t>
  </si>
  <si>
    <t>10.3189/002214310792447842</t>
  </si>
  <si>
    <t>WOS:000280930000015</t>
  </si>
  <si>
    <t>Jansen, D; Kulessa, B; Sammonds, PR; Luckman, A; King, EC; Glasser, NF</t>
  </si>
  <si>
    <t>Jansen, D.; Kulessa, B.; Sammonds, P. R.; Luckman, A.; King, E. C.; Glasser, N. F.</t>
  </si>
  <si>
    <t>Present stability of the Larsen C ice shelf, Antarctic Peninsula</t>
  </si>
  <si>
    <t>ASSIMILATION; FRACTURE; COLLAPSE; SYSTEM; MODEL</t>
  </si>
  <si>
    <t>We modelled the flow of the Larsen C and northernmost Larsen D ice shelves, Antarctic Peninsula, using a model of continuum mechanics of ice flow, and applied a fracture criterion to the simulated velocities to investigate the ice shelf's present-day stability. Constraints come from satellite data and geophysical measurements from the 2008/09 austral summer. Ice-shelf thickness was derived from BEDMAP and ICESat data, and the density-depth relationship was inferred from our in situ seismic reflection data. We obtained excellent agreements between modelled and measured ice-flow velocities, and inferred and observed distributions of rifts and crevasses. Residual discrepancies between regions of predicted fracture and observed crevasses are concentrated in zones where we assume a significant amount of marine ice and therefore altered mechanical properties in the ice column. This emphasizes the importance of these zones and shows that more data are needed to understand their influence on ice-shelf stability. Modelled flow velocities and the corresponding stress distribution indicate that the Larsen C ice shelf is stable at the moment. However, weakening of the elongated marine ice zones could lead to acceleration of the ice shelf due to decoupling from the slower parts in the northern inlets and south of Kenyon Peninsula, leading to a velocity distribution similar to that in the Larsen B ice shelf prior to its disintegration.</t>
  </si>
  <si>
    <t>[Jansen, D.; Kulessa, B.; Luckman, A.] Swansea Univ, Sch Environm &amp; Soc, Swansea SA2 8PP, W Glam, Wales; [Sammonds, P. R.] UCL, Dept Earth Sci, London WC1E 6BT, England; [King, E. C.] British Antarctic Survey, NERC, Cambridge CB3 0ET, England; [Glasser, N. F.] Aberystwyth Univ, Inst Geog &amp; Earth Sci, Aberystwyth SY23 3DB, Dyfed, Wales</t>
  </si>
  <si>
    <t>Swansea University; University of London; University College London; UK Research &amp; Innovation (UKRI); Natural Environment Research Council (NERC); NERC British Antarctic Survey; Aberystwyth University</t>
  </si>
  <si>
    <t>Jansen, D (corresponding author), Swansea Univ, Sch Environm &amp; Soc, Singleton Pk, Swansea SA2 8PP, W Glam, Wales.</t>
  </si>
  <si>
    <t>d.jansen@swansea.ac.uk</t>
  </si>
  <si>
    <t>Jansen, Daniela/AAG-2773-2019; Glasser, Neil F/C-1971-2012; Facility, NERC Geophysical Equipment/G-5260-2010; Luckman, Adrian/GVS-1716-2022</t>
  </si>
  <si>
    <t>Jansen, Daniela/0000-0002-4412-5820; Glasser, Neil/0000-0002-8245-2670; Luckman, Adrian/0000-0002-9618-5905; Kulessa, Bernd/0000-0002-4830-4949</t>
  </si>
  <si>
    <t>Natural Environment Research Council [NE/E012914/1, bas0100027, NE/E013414/1] Funding Source: researchfish; NERC [bas0100027, NE/E013414/1, NE/E012914/1] Funding Source: UKRI</t>
  </si>
  <si>
    <t>10.3189/002214310793146223</t>
  </si>
  <si>
    <t>665ID</t>
  </si>
  <si>
    <t>WOS:000283027700003</t>
  </si>
  <si>
    <t>Beem, LH; Jezek, KC; Van der Veen, CJ</t>
  </si>
  <si>
    <t>Beem, Lucas H.; Jezek, Ken C.; Van der Veen, C. J.</t>
  </si>
  <si>
    <t>Basal melt rates beneath Whillans Ice Stream, West Antarctica</t>
  </si>
  <si>
    <t>MARGIN; RADAR; DYNAMICS; MODEL; FLOW; TEMPERATURE; TRIBUTARIES; BALANCE; SYSTEM</t>
  </si>
  <si>
    <t>Basal water lubricates and enables the fast flow of the West Antarctic ice streams which exist under low gravitational driving stress. Identification of sources and rates of basal meltwater production can provide insight into the dynamics of ice streams and the subglacial hydrology, which remain insufficiently described by glaciological theory. Combining measurements and analytic modeling, we identify two regions where basal meltwater is produced beneath Whillans Ice Stream, West Antarctica. Downstream of the onset of shear crevasses, strong basal melt (20-50 mm a(-1)) is concentrated beneath the relatively narrow shear margins. Farther upstream, melt rates are consistently 3-7 mm a(-1) across the width of the ice stream. We show that the transition in melt-rate patterns is coincident with the onset of shear margin crevassing and streaming flow and related to the development of significant lateral shear resistance, which reorganizes the resistive stress regime and induces a concentration of basal resistance adjacent to the shear margin. Finally, we discuss how downstream freeze-on in the ice-stream center coupled with melt beneath the shear margin might result in a slowing but widening ice stream.</t>
  </si>
  <si>
    <t>[Beem, Lucas H.; Jezek, Ken C.] Ohio State Univ, Byrd Polar Res Ctr, Columbus, OH 43210 USA; [Van der Veen, C. J.] Univ Kansas, Ctr Remote Sensing Ice Sheets, Lawrence, KS 66045 USA; [Van der Veen, C. J.] Univ Kansas, Dept Geog, Lawrence, KS 66045 USA</t>
  </si>
  <si>
    <t>University System of Ohio; Ohio State University; University of Kansas; University of Kansas</t>
  </si>
  <si>
    <t>Beem, LH (corresponding author), Univ Calif Santa Cruz, 1156 High St, Santa Cruz, CA 95064 USA.</t>
  </si>
  <si>
    <t>lhbeem@gmail.com</t>
  </si>
  <si>
    <t>US National Science Foundation (NSF) Center for Remote Sensing of Ice Sheets [0424589]; Directorate For Geosciences; Office of Polar Programs (OPP) [0424589] Funding Source: National Science Foundation</t>
  </si>
  <si>
    <t>US National Science Foundation (NSF) Center for Remote Sensing of Ice Sheets(National Science Foundation (NSF)); Directorate For Geosciences; Office of Polar Programs (OPP)(National Science Foundation (NSF)NSF - Directorate for Geosciences (GEO))</t>
  </si>
  <si>
    <t>This research was supported by the US National Science Foundation (NSF) Center for Remote Sensing of Ice Sheets (NSF grant No. 0424589). We thank S. Anandakrishnan and an anonymous reviewer for their many helpful comments.</t>
  </si>
  <si>
    <t>10.3189/002214310793146241</t>
  </si>
  <si>
    <t>WOS:000283027700008</t>
  </si>
  <si>
    <t>Barrand, NE; James, TD; Murray, T</t>
  </si>
  <si>
    <t>Barrand, Nicholas E.; James, Timothy D.; Murray, Tavi</t>
  </si>
  <si>
    <t>Spatio-temporal variability in elevation changes of two high-Arctic valley glaciers</t>
  </si>
  <si>
    <t>SEA-LEVEL RISE; MASS-BALANCE; MIDRE-LOVENBREEN; GROUND-CONTROL; SURFACE CHANGE; SVALBARD; SPITSBERGEN; GEOMETRY; DRAINAGE; CLIMATE</t>
  </si>
  <si>
    <t>Uncertainties in estimates of glacier and ice-cap contribution to sea-level rise exist in part due to poor quantification of mass-balance errors, particularly those resulting from extrapolation of sparse measurements. Centre-line data are often assumed to be representative of the glacier as a whole, with little attention paid to extrapolation errors or their effect on mass-balance estimates. Here we present detailed digital elevation model (DEM) measurements of glacier-wide elevation changes over the last similar to 40 years at two glaciers on Svalbard, Norwegian Arctic. Austre Broggerbreen and Midtre Lovenbreen are shown to have lost 27.54 +/- 0.98 and 9.65 +/- 0.76 x 10(7) m(3) of ice, respectively, between 1966 and 2005, findings that we relate to trends in average summer air temperatures and winter accumulation. These volume losses correspond to geodetic balances of -0.58 +/- 0.03 and -0.41 +/- 0.03 m w.e.a(-1), respectively. Our analysis revealed high spatial complexity in patterns of elevation change, varying between glaciers, between measurement intervals and within and between elevation bins. Balances from extrapolated centre-line geodetic data were the same (within errors) as those from full-coverage DEM differencing in the majority of comparisons, yet significantly underestimated balance in three instances. Additionally, field mass balance from centre-line ablation stake data underestimated balances from full-coverage geodetic measurements during three of six measurement periods. These findings may support the hypothesis that field measurements underestimate Svalbard glacier mass loss, at least partly as a result of the failure of centre-line measurements to account for glacier-wide variations in ablation. Our results demonstrate the importance of deriving accurate interpolation functions and constraining extrapolation errors from sparse measurements.</t>
  </si>
  <si>
    <t>[Barrand, Nicholas E.] Univ Alberta, Dept Earth &amp; Atmospher Sci, Edmonton, AB T6G 2E3, Canada; [Barrand, Nicholas E.; James, Timothy D.; Murray, Tavi] Swansea Univ, Dept Geog, Swansea SA2 8PP, W Glam, Wales</t>
  </si>
  <si>
    <t>University of Alberta; Swansea University</t>
  </si>
  <si>
    <t>Barrand, NE (corresponding author), British Antarctic Survey, Nat Environm Res Council, Madingley Rd, Cambridge CB3 0ET, England.</t>
  </si>
  <si>
    <t>nirr1@bas.ac.uk</t>
  </si>
  <si>
    <t>Facility, NERC Geophysical Equipment/G-5260-2010; James, Timothy/C-9219-2013</t>
  </si>
  <si>
    <t>Murray, Tavi/0000-0001-6714-6512; James, Timothy/0000-0003-4082-7822; Barrand, Nicholas/0000-0003-4428-1863</t>
  </si>
  <si>
    <t>UK Natural Environment Research Council (NERC) [NER/S/A/2003/11279, NE/B505203/1]</t>
  </si>
  <si>
    <t>UK Natural Environment Research Council (NERC)(UK Research &amp; Innovation (UKRI)Natural Environment Research Council (NERC))</t>
  </si>
  <si>
    <t>This work was funded by UK Natural Environment Research Council (NERC) studentship NER/S/A/2003/11279 (awarded to N.E.B., held at the Universities of Leeds and Swansea) and NERC grant NE/B505203/1 (awarded to T.M.), and benefited from the efforts of the Airborne Research and Survey Facility. Lidar data were processed by the University of Cambridge Unit for Landscape Modelling, and SOCET SET (R) photogram-metric processing software was provided by BAE Systems. GPS equipment and training were provided by the NERC Geophysical Equipment Facility, and M. King (Newcastle University) provided assistance with GPS baseline processing. Field and logistical support at the NERC Arctic Research Station were provided by N. Cox, B. Barrett, S. Bevan, R. de Lange and T. Irvine-Fynn. Access and facilities at the NyAlesund geodetic observatory were provided by Statens Kart-verk. Mass-balance and weather-station datasets were kindly provided by J. Kohler, courtesy of the NPI and the Norwegian Meteorological Institute. We thank C. Nuth and D. Rippin for detailed reviews which improved the manuscript.</t>
  </si>
  <si>
    <t>10.3189/002214310794457362</t>
  </si>
  <si>
    <t>709AL</t>
  </si>
  <si>
    <t>WOS:000286407400003</t>
  </si>
  <si>
    <t>Ma, Y; Gagliardini, O; Ritz, C; Gillet-Chaulet, F; Durand, G; Montagnat, M</t>
  </si>
  <si>
    <t>Ma, Ying; Gagliardini, Olivier; Ritz, Catherine; Gillet-Chaulet, Fabien; Durand, Gael; Montagnat, Maurine</t>
  </si>
  <si>
    <t>Enhancement factors for grounded ice and ice shelves inferred from an anisotropic ice-flow model</t>
  </si>
  <si>
    <t>CENTRAL GREENLAND; EAST ANTARCTICA; SHEET FLOW; POLAR ICE; CORE; DIVIDE</t>
  </si>
  <si>
    <t>Polar ice is known to be one of the most anisotropic natural materials. For a given fabric the polycrystal viscous response is strongly dependent on the actual state of stress and strain rate. Within an ice sheet, grounded-ice parts and ice shelves have completely different stress regimes, so one should expect completely different impacts of ice anisotropy on the flow. The aim of this work is to quantify, through the concept of enhancement factors, the influence of ice anisotropy on the flow of grounded ice and ice shelves. For this purpose, a full-Stokes anisotropic marine ice-sheet flowline model is used to compare isotropic and anisotropic diagnostic velocity fields on a fixed geometry. From these full-Stokes results, we propose a definition of enhancement factors for grounded ice and ice shelves, coherent with the asymptotic models used for these regions. We then estimate realistic values for the enhancement factors induced by ice anisotropy for grounded ice and ice shelves.</t>
  </si>
  <si>
    <t>[Ma, Ying; Gagliardini, Olivier; Ritz, Catherine; Durand, Gael; Montagnat, Maurine] Univ Grenoble 1, CNRS, Lab Glaciol &amp; Geophys Environm, F-38402 St Martin Dheres, France; [Gillet-Chaulet, Fabien] British Antarctic Survey, NERC, Cambridge CB3 0ET, England</t>
  </si>
  <si>
    <t>Centre National de la Recherche Scientifique (CNRS); Communaute Universite Grenoble Alpes; Universite Grenoble Alpes (UGA); UK Research &amp; Innovation (UKRI); Natural Environment Research Council (NERC); NERC British Antarctic Survey</t>
  </si>
  <si>
    <t>Ma, Y (corresponding author), Univ Grenoble 1, CNRS, Lab Glaciol &amp; Geophys Environm, 54 Rue Moliere,BP 96, F-38402 St Martin Dheres, France.</t>
  </si>
  <si>
    <t>gagliar@lgge.obs.ujf-grenoble.fr</t>
  </si>
  <si>
    <t>Gagliardini, Olivier/GQQ-1222-2022; Montagnat, Maurine/N-6431-2014</t>
  </si>
  <si>
    <t>Gagliardini, Olivier/0000-0001-9162-3518; Ritz, Catherine/0000-0003-0785-8571</t>
  </si>
  <si>
    <t>Agence National de la Recherche (ANR), France; ice2sea project; European Commission [226375]; ANR; NERC [bas0100027] Funding Source: UKRI; Natural Environment Research Council [bas0100027] Funding Source: researchfish</t>
  </si>
  <si>
    <t>Agence National de la Recherche (ANR), France(Agence Nationale de la Recherche (ANR)); ice2sea project; European Commission(European Union (EU)European Commission Joint Research Centre); ANR(Agence Nationale de la Recherche (ANR)); NERC(UK Research &amp; Innovation (UKRI)Natural Environment Research Council (NERC)); Natural Environment Research Council(UK Research &amp; Innovation (UKRI)Natural Environment Research Council (NERC))</t>
  </si>
  <si>
    <t>This research is a part of the NEEM (North Eemian) project funded by the Agence National de la Recherche (ANR), France, and the ice2sea project. Y. Ma was funded by the ANR NEEM project. The ice2sea project is funded by the European Commission's 7th Framework Programme through grant No. 226375 (ice2sea manuscript No. 005). We appreciate helpful comments from E. Bueler, an anonymous reviewer and the scientific editor, R. Greve, who considerably improved the final quality of the paper.</t>
  </si>
  <si>
    <t>10.3189/002214310794457209</t>
  </si>
  <si>
    <t>WOS:000286407400006</t>
  </si>
  <si>
    <t>Treverrow, A; Warner, RC; Budd, WF; Craven, M</t>
  </si>
  <si>
    <t>Treverrow, Adam; Warner, Roland C.; Budd, William F.; Craven, Mike</t>
  </si>
  <si>
    <t>Meteoric and marine ice crystal orientation fabrics from the Amery Ice Shelf, East Antarctica</t>
  </si>
  <si>
    <t>FILCHNER-RONNE ICE; SIPLE-DOME; BASAL ICE; SHEET; BENEATH; SYSTEM; CORE; CIRCULATION; DEPOSITION; DYNAMICS</t>
  </si>
  <si>
    <t>The northwestern sector of the Amery Ice Shelf, East Antarctica, has a layered structure, due to the presence of both meteoric ice and a marine ice layer resulting from sub-shelf freezing processes. Crystal orientation fabric and grain-size data are presented for ice cores obtained from two boreholes similar to 70 km apart on approximately the same flowline. Multiple-maxima crystal orientation fabrics and large mean grain sizes in the meteoric ice are indicative of stress relaxation and subsequent grain growth in ice that has flowed into the Amery Ice Shelf. Strongly anisotropic single-maximum crystal orientation fabrics and rectangular textures near the base of the similar to 200 m thick marine ice layer suggest accretion occurs by the accumulation of frazil ice platelets. Crystal orientation fabrics in older marine ice exhibit vertical large circle girdle patterns, influenced by the complex stress configurations that exist towards the margins of the ice shelf. Post-accumulation grain growth and fabric development in the marine ice layer are restricted by a high concentration of brine and insoluble particulate inclusions. Differences in the meteoric and marine ice crystallography are indicative of the contrasting rheological properties of these layers, which must be considered in relation to large-scale ice-shelf dynamics.</t>
  </si>
  <si>
    <t>[Treverrow, Adam; Budd, William F.] Univ Tasmania, Inst Antarctic &amp; So Ocean Studies, Hobart, Tas 7004, Australia; [Treverrow, Adam; Warner, Roland C.; Budd, William F.; Craven, Mike] Univ Hobart, Antarctic Climate &amp; Ecosyst CRC, Hobart, Tas 7004, Australia; [Warner, Roland C.; Craven, Mike] Australian Antarctic Div, Kingston, Tas 7050, Australia</t>
  </si>
  <si>
    <t>University of Tasmania; University of Tasmania; Australian Antarctic Division</t>
  </si>
  <si>
    <t>Treverrow, A (corresponding author), Univ Tasmania, Inst Antarctic &amp; So Ocean Studies, Hobart, Tas 7004, Australia.</t>
  </si>
  <si>
    <t>adamt0@utas.edu.au</t>
  </si>
  <si>
    <t>Warner, Robert R./M-5342-2013; Warner, Roland Charles/ISS-2485-2023; Treverrow, Adam/J-7450-2014</t>
  </si>
  <si>
    <t>Warner, Roland Charles/0000-0002-9778-3544; Treverrow, Adam/0000-0003-4666-0488</t>
  </si>
  <si>
    <t>Australian Government Cooperative Research Centres Programme, through the Antarctic Climate and Ecosystems Cooperative Research Centre (ACE CRC); University of Tasmania</t>
  </si>
  <si>
    <t>Australian Government Cooperative Research Centres Programme, through the Antarctic Climate and Ecosystems Cooperative Research Centre (ACE CRC)(Australian GovernmentDepartment of Industry, Innovation and ScienceCooperative Research Centres (CRC) Programme); University of Tasmania</t>
  </si>
  <si>
    <t>We acknowledge the logistic support of the Australian Antarctic Division (AAD) and all those who have participated in and contributed to the AMISOR field program. This work is supported by the Australian Government Cooperative Research Centres Programme, through the Antarctic Climate and Ecosystems Cooperative Research Centre (ACE CRC). We thank I. Allison, J. Roberts, S. Faria and an anonymous reviewer for their constructive and detailed comments which helped improve the manuscript. A.T. was supported by an Australian Postgraduate Award at the University of Tasmania and the ACE CRC.</t>
  </si>
  <si>
    <t>10.3189/002214310794457353</t>
  </si>
  <si>
    <t>Bronze, Green Submitted, Green Accepted</t>
  </si>
  <si>
    <t>WOS:000286407400015</t>
  </si>
  <si>
    <t>Ohno, H; Lipenkov, VY; Hondoh, T</t>
  </si>
  <si>
    <t>Ohno, Hiroshi; Lipenkov, Vladimir Ya; Hondoh, Takeo</t>
  </si>
  <si>
    <t>Formation of air clathrate hydrates in polar ice sheets: heterogeneous nucleation induced by micro-inclusions</t>
  </si>
  <si>
    <t>DOME FUJI; ANTARCTIC ICE; CORE; TRANSFORMATION; CRYSTALS; BUBBLES; TEMPERATURE; STATION; ZONE</t>
  </si>
  <si>
    <t>To investigate factors influencing nucleation of air clathrate hydrates in polar ice sheets, we have performed high-resolution mapping of the distributions of soluble impurities, air bubbles and air-hydrate crystals versus depth in the Dome Fuji Antarctic ice. Significant correlation observed between the concentrations of air inclusions and impurities in ice along with frequent occurrence of impurities inside hydrate crystals suggest that micro-inclusions promote hydrate nucleation in the ice matrix. Our observations also show that the diffusive macroscopic-scale redistribution of air constituents in ice in the bubble-hydrate transition zone is controlled by the original sedimentary layering of soluble impurities acting as nucleation helpers. The results of this study are important for the correct interpretation of high-resolution gas analyses of ice cores and for better understanding the global bubble-to-hydrate transformation process in polar ice sheets.</t>
  </si>
  <si>
    <t>[Ohno, Hiroshi; Hondoh, Takeo] Hokkaido Univ, Inst Low Temp Sci, Sapporo, Hokkaido 0600819, Japan; [Lipenkov, Vladimir Ya] Arctic &amp; Antarctic Res Inst, St Petersburg 199397, Russia</t>
  </si>
  <si>
    <t>Hokkaido University; Arctic &amp; Antarctic Research Institute</t>
  </si>
  <si>
    <t>Ohno, H (corresponding author), Natl Inst Adv Ind Sci &amp; Technol, Methane Hydrate Res Lab, Sapporo, Hokkaido 0628517, Japan.</t>
  </si>
  <si>
    <t>hiroshi-ohno@aist.go.jp</t>
  </si>
  <si>
    <t>Ohno, Hiroshi/L-7899-2014; Lipenkov, Vladimir/Q-8262-2016; HONDOH, Takeo/E-7551-2011</t>
  </si>
  <si>
    <t>Lipenkov, Vladimir/0000-0003-4221-5440; HONDOH, Takeo/0000-0003-4129-022X</t>
  </si>
  <si>
    <t>10.3189/002214310794457317</t>
  </si>
  <si>
    <t>WOS:000286407400018</t>
  </si>
  <si>
    <t>Joughin, I; Smith, BE; Abdalati, W</t>
  </si>
  <si>
    <t>Joughin, Ian; Smith, Ben E.; Abdalati, Waleed</t>
  </si>
  <si>
    <t>Glaciological advances made with interferometric synthetic aperture radar</t>
  </si>
  <si>
    <t>RONNE ICE SHELF; PINE ISLAND GLACIER; ANTARCTIC MAPPING MISSION; BLACK RAPIDS GLACIER; HINGE-LINE MIGRATION; BASAL SHEAR-STRESS; WEST ANTARCTICA; MASS-BALANCE; EAST GREENLAND; FEATURE-TRACKING</t>
  </si>
  <si>
    <t>Spaceborne interferometric synthetic aperture radar (InSAR) techniques for measuring ice flow velocity and topography have developed rapidly over the last decade and a half, revolutionizing the study of ice dynamics. Spaceborne interferometry has contributed to major progress in many areas of glaciological study by: providing the first comprehensive measurements of ice-stream flow velocity over the major outlets of Greenland and Antarctica; revealing that ice-stream and outlet-glacier flow can change rapidly (months to years); improving understanding of several ice-sheet and ice-shelf processes; providing velocity for flux-gate based mass-balance assessment; mapping flow of mountain glaciers; and capturing the geomorphic traces of past ice flow. We review the basic technique development, the measurement characteristics, and the extensive set of results yielded by these measurements.</t>
  </si>
  <si>
    <t>[Joughin, Ian; Smith, Ben E.] Univ Washington, Appl Phys Lab, Polar Sci Ctr, Seattle, WA 98105 USA; [Abdalati, Waleed] Univ Colorado, Cooperat Inst Res Environm Sci, Earth Sci &amp; Observat Ctr, Boulder, CO 80309 USA; [Abdalati, Waleed] Univ Colorado, Dept Geog, Boulder, CO 80309 USA</t>
  </si>
  <si>
    <t>University of Washington; University of Washington Seattle; University of Colorado System; University of Colorado Boulder; University of Colorado System; University of Colorado Boulder</t>
  </si>
  <si>
    <t>Joughin, I (corresponding author), Univ Washington, Appl Phys Lab, Polar Sci Ctr, 1013 NE 40th St, Seattle, WA 98105 USA.</t>
  </si>
  <si>
    <t>ian@apl.washington.edu</t>
  </si>
  <si>
    <t>Joughin, Ian R/A-2998-2008; Joughin, Ian/AAR-7778-2021</t>
  </si>
  <si>
    <t>Joughin, Ian R/0000-0001-6229-679X; Joughin, Ian/0000-0001-6229-679X</t>
  </si>
  <si>
    <t>US National Science Foundation (NSF) [ANT-0636719, FY2011-025]; NASA [NNX09AE47G]; NASA [NNX09AE47G, 119983] Funding Source: Federal RePORTER</t>
  </si>
  <si>
    <t>US National Science Foundation (NSF)(National Science Foundation (NSF)); NASA(National Aeronautics &amp; Space Administration (NASA)); NASA(National Aeronautics &amp; Space Administration (NASA))</t>
  </si>
  <si>
    <t>The US National Science Foundation (NSF) funded the contributions by I.J. (ANT-0636719 and FY2011-025). The NASA Cryospheric Sciences Program funded B.S. (NNX09AE47G) and W.A. As the extensive reference list indicates, dozens of authors contributed to the results reviewed in this paper. We thank M. Maki for a careful proofreading of the manuscript. The final manuscript was improved by comments from H. Fricker (scientific editor), L. Gray and an anonymous reviewer.</t>
  </si>
  <si>
    <t>10.3189/002214311796406158</t>
  </si>
  <si>
    <t>818KP</t>
  </si>
  <si>
    <t>WOS:000294750900008</t>
  </si>
  <si>
    <t>Flowers, GE</t>
  </si>
  <si>
    <t>Flowers, Gwenn E.</t>
  </si>
  <si>
    <t>Glacier hydromechanics: early insights and the lasting legacy of three works by Iken and colleagues</t>
  </si>
  <si>
    <t>SUBGLACIAL WATER-PRESSURE; ANTARCTIC ICE STREAM; SHORT-TERM VELOCITY; LARGE TIDEWATER GLACIER; VARIEGATED GLACIER; WEST ANTARCTICA; JAKOBSHAVNS-ISBRAE; SURFACE VELOCITY; DRAINAGE SYSTEM; BASAL MOTION</t>
  </si>
  <si>
    <t>The association between basal hydrology and glacier sliding has become nearly synonymous with the early work of Almut Iken and colleagues. Their research published in the journal of Glaciology from 1981 to 1986 made an indelible impact on the study of glacier hydromechanics by documenting strong correlations between basal water pressure and short-term ice-flow variations. With a passion for elucidating the physics of glacier-bed processes, Iken herself made fundamental contributions to our theoretical and empirical understanding of the sliding process. From the theoretical bound on basal shear stress, to the inferences drawn from detailed horizontal and vertical velocity measurements, the work of Iken and colleagues continues to inform the interpretation of data from alpine glaciers and has found increasing relevance to observations from the ice sheets.</t>
  </si>
  <si>
    <t>Simon Fraser Univ, Dept Earth Sci, Burnaby, BC V5A 1S6, Canada</t>
  </si>
  <si>
    <t>Simon Fraser University</t>
  </si>
  <si>
    <t>Flowers, GE (corresponding author), Simon Fraser Univ, Dept Earth Sci, 8888 Univ Dr, Burnaby, BC V5A 1S6, Canada.</t>
  </si>
  <si>
    <t>gflowers@sfu.ca</t>
  </si>
  <si>
    <t>Natural Sciences and Engineering Research Council of Canada; Canada Research Chairs Program; Simon Fraser University</t>
  </si>
  <si>
    <t>Natural Sciences and Engineering Research Council of Canada(Natural Sciences and Engineering Research Council of Canada (NSERC)CGIAR); Canada Research Chairs Program(Canada Research Chairs); Simon Fraser University</t>
  </si>
  <si>
    <t>I am grateful for the opportunity to have contributed to this special issue of the Journal of Glaciology and to honour Almut Iken and colleagues for their work, which remains as relevant now as it was nearly three decades ago. Generous input from Atsumu Ohmura, Bob Bindschadler, Martin Funk, Martin Truffer and Martin Luthi, as well as from Almut Iken herself, is greatly appreciated. I am grateful to Ben Vautour for his bibliographical work, to several colleagues, including Mauro Werder, Martin Truffer and Martin Luthi, for feedback on an initial draft of the manuscript and to Robert Bingham for a meticulous review. Financial support came from the Natural Sciences and Engineering Research Council of Canada, the Canada Research Chairs Program and Simon Fraser University.</t>
  </si>
  <si>
    <t>10.3189/002214311796406103</t>
  </si>
  <si>
    <t>WOS:000294750900011</t>
  </si>
  <si>
    <t>Alley, RB</t>
  </si>
  <si>
    <t>Alley, Richard B.</t>
  </si>
  <si>
    <t>Reliability of ice-core science: historical insights</t>
  </si>
  <si>
    <t>ABRUPT CLIMATE-CHANGE; ATMOSPHERIC CO2; CENTRAL GREENLAND; ANTARCTIC ICE; AIR; GASES; TEMPERATURE; RECORD; FIRN; WATER</t>
  </si>
  <si>
    <t>Ice cores are remarkably faithful recorders of past climate, providing multiply duplicated reconstructions with small and quantifiable uncertainties. Ice-core reconstructions in general do not rely on assumed quantitative time-invariance of empirical calibrations between climate and sedimentary characteristics, but instead rely on assuming little more than the constancy of physical law over time. The history of some of the discoveries that allow these ice-core climatic reconstructions is instructive for students, citizens and policymakers. Much important ice-core science was published in the Journal of Glaciology and the Annals of Glaciology, with scientific impacts much larger than indicated by mere citation counts.</t>
  </si>
  <si>
    <t>[Alley, Richard B.] Penn State Univ, Dept Geosci, University Pk, PA 16802 USA; [Alley, Richard B.]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</si>
  <si>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</si>
  <si>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Alley, RB (corresponding author), Penn State Univ, Dept Geosci, 517 Deike Bldg, University Pk, PA 16802 USA.</t>
  </si>
  <si>
    <t>rba6@psu.edu</t>
  </si>
  <si>
    <t>US National Science Foundation [0539578, 0424589]</t>
  </si>
  <si>
    <t>US National Science Foundation(National Science Foundation (NSF))</t>
  </si>
  <si>
    <t>I thank Todd Sowers, Kurt Cuffey, Garry Clarke and Eric Wolff for helpful suggestions, and the US National Science Foundation for support under grants 0539578 and 0424589.</t>
  </si>
  <si>
    <t>10.3189/002214311796406130</t>
  </si>
  <si>
    <t>WOS:000294750900014</t>
  </si>
  <si>
    <t>Pritchard, HD; Luthcke, SB; Fleming, AH</t>
  </si>
  <si>
    <t>Pritchard, H. D.; Luthcke, S. B.; Fleming, A. H.</t>
  </si>
  <si>
    <t>Understanding ice-sheet mass balance: progress in satellite altimetry and gravimetry</t>
  </si>
  <si>
    <t>GREENLAND OUTLET GLACIERS; ANTARCTIC PENINSULA; RADAR INTERFEROMETRY; CLIMATE EXPERIMENT; GRAVITY RECOVERY; EAST GREENLAND; GRACE; SHELF; ACCELERATION; COLLAPSE</t>
  </si>
  <si>
    <t>Satellite remote sensing has come to dominate the measurement of glacier and ice-sheet change. Three independent methods now exist for assessing ice-sheet mass balance and we focus on progress in two: satellite altimetry (ICESat) and gravimetry (GRACE). With improved spatial and temporal sampling, and synergy with ice flow measurements, both the mechanisms and causes changing mass balance can be investigated. We present examples of mass losses due to widespread, intensifying glacier dynamic thinning in northwest Greenland, but local ablation rates in the northeast that are unchanged for decades. Advances in GRACE processing reveal Greenland net ice-sheet mass loss continuing into 2010, at 195 +/- 30 Gt a(-1). A similarly negative trend in the Gulf of Alaska has significant spatial and temporal variation, that highlights the importance of intense summer melting here. Strong summer melt on the Antarctic Peninsula also precipitated recent ice-shelf collapse and prompted rapid dynamic thinning of tributary glaciers at up to 70 m a(-1). Thinning continued for years to decades after collapse and propagated far inland. While understanding of the physical mechanisms of change continues to improve, estimates of future behaviour, and in particular the near-future glacial sea-level contribution, still rely on projections from such observations. We introduce the suite of new sensors that will monitor the ice sheets into the future.</t>
  </si>
  <si>
    <t>[Pritchard, H. D.; Fleming, A. H.] British Antarctic Survey, Nat Environm Res Council, Cambridge CB3 0ET, England; [Luthcke, S. B.] NASA, Goddard Space Flight Ctr, Planetary Geodynam Lab, Greenbelt, MD 20771 USA</t>
  </si>
  <si>
    <t>UK Research &amp; Innovation (UKRI); Natural Environment Research Council (NERC); NERC British Antarctic Survey; National Aeronautics &amp; Space Administration (NASA); NASA Goddard Space Flight Center</t>
  </si>
  <si>
    <t>Pritchard, HD (corresponding author), British Antarctic Survey, Nat Environm Res Council, Madingley Rd, Cambridge CB3 0ET, England.</t>
  </si>
  <si>
    <t>hprit@bas.ac.uk</t>
  </si>
  <si>
    <t>Luthcke, Scott B/D-6283-2012; Pritchard, Hamish Daniel/AAU-4696-2021</t>
  </si>
  <si>
    <t>Natural Environment Research Council [bas0100027] Funding Source: researchfish; NERC [bas0100027] Funding Source: UKRI</t>
  </si>
  <si>
    <t>10.3189/002214311796406194</t>
  </si>
  <si>
    <t>WOS:000294750900020</t>
  </si>
  <si>
    <t>Alfaro, P; López-Martínez, J; Maestro, A; Galindo-Zaldívar, J; Durán-Valsero, JJ; Cuchí, JA</t>
  </si>
  <si>
    <t>Alfaro, P.; Lopez-Martinez, J.; Maestro, A.; Galindo-Zaldivar, J.; Duran-Valsero, J. J.; Cuchi, J. A.</t>
  </si>
  <si>
    <t>Recent tectonic and morphostructural evolution of Byers Peninsula (Antarctica): insight into the development of the South Shetland Islands and Bransfield Basin</t>
  </si>
  <si>
    <t>JOURNAL OF IBERIAN GEOLOGY</t>
  </si>
  <si>
    <t>Antarctica; Byers Peninsula; mesostructural analysis; morphotectonics; paleostress; South Shetland Islands</t>
  </si>
  <si>
    <t>LIVINGSTON ISLAND; ACTIVE TECTONICS; DECEPTION ISLAND; HURD PENINSULA; STRATIGRAPHY; MARGIN</t>
  </si>
  <si>
    <t>Byers Peninsula forms the western extremity of the Livingston Island ( Antarctica) in the continental South Shetland Block. This tectonic block is bounded by the South Shetland Trench to the north, the Bransfield back-arc basin to the south, and extends to the South Scotia Ridge on the east. Westwards it is connected to the Antarctic Plate by a broad deformation zone located at the southern end of the Hero Fracture Zone. In Byers Peninsula we analyzed more than 1,200 lineaments, and 359 fault planes from 16 sites, both in sedimentary and intrusive igneous rocks. Statistical analysis of lineaments and mesoscopic fractures, with a length varying between 31 and 1,555 m, shows a NW-SE maximum trend, with two NE-SW and ENE-WSW secondary maximums. Fault orientation analysis shows similar trends suggesting that most of the lineaments correspond to fractures. Due to the absence of striated faults and the lack of kinematic evidence on the regime in most of the analyzed faults we have used the Search Grid paleostress determination method. The results obtained allow us to improve and complete the data on the recent evolution of the South Shetland Block. In this complex geodynamic setting, Byers Peninsula has been subjected to NNW-SSE to NNE-SSW extension related to Bransfield Basin opening and NE-SW and NW-SE local compressions respectively associated to Scotia-Antarctic plate convergence and the South Shetland Trench subduction.</t>
  </si>
  <si>
    <t>[Alfaro, P.] Univ Alicante, Dept Ciencias Tierra &amp; Medio Ambiente, E-03080 Alicante, Spain; [Lopez-Martinez, J.; Maestro, A.] Univ Autonoma Madrid, Dept Geol &amp; Geoquim, E-28049 Madrid, Spain; [Maestro, A.; Duran-Valsero, J. J.] Inst Geol &amp; Minero Espana, Madrid 28003, Spain; [Galindo-Zaldivar, J.] Univ Granada, Dept Geodinam, IACT, E-18071 Granada, Spain; [Cuchi, J. A.] Univ Zaragoza, Escuela Politecn Super Huesca, Huesca 22071, Spain</t>
  </si>
  <si>
    <t>Universitat d'Alacant; Autonomous University of Madrid; Consejo Superior de Investigaciones Cientificas (CSIC); CSIC - Instituto Andaluz de Ciencias de la Tierra (IACT); University of Granada; University of Zaragoza</t>
  </si>
  <si>
    <t>Alfaro, P (corresponding author), Univ Alicante, Dept Ciencias Tierra &amp; Medio Ambiente, Apdo 99, E-03080 Alicante, Spain.</t>
  </si>
  <si>
    <t>pedro.alfaro@ua.es; jeronimo.lopez@uam.es; a.maestro@igme.es; jgalindo@ugr.es; jj.duran@igme.es; cuchi@unizar.es</t>
  </si>
  <si>
    <t>Maestro, Adolfo/K-2434-2014; Maestro, Adolfo/ABG-7268-2021; Galindo-Zaldivar, Jesus/K-3640-2012; Durán, Juan Jose/L-4932-2014; Duran, Juan/GRZ-0839-2022; Lopez-Martinez, Jeronimo/C-5744-2011; ALFARO GARCIA, PEDRO/H-2038-2015</t>
  </si>
  <si>
    <t>Maestro, Adolfo/0000-0002-7474-725X; Galindo-Zaldivar, Jesus/0000-0002-3493-2637; Lopez-Martinez, Jeronimo/0000-0002-1750-8287; ALFARO GARCIA, PEDRO/0000-0002-2753-2969</t>
  </si>
  <si>
    <t>Spanish R &amp; D National Plan [REN2001-0643, CGL2005-03256, CGL2007-28812-E/ANT]</t>
  </si>
  <si>
    <t>Spanish R &amp; D National Plan</t>
  </si>
  <si>
    <t>Financial support for this work was provided by the research projects REN2001-0643, CGL2005-03256 and CGL2007-28812-E/ANT of the Spanish R &amp; D National Plan. The authors thank to the colleagues and logistic personnel that provided support for the field work. The cooperation of the Limnopolar project directed by Dr. A. Quesada is specially appreciated. We also thank Drs. Moratti and Arche for their useful comments.</t>
  </si>
  <si>
    <t>UNIV COMPLUTENSE MADRID</t>
  </si>
  <si>
    <t>SERVICIO PUBLICACIONES, CIUDAD UNIV, OBISPO TREJO 3, MADRID, 28040, SPAIN</t>
  </si>
  <si>
    <t>1698-6180</t>
  </si>
  <si>
    <t>J IBER GEOL</t>
  </si>
  <si>
    <t>J. Iber. Geol.</t>
  </si>
  <si>
    <t>578OW</t>
  </si>
  <si>
    <t>WOS:000276304100002</t>
  </si>
  <si>
    <t>McGaughran, A; Convey, P; Redding, GP; Stevens, MI</t>
  </si>
  <si>
    <t>McGaughran, A.; Convey, P.; Redding, G. P.; Stevens, M. I.</t>
  </si>
  <si>
    <t>Temporal and spatial metabolic rate variation in the Antarctic springtail Gomphiocephalus hodgsoni</t>
  </si>
  <si>
    <t>Collembola; Metabolic cold adaptation; Metabolism; Microclimate; Physiological variability; Polar</t>
  </si>
  <si>
    <t>CRYPTOPYGUS-ANTARCTICUS; DESICCATION RESISTANCE; TERRESTRIAL ISOPOD; PHYSIOLOGICAL ENERGETICS; CLIMATIC VARIABILITY; BELGICA-ANTARCTICA; COLD ADAPTATION; SOUTH GEORGIA; MARION ISLAND; VICTORIA LAND</t>
  </si>
  <si>
    <t>Spatial and temporal environmental variation in terrestrial Antarctic ecosystems are known to impact species strongly at a local scale, but the ways in which organisms respond (e.g. physiologically, behaviourally) to such variation are poorly understood. Further, very few studies have attempted to assess inter-annual variability of such responses. Building on previous work demonstrating intra-seasonal variation in standard metabolic rate in the springtail Gomphiocephalus hodgsoni, we investigated variation in metabolic activity of G. hodgsoni across two austral summer periods at Cape Bird, Ross Island. We also examined the influence of spatial variation by comparing metabolic rates of G. hodgsoni at Cape Bird with those from two other isolated continental locations within Victoria Land (Garwood and Taylor Valleys). We found significant differences between metabolic rates across the 2 years of measurement at Cape Bird. In addition, standard metabolic rates of G. hodgsoni obtained from Garwood and Taylor Valleys were significantly higher than those at Cape Bird where habitats are comparable, but environmental characteristics differ (e.g. microclimatic temperatures are higher). We discuss potential underlying causes of these metabolic rate variation patterns, including those related to differences among individuals (e.g. physiological and genetic differences), locations (e.g. habitat quality and microclimatic regime differences) and populations (e.g. acclimation differences among G. hodgsoni populations in the form of metabolic cold adaptation (MCA)). (C) 2009 Elsevier Ltd. All rights reserved.</t>
  </si>
  <si>
    <t>[McGaughran, A.] Massey Univ, Allan Wilson Ctr Mol Ecol &amp; Evolut, Palmerston North, New Zealand; [Convey, P.] British Antarctic Survey, NERC, Cambridge CB3 OET, England; [Redding, G. P.] Massey Univ, Inst Technol &amp; Engn, Palmerston North, New Zealand; [Stevens, M. I.] S Australian Museum, Adelaide, SA 5000, Australia; [Stevens, M. I.] Flinders Univ S Australia, Sch Biol Sci, Adelaide, SA 5001, Australia</t>
  </si>
  <si>
    <t>Massey University; UK Research &amp; Innovation (UKRI); Natural Environment Research Council (NERC); NERC British Antarctic Survey; Massey University; Flinders University South Australia</t>
  </si>
  <si>
    <t>McGaughran, Angela/C-5916-2014; Convey, Peter/AAV-5728-2020</t>
  </si>
  <si>
    <t>McGaughran, Angela/0000-0002-3429-8699; Convey, Peter/0000-0001-8497-9903</t>
  </si>
  <si>
    <t>Sir Robin Irvine Doctoral Scholarship; Top Achievers Doctoral Scholarship; NERC [bas0100025] Funding Source: UKRI; Natural Environment Research Council [bas0100025] Funding Source: researchfish</t>
  </si>
  <si>
    <t>Sir Robin Irvine Doctoral Scholarship; Top Achievers Doctoral Scholarship; NERC(UK Research &amp; Innovation (UKRI)Natural Environment Research Council (NERC)); Natural Environment Research Council(UK Research &amp; Innovation (UKRI)Natural Environment Research Council (NERC))</t>
  </si>
  <si>
    <t>The authors are grateful to David Denlinger and two anonymous referees for their helpful comments on an earlier version of this manuscript. AM is grateful to Ian Hogg (Waikato University) and Diana Wall and colleagues (Colorado State University), particularly Breana Simmons, for collection of springtails from Garwood and Taylor Valleys, respectively. AM was supported by a Sir Robin Irvine Doctoral Scholarship and a Top Achievers Doctoral Scholarship, and thanks Nico Grandona for constructing the respiration chamber. AM and PC are grateful to Antarctica New Zealand for logistical support. This paper forms a contribution to the BAS BIOFLAME and SCAR EBA research programmes.</t>
  </si>
  <si>
    <t>10.1016/j.jinsphys.2009.09.003</t>
  </si>
  <si>
    <t>547XZ</t>
  </si>
  <si>
    <t>WOS:000273924500008</t>
  </si>
  <si>
    <t>Borghini, F; Colacevich, A; Bargagli, R</t>
  </si>
  <si>
    <t>Borghini, Francesca; Colacevich, Andrea; Bargagli, Roberto</t>
  </si>
  <si>
    <t>A study of autotrophic communities in two Victoria Land lakes (Continental Antarctica) using photosynthetic pigments</t>
  </si>
  <si>
    <t>JOURNAL OF LIMNOLOGY</t>
  </si>
  <si>
    <t>Antarctic lakes; microbial mats; algal pigments; EPS</t>
  </si>
  <si>
    <t>MCMURDO ICE SHELF; MICROBIAL MATS; EXTRACELLULAR POLYSACCHARIDES; CYANOBACTERIA; UV; CHLOROPHYLL; ECOSYSTEMS; DIVERSITY; RADIATION; PONDS</t>
  </si>
  <si>
    <t>The composition of algal pigments and extracellular polymeric substances (EPS) was determined in microbial mats from two lakes in Victoria Land (Continental Antarctica) with different lithology and environmental features. The aim was to expand knowledge of benthic autotrophic communities in Antarctic lacustrine ecosystems, providing reference data for future assessment of possible changes in environmental conditions and freshwater communities. The results of chemical analyses were supported by microscopy observations. Pigment profiles showed that filamentous cyanobacteria are dominant in both lakes. Samples from the water body at Edmonson Point had greater biodiversity, fewer pigments and lower EPS ratios than those from the lake at Kar Plateau. Differences in mat composition and in pigment and EPS profile between the two lakes are discussed in terms of local environmental conditions such as lithology, ice-cover and UV radiation. The present study suggests that a chemical approach could be useful in the study of benthic communities in Antarctic lakes and their variations in space and time.</t>
  </si>
  <si>
    <t>[Borghini, Francesca; Colacevich, Andrea; Bargagli, Roberto] Univ Siena, Dept Environm Sci, I-53100 Siena, Italy</t>
  </si>
  <si>
    <t>University of Siena</t>
  </si>
  <si>
    <t>Borghini, F (corresponding author), Univ Siena, Dept Environm Sci, Via PA Mattioli 4, I-53100 Siena, Italy.</t>
  </si>
  <si>
    <t>borghini@unisi.it</t>
  </si>
  <si>
    <t>PAGEPRESS PUBL</t>
  </si>
  <si>
    <t>PAVIA</t>
  </si>
  <si>
    <t>MEDITGROUP, VIA G BELLI, 4, PAVIA, 27100, ITALY</t>
  </si>
  <si>
    <t>1129-5767</t>
  </si>
  <si>
    <t>1723-8633</t>
  </si>
  <si>
    <t>J LIMNOL</t>
  </si>
  <si>
    <t>J. Limnol.</t>
  </si>
  <si>
    <t>10.4081/jlimnol.2010.333</t>
  </si>
  <si>
    <t>663CD</t>
  </si>
  <si>
    <t>WOS:000282859700014</t>
  </si>
  <si>
    <t>Turdukulov, UD; Blok, CA; Köbben, B; Morales, J</t>
  </si>
  <si>
    <t>Turdukulov, Ulanbek D.; Blok, Connie A.; Kobben, Barend; Morales, Javier</t>
  </si>
  <si>
    <t>Challenges in data integration and interoperability in geovisual analytics</t>
  </si>
  <si>
    <t>JOURNAL OF LOCATION BASED SERVICES</t>
  </si>
  <si>
    <t>geovisual analytics; interoperability; spatio-temporal data integration; web services; Antarctic icebergs</t>
  </si>
  <si>
    <t>DYNAMICS; MOVEMENT</t>
  </si>
  <si>
    <t>Geographic information technologies are evolving from stand-alone systems to a distributed model of independent web services. In parallel, voluminous geographic data are being collected with modern data acquisition techniques such as remote sensing and personal navigation devices. There is an urgent need for effective and efficient methods to integrate and explore relationships between remote sensing and trajectory datasets. When it comes to integration, one would commonly rely on a conventional chain of GIS operations to match trajectory locations to grid values: download grid data, georeference, match each trajectory record to a corresponding image cell, perform overlay, extract cell values for a given location and time and compose values into a resulting table. If one has to deal with large and dynamic spatio-temporal data sets, this approach is clearly unmanageable. We propose an alternative approach: a four-layered system architecture that utilises web services for the integration of trajectory and remote sensing data. We demonstrate how this integration service can be embedded into distributed components for manipulation, analysis and visualisation of geospatial trajectories, using Antarctic iceberg trajectories and wind data as a case study. The prototype can be accessed on the web. Future research will include optimisation and integration of more variables extracted from grid data sets, but the main focus will be on extension of the analytical component by implementing more mechanisms to discover patterns in the integrated data set, and on better visualisation.</t>
  </si>
  <si>
    <t>[Turdukulov, Ulanbek D.; Blok, Connie A.; Kobben, Barend; Morales, Javier] Int Inst Geoinformat Sci &amp; Earth Observat ITC, Dept Geoinformat Proc, POB 6 Enschede, NL-7500 AA Enschede, Netherlands</t>
  </si>
  <si>
    <t>Köbben, B (corresponding author), Int Inst Geoinformat Sci &amp; Earth Observat ITC, Dept Geoinformat Proc, POB 6 Enschede, NL-7500 AA Enschede, Netherlands.</t>
  </si>
  <si>
    <t>kobben@itc.nl</t>
  </si>
  <si>
    <t>Blok, Connie A./A-3793-2010; Köbben, Barend/E-6696-2011; Turdukulov, Ulanbek/H-5617-2011</t>
  </si>
  <si>
    <t>Köbben, Barend/0000-0001-8804-9252; Turdukulov, Ulanbek/0000-0002-8551-497X</t>
  </si>
  <si>
    <t>1748-9725</t>
  </si>
  <si>
    <t>1748-9733</t>
  </si>
  <si>
    <t>J LOCAT BASED SERV</t>
  </si>
  <si>
    <t>J. Locat. Based Serv.</t>
  </si>
  <si>
    <t>10.1080/17489725.2010.532815</t>
  </si>
  <si>
    <t>Telecommunications</t>
  </si>
  <si>
    <t>V08CI</t>
  </si>
  <si>
    <t>WOS:000214053100003</t>
  </si>
  <si>
    <t>Lara, RJ; Alder, V; Franzosi, CA; Kattner, G</t>
  </si>
  <si>
    <t>Lara, Ruben J.; Alder, Viviana; Franzosi, Claudio A.; Kattner, Gerhard</t>
  </si>
  <si>
    <t>Characteristics of suspended particulate organic matter in the southwestern Atlantic: Influence of temperature, nutrient and phytoplankton features on the stable isotope signature</t>
  </si>
  <si>
    <t>Stable isotopes; Southwestern Atlantic; Seston; Nutrients; Plankton; Temperature</t>
  </si>
  <si>
    <t>ANTARCTIC CIRCUMPOLAR WAVE; MARINE-PHYTOPLANKTON; SOUTHERN-OCEAN; DIATOM GROWTH; NITROGEN; FRACTIONATION; CARBOXYLASE; RATIOS; IRON; ASSIMILATION</t>
  </si>
  <si>
    <t>Surface particulate organic matter (POM) along a transect from Subantarctic coastal waters on the Argentine shelf to the Bellingshausen Sea was characterized by its organic carbon (POC) and nitrogen (PON) content and delta C-13 and delta N-15 signatures in relation to sea surface water temperature (SST), nutrients and plankton. The correlation of delta C-13 with SST was highly significant for the entire transect but less obvious within Subantarctic shelf ecosystems. Stable isotopes of POM varied from delta C-13 similar to-12 parts per thousand and delta N-15-8 parts per thousand in Subantarctic shallow waters to delta C-13 similar to-32 parts per thousand and delta N-15 similar to-2 parts per thousand in the sector including the oceanic Subantarctic waters and the Antarctic region. In Argentine shelf waters delta C-13 was &gt;-24 parts per thousand (on average -20.9 parts per thousand) and more variable than in oceanic Subantarctic and Antarctic waters (average of -27.6 parts per thousand). High isotopic variability of POM in northern Argentine shelf waters is probably due to a pronounced nutrient gradient. There, a sharp delta C-13 decrease of ca. 12%. was associated to an increase of the silicate to nitrate (Si:N) ratio to values &gt;0.25, and an increase of siliceous phytoplankton. Further south, Si:N ratios &gt;1 did not significantly affect delta C-13, and the influence of the sea surface temperature (SST) was more evident. delta N-15 in POM of Argentine shelf waters averaged 6.3 +/- 2.4 parts per thousand, and the lowest delta N-15 values (-1.7 parts per thousand) occurred in the northern Drake Passage, where they build, together with delta C-13 around -27 parts per thousand, a clearly distinct pattern in the western South Atlantic. For the whole transect, SST alone accounted for 74% of the delta C-13 variability. A multiple regression including SST, ammonium and POC explained 83% of delta C-13 variance. The fit improvement by ammonium involved the nutrient-poor, regenerative system in the northernmost shallow sector and the Subantarctic shelf delta N-15 showed a strong inverse relationship with the fraction of unutilized nitrate, probably due to isotopic enrichment in the nitrate pool by phytoplankton uptake. (C) 2009 Elsevier B.V. All rights reserved.</t>
  </si>
  <si>
    <t>[Lara, Ruben J.] Ctr Trop Marine Ecol, D-28359 Bremen, Germany; [Alder, Viviana] Inst Antartico Argentino, Buenos Aires, DF, Argentina; [Alder, Viviana; Franzosi, Claudio A.] Univ Buenos Aires, Fac Ciencias Exactas &amp; Nat, Dept Ecol Genet &amp; Evoluc, Buenos Aires, DF, Argentina; [Alder, Viviana] Consejo Nacl Invest Cient &amp; Tecn, RA-1033 Buenos Aires, DF, Argentina; [Kattner, Gerhard] Alfred Wegener Inst Polar &amp; Marine Res, D-27570 Bremerhaven, Germany</t>
  </si>
  <si>
    <t>Leibniz Zentrum fur Marine Tropenforschung (ZMT); Instituto Antartico Argentino; University of Buenos Aires; Consejo Nacional de Investigaciones Cientificas y Tecnicas (CONICET); Helmholtz Association; Alfred Wegener Institute, Helmholtz Centre for Polar &amp; Marine Research</t>
  </si>
  <si>
    <t>Lara, RJ (corresponding author), Ctr Trop Marine Ecol, Fahrenheitstr 5, D-28359 Bremen, Germany.</t>
  </si>
  <si>
    <t>ruben.lara@zmt-bremen.de; viviana-alder@yahoo.com; claudiofranzosi@yahoo.com.ar; gerhard.kattner@awi.de</t>
  </si>
  <si>
    <t>Alder, Viviana A./0000-0002-7375-3279</t>
  </si>
  <si>
    <t>10.1016/j.jmarsys.2009.09.002</t>
  </si>
  <si>
    <t>532PH</t>
  </si>
  <si>
    <t>WOS:000272761400016</t>
  </si>
  <si>
    <t>Vasiliev, NI; Talalay, PG; Dmitriev, AN; Yankilevich, SV; Prokazov, AA; Lipenkov, VY</t>
  </si>
  <si>
    <t>Vasiliev, N. I.; Talalay, P. G.; Dmitriev, A. N.; Yankilevich, S. V.; Prokazov, A. A.; Lipenkov, V. Ya.</t>
  </si>
  <si>
    <t>DIRECTIONAL DRILLING IN ICE CAPS</t>
  </si>
  <si>
    <t>JOURNAL OF MINING INSTITUTE</t>
  </si>
  <si>
    <t>borehole; ice cap; directional drilling; deviation</t>
  </si>
  <si>
    <t>Directional drilling technology can be used in glacier boreholes to obtain additional ice cores and to pass over sticking drills. Experimental sidetracking of 5G-2 hole in the deep borehole at Vostok station, Antarctica, showed the high efficiency of the directional drilling without using of special whip-stocks to deviate the hole.</t>
  </si>
  <si>
    <t>[Vasiliev, N. I.; Talalay, P. G.; Dmitriev, A. N.; Yankilevich, S. V.; Prokazov, A. A.] Tech Univ, St Petersburg State Min Inst, St Petersburg, Russia; [Lipenkov, V. Ya.] GU Arctic &amp; Antarctic Res Inst, St Petersburg, Russia</t>
  </si>
  <si>
    <t>Saint Petersburg Mining University</t>
  </si>
  <si>
    <t>Vasiliev, NI (corresponding author), Tech Univ, St Petersburg State Min Inst, St Petersburg, Russia.</t>
  </si>
  <si>
    <t>vasilev_n@mail.ru; talalay@spmi.ru; andmitriev@spmi.ru; yalanka@mail.ru; aprokazov@spmi.ru; lipenkov@aari.nw.ru</t>
  </si>
  <si>
    <t>Talalay, Pavel/AAH-2908-2020</t>
  </si>
  <si>
    <t>Talalay, Pavel/0000-0002-8230-4600</t>
  </si>
  <si>
    <t>SAINT-PETERSBURG MINING UNIV</t>
  </si>
  <si>
    <t>SANKT-PETERSBURG</t>
  </si>
  <si>
    <t>SAINT-PETERSBURG MINING UNIV, SANKT-PETERSBURG, 00000, RUSSIA</t>
  </si>
  <si>
    <t>2411-3336</t>
  </si>
  <si>
    <t>2541-9404</t>
  </si>
  <si>
    <t>J MIN INST</t>
  </si>
  <si>
    <t>J. Min. Inst.</t>
  </si>
  <si>
    <t>Mining &amp; Mineral Processing</t>
  </si>
  <si>
    <t>VA2RX</t>
  </si>
  <si>
    <t>WOS:000409755900004</t>
  </si>
  <si>
    <t>Bradford-Grieve, JM; Ahyong, ST</t>
  </si>
  <si>
    <t>Bradford-Grieve, Janet M.; Ahyong, Shane T.</t>
  </si>
  <si>
    <t>Phylogenetic relationships among genera in the Calanidae (Crustacea: Copepoda) based on morphology</t>
  </si>
  <si>
    <t>JOURNAL OF NATURAL HISTORY</t>
  </si>
  <si>
    <t>Calanidae genera; phylogeny; morphology; homoplasy; Megacalanidae</t>
  </si>
  <si>
    <t>MOLECULAR PHYLOGENY; ANTARCTIC COPEPODS; CALANOIDES-ACUTUS; SEA; METABOLISM; STRATEGIES; EVOLUTION; ABUNDANCE; MYELIN; SPEED</t>
  </si>
  <si>
    <t>Cladistic analysis of Calanidae recovered two major clades: a tropical epipelagic clade composed of species without ontogenetic vertical migration (Canthocalanus + Cosmocalanus + Nannocalanus + Undinula); and a clade of ontogenetically migrating genera (Neocalanus + Calanoides + Calanus + Mesocalanus). The latter clade is least well supported although its Calanoides and Neocalanus lineages are well supported. Morphology-based topologies are largely congruent with published molecular trees, differing chiefly in the positions of Mesocalanus and Calanus. Independent homoplasious trends in character states in the male leg 5 include: reduction in segmentation and number of setae, increasing asymmetry as well as the probable retention of larval characteristics. The monophyly of Calanoides, Neocalanus and Calanus is well supported. It is postulated that Calanidae radiated during the mid to late Triassic from a bathypelagic megacalanid which was adapted to low oxygen conditions. High latitude locations may have been the first epipelagic environments to be recolonized.</t>
  </si>
  <si>
    <t>[Bradford-Grieve, Janet M.; Ahyong, Shane T.] Natl Inst Water &amp; Atmospher Res, Wellington 6241, New Zealand</t>
  </si>
  <si>
    <t>Bradford-Grieve, JM (corresponding author), Natl Inst Water &amp; Atmospher Res, POB 14901, Wellington 6241, New Zealand.</t>
  </si>
  <si>
    <t>j.grieve@niwa.co.nz</t>
  </si>
  <si>
    <t>Bradford-Grieve, Janet/0000-0002-3580-1217; Ahyong, Shane/0000-0002-2820-4158</t>
  </si>
  <si>
    <t>National Institute of Water and Atmospheric Research (NIWA); New Zealand Foundation for Research Science and Technology [CO01X0502]; NIWA</t>
  </si>
  <si>
    <t>National Institute of Water and Atmospheric Research (NIWA); New Zealand Foundation for Research Science and Technology(New Zealand Foundation for Research, Science and Technology); NIWA</t>
  </si>
  <si>
    <t>The authors particularly thank Dr Elena Markhaseva, Zoological Institute, St Petersberg, for her extremely thorough review of the manuscript which has considerably improved the final product. The support of the National Institute of Water and Atmospheric Research (NIWA) for the senior author, as an emeritus researcher, is acknowledged. This work is partially supported by the New Zealand Foundation for Research Science and Technology contract number CO01X0502 and the NIWA Capability Fund.</t>
  </si>
  <si>
    <t>0022-2933</t>
  </si>
  <si>
    <t>1464-5262</t>
  </si>
  <si>
    <t>J NAT HIST</t>
  </si>
  <si>
    <t>J. Nat. Hist.</t>
  </si>
  <si>
    <t>10.1080/00222930903359644</t>
  </si>
  <si>
    <t>Biodiversity Conservation; Ecology; Zoology</t>
  </si>
  <si>
    <t>Biodiversity &amp; Conservation; Environmental Sciences &amp; Ecology; Zoology</t>
  </si>
  <si>
    <t>556ZN</t>
  </si>
  <si>
    <t>WOS:000274636400002</t>
  </si>
  <si>
    <t>Zapata-Guardiola, R.; Lopez-Gonzalez, P. J.</t>
  </si>
  <si>
    <t>Designation of Thouarella abies Broch, 1965 as the type species of the subgenus Fannyella (Scyphogorgia) Cairns and Bayer, 2009, and description of a new genus for Stenella (Dasystenella) liouvillei Gravier, 1913 (Octocorallia: Primnoidae)</t>
  </si>
  <si>
    <t>Octocorallia; Primnoidae; Antarctica; Scopaegorgia; Scyphogorgia</t>
  </si>
  <si>
    <t>Recently the two Antarctic gorgonian species Stenella (Dasystenella) liouvillei Gravier, 1913 and Thouarella abies Broch, 1965 were synonymized and considered as Fannyella (Scyphogorgia) liouvillei. The re-examination of the type material of both species and newly collected specimens demonstrate that this synonym can no longer be considered valid. In the present study we propose, following the International Code of Zoological Nomenclature, to change the current type species of the subgenus Scyphogorgia, Stenella liouvillei, to Thouarella abies, the new combination being Fannyella (Scyphogorgia) abies. Furthermore we propose a new genus, Scopaegorgia, to accommodate Stenella liouvillei. Both species are completely re-described from the type material and the abundant specimens collected during some recent Antarctic cruises.</t>
  </si>
  <si>
    <t>[Zapata-Guardiola, R.; Lopez-Gonzalez, P. J.] Univ Seville, Dept Fisiol &amp; Zool, Fac Biol, E-41012 Seville, Spain</t>
  </si>
  <si>
    <t>Zapata-Guardiola, R (corresponding author), Univ Seville, Dept Fisiol &amp; Zool, Fac Biol, Avda Reina Mercedes 6, E-41012 Seville, Spain.</t>
  </si>
  <si>
    <t>rzapata@us.es</t>
  </si>
  <si>
    <t>Zapata-Guardiola, Rebeca/E-6310-2010; Lopez-González, Pablo J./Y-6440-2018</t>
  </si>
  <si>
    <t>Zapata-Guardiola, Rebeca/0000-0001-9106-3696; Lopez-González, Pablo J./0000-0002-7348-6270</t>
  </si>
  <si>
    <t>Spanish CICYT [POL2006-06399/CGL (ANT XXIII/8), ANT99-1608-E (EASIZ), REN2001-4269-E/ANT_(ANDEEP-I), REN2001-4929-E/ANT (LAMPOS), REN2003-04236 (BENDEX), CGL2004-20062-E (VLT-2004)]</t>
  </si>
  <si>
    <t>The authors would like to thank Aude Andouche (MNHN) and Ase Wilhelmsen (NHM) for lending museum specimens for examination and also for their good quality pictures of the colonies. We also acknowledge the valuable assistance of Miguel Angel Alonso Zarazaga (Museo Nacional de Ciencias Naturales, Madrid, Spain, CSIC) in the correct use of articles of the ICZN related to the designation of type species. Stephen Cairns (USNM) is thanked for valuable comments and discussions on the taxonomic placement of the species described here. We are grateful to the officers and crew of the R/V Polarstern and R/V Italica, and many colleagues on board during the ANT XXIII/8, EASIZ, ANDEEP-I, LAMPOS BENDEX and VLT-2004 cruises for their support and help. Special thanks to Stefano Schiaparelli and Anne-Nina Lorz for making available the material collected during the BIOROSS cruise in 2004 (R/V Tangaroa). Support for this study was provided by the Spanish CICYT projects - CLI-MANT - POL2006-06399/CGL (ANT XXIII/8), ANT99-1608-E (EASIZ), REN2001-4269-E/ANT_(ANDEEP-I), REN2001-4929-E/ANT (LAMPOS), REN2003-04236 (BENDEX) and CGL2004-20062-E (VLT-2004). Tony Krupa is thanked for reviewing the English version.</t>
  </si>
  <si>
    <t>33-34</t>
  </si>
  <si>
    <t>10.1080/00222933.2010.485739</t>
  </si>
  <si>
    <t>632SJ</t>
  </si>
  <si>
    <t>WOS:000280447800001</t>
  </si>
  <si>
    <t>Crandall, FB</t>
  </si>
  <si>
    <t>Crandall, Frank B.</t>
  </si>
  <si>
    <t>A new family of the Hoplonemertea: Cinclidonemertes mooreae fam., gen. et sp. nov. (Nemertea: Hoplonemertea)</t>
  </si>
  <si>
    <t>Cratenemertidae; Reptantia; Cinclidonemertes; cerebral organs; rhynchocoel wall; pre-cerebral septum; ocelli</t>
  </si>
  <si>
    <t>Recent morphological, cladistic and molecular phylogenetic studies suggest a strong relationship between Cratenemertidae and Reptantia. In contrast to other hoplonemerteans, these groups have complex cerebral organs located behind the pre-cerebral septum possessing both sensory and osac-typeo epithelial components in the canal structure and a robust single-layered rhynchocoel wall composed of interwoven circular and longitudinal muscle fibres. Four specimens collected by the US Antarctic Program, listed in an earlier cladistic study as oAntarctic Co, distinct from other Hoplonemertea and related to Cratenemertidae and Reptantia, are described herein as Cinclidonemertes mooreae fam., gen. et sp. nov. They have complex cerebral organs, with the same two types of canal epithelium, lying against the sides of the brain and extending below and behind it ventrally, a lattice-like rhynchocoel wall with partial interweaving, and four large shallow cup-shaped eyes with little pigment as opposed to the numerous heavily pigmented deep-cup ocelli of Cratenemertidae and Reptantia.</t>
  </si>
  <si>
    <t>Smithsonian Inst, US Natl Museum Nat Hist, Washington, DC 20013 USA</t>
  </si>
  <si>
    <t>Smithsonian Institution; Smithsonian National Museum of Natural History</t>
  </si>
  <si>
    <t>Crandall, FB (corresponding author), Smithsonian Inst, US Natl Museum Nat Hist, POB 37012 MRC 163, Washington, DC 20013 USA.</t>
  </si>
  <si>
    <t>crandalf@si.edu</t>
  </si>
  <si>
    <t>37-40</t>
  </si>
  <si>
    <t>PII 927271671</t>
  </si>
  <si>
    <t>10.1080/00222933.2010.508567</t>
  </si>
  <si>
    <t>654KW</t>
  </si>
  <si>
    <t>WOS:000282168200011</t>
  </si>
  <si>
    <t>de la Uz, S; Anadón, N; Crandall, FB</t>
  </si>
  <si>
    <t>de la Uz, Silvia; Anadon, Nuria; Crandall, Frank B.</t>
  </si>
  <si>
    <t>Redescription of Valdivianemertes valdiviae (Burger, 1909) (Nemertea: Hoplonemertea: Cratenemertidae) and designation of neotype</t>
  </si>
  <si>
    <t>Amphiporus valdiviae; Valdivianemertes valdiviae; Cratenemertidae; Antarctic; Bellingshausen Sea</t>
  </si>
  <si>
    <t>SYSTEMATICS; ANTARCTICA; ENOPLA; GENUS</t>
  </si>
  <si>
    <t>A century ago Burger described the species Drepanophorus valdiviae from a single specimen taken from 155m off the southern tip of Africa by the research vessel Valdivia during the German Deep Sea Expedition. Stiasny-Wijnhoff in 1923 transferred this species along with Amphiporus stannii (sensu Burger 1895) to a new genus Valdivianemertes but did not mention a family affiliation. In 1993 Crandall transferred this genus to the family Cratenemertidae. During the Spanish Antarctic Expedition BENTART 2003, carried out on board the RV Hesperides, we found one specimen identified with certainty as Valdivianemertes valdiviae, at 602m depth in the Bellingshausen Sea (Antarctica). As there is no extant holotype, we here redescribe this species from this new specimen and designate it the neotype of this species; photomicrographs of the different regions of the body and the proboscis structure are provided for the first time.</t>
  </si>
  <si>
    <t>[de la Uz, Silvia] Ctr Expt Pesquera Castropol, Asturias, Spain; [Anadon, Nuria] Univ Oviedo, Dept Biol Organismos &amp; Sistemas Zool, Oviedo, Spain; [Crandall, Frank B.] Smithsonian Inst, Natl Museum Nat Hist, Dept Invertebrate Zool, Washington, DC 20013 USA</t>
  </si>
  <si>
    <t>University of Oviedo; Smithsonian Institution; Smithsonian National Museum of Natural History</t>
  </si>
  <si>
    <t>nanadon@uniovi.es; crandalf@si.edu</t>
  </si>
  <si>
    <t>PII 927271823</t>
  </si>
  <si>
    <t>10.1080/00222933.2010.510251</t>
  </si>
  <si>
    <t>WOS:000282168200012</t>
  </si>
  <si>
    <t>Thomas, LN; Lee, CM; Yoshikawa, Y</t>
  </si>
  <si>
    <t>Thomas, Leif N.; Lee, Craig M.; Yoshikawa, Yutaka</t>
  </si>
  <si>
    <t>The Subpolar Front of the Japan/East Sea. Part II: Inverse Method for Determining the Frontal Vertical Circulation</t>
  </si>
  <si>
    <t>ANTARCTIC POLAR FRONT; POTENTIAL VORTICITY; 3-DIMENSIONAL CIRCULATION; INTENSIVE SURVEYS; AZORES FRONT; VELOCITY; PROPAGATION; ENERGY; DIAGNOSIS; SURFACE</t>
  </si>
  <si>
    <t>An inverse method for inferring vertical velocities from high-resolution hydrographic/velocity surveys is formulated and applied to observations collected at the subpolar front of the Japan/East Sea (JES) taken during several cold-air outbreaks. The method is distinct from vertical velocity inferences based on the omega equation in that the driving mechanism for the ageostrophic flow is inferred rather than assumed and hence is particularly appropriate for application to wind- or buoyancy-forced upper-ocean currents where friction, mixing, inertial/superinertial motions, or higher-order effects can contribute along with shear/strain of the geostrophic flow to force vertical motions. The inferred vertical circulation at the subpolar front of the JES has amplitudes O(100 m day(-1)) compared to the similar to 20 m day(-1) vertical velocities predicted by the omega equation. Time-dependent, near-inertial motions driven by the winds and modified by the vertical vorticity of the frontal jet appear to be the primary cause of the strong vertical motions. The strongest vertical motions are associated with submesoscale, O(5 km), frontal downdrafts that tend to align with the slanted isopycnal surfaces of the front and advect water with low salinity and high chlorophyll fluorescence down the dense side of the front.</t>
  </si>
  <si>
    <t>[Thomas, Leif N.] Stanford Univ, Dept Environm Earth Syst Sci, Stanford, CA 94305 USA; [Lee, Craig M.] Univ Washington, Appl Phys Lab, Seattle, WA 98105 USA; [Yoshikawa, Yutaka] Kyushu Univ, Appl Mech Res Inst, Kasuga, Fukuoka 816, Japan</t>
  </si>
  <si>
    <t>Stanford University; University of Washington; University of Washington Seattle; Kyushu University</t>
  </si>
  <si>
    <t>Thomas, LN (corresponding author), Stanford Univ, Dept Environm Earth Syst Sci, 473 Via Ortega,Y2E2 Bldg, Stanford, CA 94305 USA.</t>
  </si>
  <si>
    <t>leift@stanford.edu</t>
  </si>
  <si>
    <t>Yoshikawa, Yutaka/Q-9807-2019</t>
  </si>
  <si>
    <t>Yoshikawa, Yutaka/0000-0001-7149-5248</t>
  </si>
  <si>
    <t>10.1175/2009JPO4018.1</t>
  </si>
  <si>
    <t>547OP</t>
  </si>
  <si>
    <t>WOS:000273899200001</t>
  </si>
  <si>
    <t>Abernathey, R; Marshall, J; Mazloff, M; Shuckburgh, E</t>
  </si>
  <si>
    <t>Abernathey, Ryan; Marshall, John; Mazloff, Matt; Shuckburgh, Emily</t>
  </si>
  <si>
    <t>Enhancement of Mesoscale Eddy Stirring at Steering Levels in the Southern Ocean</t>
  </si>
  <si>
    <t>EULERIAN-MEAN THEORY; PART I; BAROCLINIC EQUILIBRATION; EFFECTIVE DIFFUSIVITY; GENERAL-CIRCULATION; MOMENTUM BALANCE; GULF-STREAM; TRANSPORT; BARRIER; EDDIES</t>
  </si>
  <si>
    <t>Meridional cross sections of effective diffusivity in the Southern Ocean are presented and discussed. The effective diffusivity, K-eff, characterizes the rate at which mesoscale eddies stir properties on interior isopycnal surfaces and laterally at the sea surface. The distributions are obtained by monitoring the rate at which eddies stir an idealized tracer whose initial distribution varies monotonically across the Antarctic Circumpolar Current (ACC). In the absence of observed maps of eddying currents in the interior ocean, the advecting velocity field is taken from an eddy-permitting state estimate of the Southern Ocean (SOSE). A three-dimensional advection-diffusion equation is solved and the diffusivity diagnosed by applying the Nakamura technique on both horizontal and isopycnal surfaces. The resulting meridional sections of K-eff reveal intensified isopycnal eddy stirring (reaching values of similar to 2000 m(2) s(-1)) in a layer deep beneath the ACC but rising toward the surface on the equatorward flank. Lower effective diffusivity values (similar to 500 m(2) s(-1)) are found near the surface where the mean flow of the ACC is strongest. It is argued that K-eff is enhanced in the vicinity of the steering level of baroclinic waves, which is deep along the axis of the ACC but shallows on the equatorial flank. Values of K-eff are also found to be spatially correlated with gradients of potential vorticity on isopycnal surfaces and are large where those gradients are weak and vice versa, as expected from simple dynamical arguments. Finally, implications of the spatial distributions of K-eff for the dynamics of the ACC and its overturning circulation are discussed.</t>
  </si>
  <si>
    <t>[Abernathey, Ryan; Marshall, John; Mazloff, Matt] MIT, Dept Earth Atmospher &amp; Planetary Sci, Cambridge, MA 02139 USA; [Shuckburgh, Emily] British Antarctic Survey, Cambridge CB3 0ET, England</t>
  </si>
  <si>
    <t>Massachusetts Institute of Technology (MIT); UK Research &amp; Innovation (UKRI); Natural Environment Research Council (NERC); NERC British Antarctic Survey</t>
  </si>
  <si>
    <t>Abernathey, R (corresponding author), MIT, Dept Earth Atmospher &amp; Planetary Sci, Room 54-1421,77 Massachusetts Ave, Cambridge, MA 02139 USA.</t>
  </si>
  <si>
    <t>rpa@mit.edu</t>
  </si>
  <si>
    <t>Mazloff, Matthew/AAG-6463-2019</t>
  </si>
  <si>
    <t>Mazloff, Matthew/0000-0002-1650-5850; Shuckburgh, Emily/0000-0001-9206-3444; Abernathey, Ryan/0000-0001-5999-4917</t>
  </si>
  <si>
    <t>National Science Foundation; Directorate For Geosciences; Office of Polar Programs (OPP) [0944519] Funding Source: National Science Foundation; Division Of Ocean Sciences; Directorate For Geosciences [0825376] Funding Source: National Science Foundation; Natural Environment Research Council [bas0100028, NE/D009642/1] Funding Source: researchfish; NERC [NE/D009642/1, bas0100028] Funding Source: UKRI</t>
  </si>
  <si>
    <t>National Science Foundation(National Science Foundation (NSF)); Directorate For Geosciences; Office of Polar Programs (OPP)(National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</si>
  <si>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Helen Hill provided crucial help with the numerical models. We also thank Raffaele Ferrari and Alan Plumb for their helpful feedback and guidance. Two anonymous reviewers greatly improved the manuscript with their suggestions. This study was supported by the Polar Programs division of the National Science Foundation.</t>
  </si>
  <si>
    <t>10.1175/2009JPO4201.1</t>
  </si>
  <si>
    <t>Green Submitted, Green Accepted, Bronze, Green Published</t>
  </si>
  <si>
    <t>WOS:000273899200010</t>
  </si>
  <si>
    <t>Finkel, ZV; Beardall, J; Flynn, KJ; Quigg, A; Rees, TAV; Raven, JA</t>
  </si>
  <si>
    <t>Finkel, Zoe V.; Beardall, John; Flynn, Kevin J.; Quigg, Antonietta; Rees, T. Alwyn V.; Raven, John A.</t>
  </si>
  <si>
    <t>Phytoplankton in a changing world: cell size and elemental stoichiometry</t>
  </si>
  <si>
    <t>JOURNAL OF PLANKTON RESEARCH</t>
  </si>
  <si>
    <t>C-N-P; GLOBAL CLIMATE-CHANGE; GROWTH-RATES; ANTARCTIC PHYTOPLANKTON; TAXONOMIC COMPOSITION; MARINE-PHYTOPLANKTON; EQUATORIAL PACIFIC; LIGHT-ABSORPTION; NUTRIENT-UPTAKE; MULTI-NUTRIENT</t>
  </si>
  <si>
    <t>Global increases in atmospheric CO2 and temperature are associated with changes in ocean chemistry and circulation, altering light and nutrient regimes. Resulting changes in phytoplankton community structure are expected to have a cascading effect on primary and export production, food web dynamics and the structure of the marine food web as well the biogeochemical cycling of carbon and bio-limiting elements in the sea. A review of current literature indicates cell size and elemental stoichiometry often respond predictably to abiotic conditions and follow biophysical rules that link environmental conditions to growth rates, and growth rates to food web interactions, and consequently to the biogeochemical cycling of elements. This suggests that cell size and elemental stoichiometry are promising ecophysiological traits for modelling and tracking changes in phytoplankton community structure in response to climate change. In turn, these changes are expected to have further impacts on phytoplankton community structure through as yet poorly understood secondary processes associated with trophic dynamics.</t>
  </si>
  <si>
    <t>[Finkel, Zoe V.] Mt Allison Univ, Environm Sci Program, Sackville, NB E4L 1G7, Canada; [Beardall, John] Monash Univ, Sch Biol Sci, Clayton, Vic 3800, Australia; [Flynn, Kevin J.] Univ Swansea, Inst Environm Sustainabil, Swansea SA2 8PP, W Glam, Wales; [Quigg, Antonietta] Texas A&amp;M Univ, Dept Marine Biol, Galveston, TX 77551 USA; [Quigg, Antonietta] Texas A&amp;M Univ, Dept Oceanog, College Stn, TX 77843 USA; [Rees, T. Alwyn V.] Univ Auckland, Leigh Marine Lab, Warkworth, New Zealand; [Raven, John A.] Univ Dundee, Scottish Crop Res Inst, Div Plant Sci, Dundee DD2 5DA, Scotland</t>
  </si>
  <si>
    <t>Mount Allison University; Monash University; Swansea University; Texas A&amp;M University System; Texas A&amp;M University System; Texas A&amp;M University College Station; University of Auckland; University of Dundee; James Hutton Institute</t>
  </si>
  <si>
    <t>Finkel, ZV (corresponding author), Mt Allison Univ, Environm Sci Program, Sackville, NB E4L 1G7, Canada.</t>
  </si>
  <si>
    <t>zfinkel@mta.ca</t>
  </si>
  <si>
    <t>Raven, John/JFS-3447-2023; Quigg, Antonietta S/A-9345-2010; Beardall, John/L-5262-2019; Flynn, Kevin/AAA-3253-2021; Finkel, Zoe/B-9626-2008</t>
  </si>
  <si>
    <t>Beardall, John/0000-0001-7684-446X; Flynn, Kevin/0000-0001-6913-5884; Finkel, Zoe/0000-0003-4212-3917</t>
  </si>
  <si>
    <t>Australian Research Council-New Zealand (ARC-NZ) Research Network on Vegetation Function; NSERC UFA</t>
  </si>
  <si>
    <t>Australian Research Council-New Zealand (ARC-NZ) Research Network on Vegetation Function(Australian Research Council); NSERC UFA</t>
  </si>
  <si>
    <t>This work is part of the Allometry and Stoichiometry in Aquatic Ecosystems Working Group 33 supported by the Australian Research Council-New Zealand (ARC-NZ) Research Network on Vegetation Function. Z. V. F. was supported by the NSERC UFA and Discovery programs.</t>
  </si>
  <si>
    <t>0142-7873</t>
  </si>
  <si>
    <t>1464-3774</t>
  </si>
  <si>
    <t>J PLANKTON RES</t>
  </si>
  <si>
    <t>J. Plankton Res.</t>
  </si>
  <si>
    <t>10.1093/plankt/fbp098</t>
  </si>
  <si>
    <t>528RV</t>
  </si>
  <si>
    <t>WOS:000272465300011</t>
  </si>
  <si>
    <t>Bentley, MJ</t>
  </si>
  <si>
    <t>Bentley, Michael J.</t>
  </si>
  <si>
    <t>The Antarctic palaeo record and its role in improving predictions of future Antarctic Ice Sheet change</t>
  </si>
  <si>
    <t>Antarctica; ice sheet; sea level; meltwater pulse; palaeoenvironmental change</t>
  </si>
  <si>
    <t>LAST GLACIAL MAXIMUM; SEA-LEVEL RISE; PLEISTOCENE COLLAPSE; GROUNDING-LINE; MASS-BALANCE; ISOSTATIC-ADJUSTMENT; EAST ANTARCTICA; MELTING HISTORY; EXPOSURE AGES; PENINSULA</t>
  </si>
  <si>
    <t>This paper reviews the ways in which the palaeo record of Antarctic Ice Sheet change can he used to improve understanding of contemporary ice sheet behaviour, and thus enhance predictions of future sea-level change. The main areas where the palaeo ice sheet record can contribute are understanding long-term ice sheet trajectory; providing data against which ice sheet models can be tested; to identify and understand the range and types of natural ice sheet behaviour; to balance the global water budget; to correct contemporary glaciological measurements of mass change; and to understand the relationship between polar ecosystems and the ice sheet. I review each in turn and argue that research priorities include understanding past West Antarctic Ice Sheet collapse and its timing; a focus on the palaeo record of rapid retreat events and how these unfolded in the geological past; improving the number and range of ice sheet reconstructions, particularly through the Holocene; continuing to investigate the potential for using sediments and landforms to parameterise basal conditions in ice sheet models; and understanding past East Antarctic Ice Sheet dynamics, particularly the evidence for partial deglaciation. Copyright (C) 2009 John Wiley &amp; Sons, Ltd.</t>
  </si>
  <si>
    <t>[Bentley, Michael J.] Univ Durham, Dept Geog, Durham DH1 3LE, England; [Bentley, Michael J.] British Antarctic Survey, Cambridge CB3 0ET, England</t>
  </si>
  <si>
    <t>Durham University; UK Research &amp; Innovation (UKRI); Natural Environment Research Council (NERC); NERC British Antarctic Survey</t>
  </si>
  <si>
    <t>Bentley, MJ (corresponding author), Univ Durham, Dept Geog, South Rd, Durham DH1 3LE, England.</t>
  </si>
  <si>
    <t>m.j.bentley@durham.ac.uk</t>
  </si>
  <si>
    <t>Bentley, Michael J/F-7386-2011</t>
  </si>
  <si>
    <t>Bentley, Michael J/0000-0002-2048-0019</t>
  </si>
  <si>
    <t>NERC [bas010018] Funding Source: UKRI; Natural Environment Research Council [NER/G/S/2003/00020, bas010018] Funding Source: researchfish</t>
  </si>
  <si>
    <t>10.1002/jqs.1287</t>
  </si>
  <si>
    <t>545YS</t>
  </si>
  <si>
    <t>WOS:000273773900002</t>
  </si>
  <si>
    <t>Gehrels, R</t>
  </si>
  <si>
    <t>Gehrels, Roland</t>
  </si>
  <si>
    <t>Sea-level changes since the Last Glacial Maximum: an appraisal of the IPCC Fourth Assessment Report</t>
  </si>
  <si>
    <t>Barbados; eustasy; glacial isostatic adjustment (GIA); Holocene; meltwater pulse 1a; Quaternary; sea-level variability; steric</t>
  </si>
  <si>
    <t>PAST 1,000 YEARS; ANTARCTIC ICE; HOLOCENE DEGLACIATION; SURFACE TEMPERATURE; MASS-BALANCE; RISE; HISTORY; SHEET; GREENLAND; ATLANTIC</t>
  </si>
  <si>
    <t>The IPCC Fourth Assessment Report (AR4) stated that global sea level rose by about 120 m between the Last Glacial Maximum (LGM) and 3-2 ka and did not rise again until the late 19th century. A review of relevant literature demonstrates that the rise may have been larger (by 10-15 m), that the timing of stabilisation is poorly constrained (within the last 7 ka BP), and that the onset of modern rates of sea-level rise is not synchronous and uniform across the globe. The LGM lowstand as defined in the AR4 is based on the 'classic' Barbados sea-level history, but the sea-level curve from this island may not be an accurate 'eustatic' approximation if glacial isostatic adjustment (GIA) processes were significant, as suggested by various authors. The Barbados sea-level curve revealed the existence of meltwater pulse (MWP) 1a at around 14000cal. a BP. Questions about the source and causal mechanism of MWP 1 a are still being explored by field scientists and CIA modellers. These problems have direct relevance for contemporary measurements of ice mass changes, because space geodetic measurements rely on information provided by GIA models to separate land motion from ice mass changes. Global patterns of Holocene sea-level change are controlled by regional sea-level variability, not only through isostatic and tectonic processes, but also through steric effects, longer-wavelength gravitational changes produced by changing ice-ocean bass flux and hemispheric-scale perturbations in the Earth's rotation. 'Eustasy' is therefore merely a concept, not a measurable quantity. Constraining the late Holocene ice melt contribution to global sea-level rise and determining regional sea-level rise patterns in the 18th and 19th centuries are important future tasks for sea-level scientists; these will establish the baseline contributions to 20th- and 21st-century sea-level rise and will help to determine the causes of modern rates of sea-level rise. Constraining historical sea-level accelerations and short-term ice-mass flux will aid models of ice-sheet dynamics and help to reduce current uncertainties in future sea-level predictions. The AR4 shows that regional sea-level variability is clearly present in sea-level change patterns for the past 50 a and an important challenge for the next IPCC assessment is to incorporate this variability into regional future sea-level rise scenarios. Copyright (C) 2009 John Wiley &amp; Sons, Ltd.</t>
  </si>
  <si>
    <t>Univ Plymouth, Sch Geog, Plymouth PL4 8AA, Devon, England</t>
  </si>
  <si>
    <t>University of Plymouth</t>
  </si>
  <si>
    <t>Gehrels, R (corresponding author), Univ Plymouth, Sch Geog, Plymouth PL4 8AA, Devon, England.</t>
  </si>
  <si>
    <t>wrgehrels@plymouth.ac.uk</t>
  </si>
  <si>
    <t>Gehrels, Roland/ABB-2625-2021</t>
  </si>
  <si>
    <t>NERC [NE/G003440/1, NRCF010001] Funding Source: UKRI; Natural Environment Research Council [NE/G003440/1, NRCF010001] Funding Source: researchfish</t>
  </si>
  <si>
    <t>10.1002/jqs.1273</t>
  </si>
  <si>
    <t>WOS:000273773900004</t>
  </si>
  <si>
    <t>Eijgelaar, E; Thaper, C; Peeters, P</t>
  </si>
  <si>
    <t>Eijgelaar, Eke; Thaper, Carla; Peeters, Paul</t>
  </si>
  <si>
    <t>Antarctic cruise tourism: the paradoxes of ambassadorship, olast chance tourismo and greenhouse gas emissions</t>
  </si>
  <si>
    <t>JOURNAL OF SUSTAINABLE TOURISM</t>
  </si>
  <si>
    <t>climate change; adaptation; emissions; environmental awareness; cruise tourism; last chance tourism</t>
  </si>
  <si>
    <t>CLIMATE-CHANGE; PERCEPTIONS; CHURCHILL; AVIATION; IMPACTS</t>
  </si>
  <si>
    <t>This paper examines a paradoxical issue in tourism's adaptation to climate change and emissions reduction demands. Operators increasingly take tourists to destinations threatened by climate change, with Antarctica and other polar regions as favourites and cruise ship and aircraft as main transport modes. The selling point is to see a destination before it disappears, a form of last chance tourism. This has been claimed to increase the environmental awareness of tourists and make them oambassadorso for conservation and the visited destination. Antarctic cruise ship passengers tripled from 2000 to 2007. The paper finds that high levels of greenhouse gas emissions are created by cruise ship tourists in general, and especially high levels for those visiting the Antarctic, up to approximately eight times higher per capita and per day than average international tourism trips. A survey found no evidence for the hypothesis that the trips develop greater environmental awareness, change attitudes or encourage more sustainable future travel choices. Of the Antarctic cruise passengers surveyed, 59% felt that their travel did not impact on climate change; fewer than 7% had or might offset their emissions. Alternative opportunities for visitation to glacial/polar destinations that comply with the desire to reduce future emissions are discussed.</t>
  </si>
  <si>
    <t>[Eijgelaar, Eke; Thaper, Carla; Peeters, Paul] NHTV Breda Univ Appl Sci, Ctr Sustainable Tourism &amp; Transport, Breda, Netherlands</t>
  </si>
  <si>
    <t>Breda University of Applied Sciences</t>
  </si>
  <si>
    <t>Eijgelaar, E (corresponding author), NHTV Breda Univ Appl Sci, Ctr Sustainable Tourism &amp; Transport, Breda, Netherlands.</t>
  </si>
  <si>
    <t>eijgelaar.e@nhtv.nl</t>
  </si>
  <si>
    <t>Peeters, Paul/E-5705-2019</t>
  </si>
  <si>
    <t>Peeters, Paul/0000-0002-2498-0635</t>
  </si>
  <si>
    <t>0966-9582</t>
  </si>
  <si>
    <t>1747-7646</t>
  </si>
  <si>
    <t>J SUSTAIN TOUR</t>
  </si>
  <si>
    <t>J. Sustain. Tour.</t>
  </si>
  <si>
    <t>PII 921019296</t>
  </si>
  <si>
    <t>10.1080/09669581003653534</t>
  </si>
  <si>
    <t>Green &amp; Sustainable Science &amp; Technology; Hospitality, Leisure, Sport &amp; Tourism</t>
  </si>
  <si>
    <t>Science &amp; Technology - Other Topics; Social Sciences - Other Topics</t>
  </si>
  <si>
    <t>595DQ</t>
  </si>
  <si>
    <t>WOS:000277591300004</t>
  </si>
  <si>
    <t>Guido, DM; Channing, A; Campbell, KA; Zamuner, A</t>
  </si>
  <si>
    <t>Guido, Diego M.; Channing, Alan; Campbell, Kathleen A.; Zamuner, Alba</t>
  </si>
  <si>
    <t>Jurassic geothermal landscapes and fossil ecosystems at San Agustin, Patagonia, Argentina</t>
  </si>
  <si>
    <t>THERMAL-SPRING DEPOSITS; EARLY LAND PLANTS; DRUMMOND BASIN; ANTARCTIC PENINSULA; NORTH-ISLAND; RHYNIE; QUEENSLAND; SYSTEM; LIFE; SILICIFICATION</t>
  </si>
  <si>
    <t>An extensive, well-preserved, Late Jurassic (c. 150 Ma) geothermal system at San Agustin farm in the Deseado Massif, Patagonia, Argentina, is described. This deposit, along with others previously known from the same region, partially fills a considerable gap between Cenozoic and scattered Palaeozoic hot spring localities reported worldwide. The San Agustin deposit is novel because it represents a large (1.4 km(2)) and nearly complete geothermal landscape. Siliceous hot spring facies, both subaerial and subaqueous, are exposed side by side in their original spatial and geological context, set amongst intrusive rhyolite denies and fluviolacustrine sediments. The Jurassic hot springs have preserved an entire local ecosystem containing microbes, arthropods, gastropods and plants exhibiting Lagerstatten-style preservation. Plant preservation, in particular, ranges from decayed litter, to seedling sprouts, and to dense stands in life orientation with intact anatomy. The San Agustin deposit shares some ecological, taphonomic and sedimentological characteristics with modem hot springs. As it formed in a pre-angiosperm world, it is akin to the famous hot spring-related Devonian Rhynie cherts of Scotland. It differs in having excellent exposure, and thus will probably contribute to a better understanding of biosignal preservation in extreme environments in the geological record.</t>
  </si>
  <si>
    <t>[Campbell, Kathleen A.] Univ Auckland, Sch Environm, Auckland 1142, New Zealand; [Guido, Diego M.] Natl Univ La Plata, CONICET, Inst Recursos Minerales, RA-1900 La Plata, Argentina; [Channing, Alan] Cardiff Univ, Sch Earth &amp; Ocean Sci, Cardiff CF10 3YE, S Glam, Wales; [Zamuner, Alba] Natl Univ La Plata, Fac Ciencias Nat &amp; Museo, Dept Paleobot, RA-1900 La Plata, Argentina</t>
  </si>
  <si>
    <t>University of Auckland; Consejo Nacional de Investigaciones Cientificas y Tecnicas (CONICET); National University of La Plata; Cardiff University; National University of La Plata; Museo La Plata</t>
  </si>
  <si>
    <t>Campbell, KA (corresponding author), Univ Auckland, Sch Environm, Private Bag 92019, Auckland 1142, New Zealand.</t>
  </si>
  <si>
    <t>ka.campbell@auckland.ac.nz</t>
  </si>
  <si>
    <t>channing, alan/B-2478-2010</t>
  </si>
  <si>
    <t>Campbell, Kathleen/0000-0002-4815-2519; channing, alan/0000-0002-1336-6744; Guido, Diego/0000-0003-4696-5644</t>
  </si>
  <si>
    <t>Marsden Fund Council; Royal Society of New Zealand; NERC [NE/F004788/1] Funding Source: UKRI; Natural Environment Research Council [NE/F004788/1] Funding Source: researchfish</t>
  </si>
  <si>
    <t>Marsden Fund Council(Royal Society of New ZealandMarsden Fund (NZ)); Royal Society of New Zealand(Royal Society of New Zealand); NERC(UK Research &amp; Innovation (UKRI)Natural Environment Research Council (NERC)); Natural Environment Research Council(UK Research &amp; Innovation (UKRI)Natural Environment Research Council (NERC))</t>
  </si>
  <si>
    <t>We thank the National Geographic Society; INREMI, UNLP and CONICET in Argentina; the Royal Society of London; R. Sims and L. Cotterall at the University of Auckland for technical assistance; and the Marsden Fund Council for government funding, administered by the Royal Society of New Zealand. D. Edwards and E. Jarzembowski are acknowledged for discussions on fossil plants and insects, respectively.</t>
  </si>
  <si>
    <t>10.1144/0016-76492009-109</t>
  </si>
  <si>
    <t>552RD</t>
  </si>
  <si>
    <t>WOS:000274310200003</t>
  </si>
  <si>
    <t>Asuka, J; Yamamoto, S; Asayama, S</t>
  </si>
  <si>
    <t>Asuka, Jusen; Yamamoto, Seiichiro; Asayama, Shinichiro</t>
  </si>
  <si>
    <t>Misunderstandings in Failure in Communicating an Environmental Issue Regarding Melting Ice in the Polar Regions and Change of Sea Level</t>
  </si>
  <si>
    <t>JOURNAL OF THE JAPAN INSTITUTE OF METALS</t>
  </si>
  <si>
    <t>environmental issue; climate change; global warming; polar region; Arctic; Antarctic; sea level; Inter-governmental Panel on Climate Change (IPCC)</t>
  </si>
  <si>
    <t>Endo et al. says that the sea level will be lower due to the ice in the polar region, and refers to the IPCC (Inter-governmental Panel on Climate Change) assessment reports as if these reports Would have supported the notion. The referred sections of IPCC reports, however, describe the effects of polar ice sheets of Antarctica and Greenland combined, and not ice in the polar region as Endo et at. says. The misinterpretations of these terms also lead to their unfounded and untenable criticism on the White Paper on the Environment published by the Ministry of the Environment, Japan.</t>
  </si>
  <si>
    <t>[Asuka, Jusen] Tohoku Univ, Ctr NE Asian Studies, Sendai, Miyagi 9808576, Japan; [Yamamoto, Seiichiro] Natl Inst Adv Ind Sci &amp; Technol, Geol Survey Japan, Tsukuba, Ibaraki 3058567, Japan; [Asayama, Shinichiro] Jiji Press Ltd, Tokyo 1048178, Japan</t>
  </si>
  <si>
    <t>Tohoku University; National Institute of Advanced Industrial Science &amp; Technology (AIST)</t>
  </si>
  <si>
    <t>Asuka, J (corresponding author), Tohoku Univ, Ctr NE Asian Studies, Sendai, Miyagi 9808576, Japan.</t>
  </si>
  <si>
    <t>JAPAN INST METALS</t>
  </si>
  <si>
    <t>SENDAI</t>
  </si>
  <si>
    <t>1-14-32, ICHIBANCHO, AOBA-KU, SENDAI, 980-8544, JAPAN</t>
  </si>
  <si>
    <t>0021-4876</t>
  </si>
  <si>
    <t>1880-6880</t>
  </si>
  <si>
    <t>J JPN I MET</t>
  </si>
  <si>
    <t>J. Jpn. Inst. Met.</t>
  </si>
  <si>
    <t>10.2320/jinstmet.74.61</t>
  </si>
  <si>
    <t>Metallurgy &amp; Metallurgical Engineering</t>
  </si>
  <si>
    <t>562SA</t>
  </si>
  <si>
    <t>WOS:000275072900010</t>
  </si>
  <si>
    <t>Kattel, GR; Augustinus, PC</t>
  </si>
  <si>
    <t>Kattel, G. R.; Augustinus, P. C.</t>
  </si>
  <si>
    <t>Biogeography and taxonomy of New Zealand Cladocera (Anomopoda, Chydoridae): a review</t>
  </si>
  <si>
    <t>JOURNAL OF THE ROYAL SOCIETY OF NEW ZEALAND</t>
  </si>
  <si>
    <t>biogeography; taxonomy; chydorid Cladocera; New Zealand</t>
  </si>
  <si>
    <t>SUB-ANTARCTIC ISLANDS; ZOOPLANKTON COMMUNITIES; CRUSTACEAN ZOOPLANKTON; SOUTHERN-HEMISPHERE; PLEUROXUS ANOMOPODA; SEASONAL ABUNDANCE; AQUATIC ORGANISMS; LAKE; GENUS; DIVERSITY</t>
  </si>
  <si>
    <t>Studies of the biogeography of Cladocera in New Zealand lakes are rare and only a few species of littoral chydorid Cladocera have been documented. Consequently, a number of issues relating to their taxonomy and systematics have yet to be resolved. The majority of chydorid Cladocera in the northern hemisphere have been given new names after a detailed investigation of their morphology and genetic variability. However, knowledge of their inter-hemispheric distribution is poor. It is likely that many species of chydorid Cladocera in the southern hemisphere, including in the New Zealand lakes, will show significant genetic variability from their northern hemisphere counterparts, although this has not yet been investigated. Here we review the taxonomy and biogeography of the New Zealand chydorid Cladocera. This is important when we consider the limited knowledge of New Zealand cladocerans and the consequent difficulties encountered by freshwater ecologists and paleolimnologists when using them to identify rapid environmental changes in the southern hemisphere.</t>
  </si>
  <si>
    <t>[Kattel, G. R.] Univ Ballarat, Sch Sci &amp; Engn, Ctr Environm Management, Ballarat, Vic 3353, Australia; [Kattel, G. R.; Augustinus, P. C.] Univ Auckland, Sch Geog Geol &amp; Environm Sci, Auckland 1, New Zealand</t>
  </si>
  <si>
    <t>Federation University Australia; University of Auckland</t>
  </si>
  <si>
    <t>Kattel, GR (corresponding author), Univ Ballarat, Sch Sci &amp; Engn, Ctr Environm Management, Ballarat, Vic 3353, Australia.</t>
  </si>
  <si>
    <t>giri.kattel@uclmail.net</t>
  </si>
  <si>
    <t>Augustinus, Paul/B-5125-2011; Kattel, Giri/AAV-3298-2020</t>
  </si>
  <si>
    <t>Kattel, Giri/0000-0002-8348-6477; Augustinus, Paul/0000-0002-1391-2151</t>
  </si>
  <si>
    <t>University of Auckland [3608532]</t>
  </si>
  <si>
    <t>We would like to acknowledge two anonymous reviewers. Their constructive suggestions were significant in improving the quality of this paper. We are also grateful to Marcus Vandergoes of GNS Science for providing surface sediment samples of South Island lakes, and the School of Environment at the University of Auckland, New Zealand, for provision of laboratory facilities and assistance. This work was supported by the University of Auckland Research Fund (3608532) Award to PCA.</t>
  </si>
  <si>
    <t>0303-6758</t>
  </si>
  <si>
    <t>1175-8899</t>
  </si>
  <si>
    <t>J ROY SOC NEW ZEAL</t>
  </si>
  <si>
    <t>J. R. Soc. N.Z.</t>
  </si>
  <si>
    <t>PII 931063910</t>
  </si>
  <si>
    <t>10.1080/03036758.2010.512626</t>
  </si>
  <si>
    <t>695DP</t>
  </si>
  <si>
    <t>WOS:000285351100003</t>
  </si>
  <si>
    <t>Doucet-Beaupré, H; Dubé, C; Breton, S; Pörtner, HO; Blier, PU</t>
  </si>
  <si>
    <t>Doucet-Beaupre, Helene; Dube, Caroline; Breton, Sophie; Poertner, Hans O.; Blier, Pierre U.</t>
  </si>
  <si>
    <t>Thermal sensitivity of metabolic enzymes in subarctic and temperate freshwater mussels (Bivalvia: Unionoida)</t>
  </si>
  <si>
    <t>JOURNAL OF THERMAL BIOLOGY</t>
  </si>
  <si>
    <t>Freshwater mussels; Pyganodon; Subarctic; Metabolism; Mitochondria; Enzymes; Thermal sensitivity; Antioxidant</t>
  </si>
  <si>
    <t>NADP(+)-DEPENDENT ISOCITRATE DEHYDROGENASE; LUGWORM ARENICOLA-MARINA; ANTARCTIC BIVALVE; SEASONAL ACCLIMATIZATION; EVOLUTIONARY ADAPTATION; DEPENDENT BIOGEOGRAPHY; MITOCHONDRIAL-FUNCTION; PHYSIOLOGICAL-BASIS; KINETIC-PROPERTIES; COLD ADAPTATION</t>
  </si>
  <si>
    <t>Temperature has a major impact oil the physiological processes of freshwater invertebrates. Despite the endangered status of many freshwater Mussel species and the potential effect of global warming on North America's northern aquatic habitats, thermal sensitivity of the metabolic apparatus of freshwater bivalves has received little attention. By examining the thermal sensitivity of 10 key metabolic enzymes and in situ growth rates of latitudinally separated populations (temperate and subarctic) of two closely-related Pyganodon species from northeastern North America, we provide the first insights into thermal sensitivity of key enzymes of energy and reactive oxygen species metabolism in relation to habitat localization and growth performance. The subarctic population of Pyganodon grandis displayed higher in situ growth rates than the temperate population of Pyganodon fragilis. The subarctic population of P. grandis had a lower mitochondrial capacity as expressed by citrate synthase and cytochrome c oxidase but displayed similar electron transport system (ETS) and higher isocitrate dehydrogenase capacities. Our results suggest that higher growth performance of the subarctic population of P. grandis is not associated with higher aerobic capacity. The high thermal sensitivity of mitochondrial enzymes in subarctic population of P. grandis might rather reflect enhanced stenothermy. The higher electron transport system/cytochrome c oxidase ratio for the subarctic P. grandis species than P. fragilis might affect mitochondrial regulation or reactive oxygen species production. Antioxidant enzymes displayed lower Q(10)s suggesting thermal independence of antioxidant capacity. (C) 2009 Elsevier Ltd. All rights reserved.</t>
  </si>
  <si>
    <t>[Doucet-Beaupre, Helene; Dube, Caroline; Blier, Pierre U.] Univ Quebec, Dept Biol, Lab Biol Evolut, Rimouski, PQ G5L 3A1, Canada; [Breton, Sophie] Kent State Univ, Dept Biol Sci, Kent, OH 44242 USA; [Poertner, Hans O.] Alfred Wegener Inst Polar &amp; Marine Res, D-27515 Bremerhaven, Germany</t>
  </si>
  <si>
    <t>University of Quebec; University System of Ohio; Kent State University; Kent State University Salem; Kent State University Kent; Helmholtz Association; Alfred Wegener Institute, Helmholtz Centre for Polar &amp; Marine Research</t>
  </si>
  <si>
    <t>Doucet-Beaupré, H (corresponding author), Univ Quebec, Dept Biol, Lab Biol Evolut, 300 Allee Ursulines, Rimouski, PQ G5L 3A1, Canada.</t>
  </si>
  <si>
    <t>helene.dbeaupre@cgocable.ca</t>
  </si>
  <si>
    <t>Breton, Sophie/U-9335-2019; Pörtner, Hans-O./K-9429-2016; Dubé, Caroline/AAD-9029-2019; Pörtner, Hans-O./ISU-9397-2023</t>
  </si>
  <si>
    <t>Breton, Sophie/0000-0002-8286-486X; Pörtner, Hans-O./0000-0001-6535-6575; Dubé, Caroline/0000-0002-8990-8597; Blier, Pierre/0000-0003-1881-2421</t>
  </si>
  <si>
    <t>National Sciences and Engineering Research Council (NSERC); Fonds Quebecois de la Recherche sur la Nature et les Technologies (FQRNT)</t>
  </si>
  <si>
    <t>National Sciences and Engineering Research Council (NSERC)(Natural Sciences and Engineering Research Council of Canada (NSERC)); Fonds Quebecois de la Recherche sur la Nature et les Technologies (FQRNT)(FQRNT)</t>
  </si>
  <si>
    <t>We thank Philippe Boucher for suggestions that improved this article. This work was supported by research grants from the National Sciences and Engineering Research Council (NSERC) to P.U. Blier. H. Doucet Beaupre and S. Breton were, respectively financially supported by NSERC scholarships and the Fonds Quebecois de la Recherche sur la Nature et les Technologies (FQRNT).</t>
  </si>
  <si>
    <t>0306-4565</t>
  </si>
  <si>
    <t>1879-0992</t>
  </si>
  <si>
    <t>J THERM BIOL</t>
  </si>
  <si>
    <t>J. Therm. Biol.</t>
  </si>
  <si>
    <t>10.1016/j.jtherbio.2009.10.002</t>
  </si>
  <si>
    <t>Biology; Zoology</t>
  </si>
  <si>
    <t>Life Sciences &amp; Biomedicine - Other Topics; Zoology</t>
  </si>
  <si>
    <t>559YE</t>
  </si>
  <si>
    <t>WOS:000274867400003</t>
  </si>
  <si>
    <t>Min, S; Qian, YF</t>
  </si>
  <si>
    <t>Min Shen; Qian Yong-fu</t>
  </si>
  <si>
    <t>THE RELATIONSHIP BETWEEN EXTREME PRECIPITATION ANOMALY IN SOUTH OF CHINA AND ATMOSPHERIC CIRCULATION IN THE SOUTHERN HEMISPHERE</t>
  </si>
  <si>
    <t>JOURNAL OF TROPICAL METEOROLOGY</t>
  </si>
  <si>
    <t>south of China; extreme precipitation; anomaly; Ross Sea-New Zealand</t>
  </si>
  <si>
    <t>INTERANNUAL VARIABILITY; ANTARCTIC OSCILLATION; SUMMER RAINFALL; YANGTZE</t>
  </si>
  <si>
    <t>Based on the daily rainfall datasets of 743 stations in China and the NCEP/NCAR monthly reanalysis data during the period of 1960-2003, the relationship between the anomalous extreme precipitation (EP) in the south of China and atmospheric circulation in the Southern Hemisphere is analyzed. The phenomenon of opposite changes in the sea level pressure and geopotential height anomalies over the Ross Sea and New Zealand is defined as RN, and the index which describes this phenomenon is expressed as RNI. The results show that the RN has barotropic structure and the RNI in May is closely related to the June EP amount in the south of China (SCEP) and the East Asian summer monsoon (EASM). The positive correlations between the May RNI at each level and the June SCEP are significant, and the related simultaneous correlations between the RNI and the June SCEP are also positive, suggesting that the potential impact of RN on the SCEP persists from May to June. Therefore, RN in May can be taken as one of the predictive factors for the June SCEP. Furthermore, one possible physical mechanism by which the RN affects the June SCEP is a barotropic meridional teleconnection emanating from the Southern Hemisphere to the western North Pacific.</t>
  </si>
  <si>
    <t>[Min Shen; Qian Yong-fu] Nanjing Univ, Inst Severe Weather &amp; Climate, Sch Atmospher Sci, Nanjing 210093, Peoples R China; [Min Shen] Chinese Acad Sci, State Key Lab Lake Sci &amp; Environm, Nanjing Inst Geog &amp; Limnol, Nanjing 210008, Peoples R China</t>
  </si>
  <si>
    <t>Nanjing University; Chinese Academy of Sciences; Nanjing Institute of Geography &amp; Limnology, CAS</t>
  </si>
  <si>
    <t>Qian, YF (corresponding author), Nanjing Univ, Inst Severe Weather &amp; Climate, Sch Atmospher Sci, Nanjing 210093, Peoples R China.</t>
  </si>
  <si>
    <t>qianzh2@nju.edu.cn</t>
  </si>
  <si>
    <t>National Basic Research Program of China [2004CB418300, 2010CB833406]; National Natural Science Foundation of China [40675042, 40890054, 40871007]</t>
  </si>
  <si>
    <t>National Basic Research Program of China(National Basic Research Program of China); National Natural Science Foundation of China(National Natural Science Foundation of China (NSFC))</t>
  </si>
  <si>
    <t>National Basic Research Program of China (2004CB418300, 2010CB833406) and National Natural Science Foundation of China (40675042, 40890054, 40871007)</t>
  </si>
  <si>
    <t>JOURNAL OF TROPICAL METEOROLOGICAL PRESS</t>
  </si>
  <si>
    <t>GUANGZHOU</t>
  </si>
  <si>
    <t>6 FU JIN RD, GUANGZHOU, 510080, PEOPLES R CHINA</t>
  </si>
  <si>
    <t>1006-8775</t>
  </si>
  <si>
    <t>J TROP METEOROL</t>
  </si>
  <si>
    <t>J. Trop. Meteorol.</t>
  </si>
  <si>
    <t>10.3969/j.issn.1006-8775.2010.01.005</t>
  </si>
  <si>
    <t>575QZ</t>
  </si>
  <si>
    <t>WOS:000276083900005</t>
  </si>
  <si>
    <t>Arratia, G; Hikuroa, DCH</t>
  </si>
  <si>
    <t>Arratia, Gloria; Hikuroa, Dan C. H.</t>
  </si>
  <si>
    <t>JURASSIC FISHES FROM THE LATADY GROUP, ANTARCTIC PENINSULA, AND THE OLDEST TELEOSTS FROM ANTARCTICA</t>
  </si>
  <si>
    <t>JOURNAL OF VERTEBRATE PALEONTOLOGY</t>
  </si>
  <si>
    <t>CROSSOGNATHIFORM FISHES; ELLSWORTH LAND; BIVALVES</t>
  </si>
  <si>
    <t>The few records of Jurassic fishes from Antarctica comprise several actinopterygians. Here we describe the first fish material recovered from the Latady Group, upper Middle to lower Upper Jurassic southern Antarctic Peninsulaone indeterminate actinopterygian and two teleosts, including a Leptolepidae indet. The content of the family Leptolepidae is revised and the assignment of Leptolepidae indet. to family level is based on three uniquely derived characters proposed here (vertebrae with thin and smooth autocentra; autocentra and chordacentra not constricting the notochord; and lack of cavities for adipose tissue in the walls of the autocentra). The new finding changes previous interpretations that Leptolepidae s. str. is a Northern Hemisphere family. The presence of Middle Jurassic leptolepids in Antarctica as well as in the Lower Jurassic of Chile, South America, supports the hypothesis that during Jurassic times more than one center of diversification of teleost fishes were operating in far distant regions of the world. Amongst the new material are the oldest marine teleosts (middle-late Callovian to early Kimmeridgian) recovered from Antarctica. They represent the most southern distribution of teleosts during the Jurassic.</t>
  </si>
  <si>
    <t>[Arratia, Gloria] Univ Kansas, Biodivers Res Ctr, Lawrence, KS 66045 USA; [Arratia, Gloria] Field Museum Nat Hist, Dept Geol, Chicago, IL 60605 USA; [Hikuroa, Dan C. H.] Univ Auckland, Sch Geog Geol &amp; Environm Sci, Auckland 1, New Zealand</t>
  </si>
  <si>
    <t>University of Kansas; Field Museum of Natural History (Chicago); University of Auckland</t>
  </si>
  <si>
    <t>Arratia, G (corresponding author), Univ Kansas, Biodivers Res Ctr, Lawrence, KS 66045 USA.</t>
  </si>
  <si>
    <t>garratia@ku.edu; d.hikuroa@auckland.ac.nz</t>
  </si>
  <si>
    <t>Hikuroa, Dan C/AAH-1230-2021</t>
  </si>
  <si>
    <t>Hikuroa, Daniel/0000-0002-7340-7106</t>
  </si>
  <si>
    <t>Foundation of Research, Science, and Technology; Te Mata o te Tau; Maniapoto Maori Trust Board; Te Riutoto Aihe Trust; British Antarctic Survey</t>
  </si>
  <si>
    <t>Field work in Antarctica of D. Hikuroa was supported by the British Antarctic Survey, and D. Hikuroa gratefully acknowledges funding from the Foundation of Research, Science, and Technology, Te Mata o te Tau, Maniapoto Maori Trust Board, and Te Riutoto Aihe Trust. P. Quilty (UTGD) made available the specimen from his 1965-66 field work. This paper contributes to the BAS science SPARC project. D. Hikuroa also thanks Phil Wickens for his help during fieldwork and BAS Field Operations and Air Unit for field support.</t>
  </si>
  <si>
    <t>0272-4634</t>
  </si>
  <si>
    <t>1937-2809</t>
  </si>
  <si>
    <t>J VERTEBR PALEONTOL</t>
  </si>
  <si>
    <t>J. Vertebr. Paleontol.</t>
  </si>
  <si>
    <t>PII 926984848</t>
  </si>
  <si>
    <t>10.1080/02724634.2010.501448</t>
  </si>
  <si>
    <t>650TH</t>
  </si>
  <si>
    <t>WOS:000281874900002</t>
  </si>
  <si>
    <t>Cabrol, NA; Grin, EA; Chong, G; Häder, DP; Minkley, E; Yu, Y; Demergasso, C; Gibson, JA; Lim, D</t>
  </si>
  <si>
    <t>Cabrol, NA; Grin, EA</t>
  </si>
  <si>
    <t>Cabrol, Nathalie A.; Grin, Edmond A.; Chong, Guillermo; Haeder, Donat P.; Minkley, Edwin; Yu, Youngseob; Demergasso, Cecilia; Gibson, John A.; Lim, Darlene</t>
  </si>
  <si>
    <t>Dynamics of declining lake habitat in changing climate</t>
  </si>
  <si>
    <t>LAKES ON MARS</t>
  </si>
  <si>
    <t>ANTARCTIC OZONE DEPLETION; ULTRAVIOLET-RADIATION; EARLY MARS; SOUTHERN-HEMISPHERE; MICROBIAL DIVERSITY; SULFATE REDUCTION; MERIDIANI-PLANUM; UV-RADIATION; SEDIMENTS; WATER</t>
  </si>
  <si>
    <t>[Cabrol, Nathalie A.; Grin, Edmond A.; Lim, Darlene] SETI CSC NASA Ames, Space Sci &amp; Astrobiol Div, Moffett Field, CA USA; [Chong, Guillermo] Ctr Invest Cient &amp; Tecnol Mineria CICITEM, Antofagasta, Chile; [Haeder, Donat P.] Univ Erlangen Nurnberg, Dept Bot, D-91054 Erlangen, Germany; [Minkley, Edwin] Carnegie Mellon Univ, Dept Biol Sci, Pittsburgh, PA 15213 USA; [Yu, Youngseob] Carnegie Mellon Univ, Dept Civil &amp; Environm Engn, Pittsburgh, PA 15213 USA; [Demergasso, Cecilia] Univ Catolica Norte, Ctr Biotecnol, Antofagasta, Chile; [Gibson, John A.] Univ Tasmania, Tasmanian Aquaculture &amp; Fisheries Inst, Marine Res Labs, Hobart, Tas, Australia</t>
  </si>
  <si>
    <t>National Aeronautics &amp; Space Administration (NASA); University of Erlangen Nuremberg; Carnegie Mellon University; Carnegie Mellon University; Universidad Catolica del Norte; University of Tasmania</t>
  </si>
  <si>
    <t>Cabrol, NA (corresponding author), SETI CSC NASA Ames, Space Sci &amp; Astrobiol Div, Moffett Field, CA USA.</t>
  </si>
  <si>
    <t>Demergasso, Cecilia/A-7392-2013</t>
  </si>
  <si>
    <t>Demergasso, Cecilia/0000-0003-4563-3066</t>
  </si>
  <si>
    <t>SARA BURGERHARTSTRAAT 25, PO BOX 211, 1000 AE AMSTERDAM, NETHERLANDS</t>
  </si>
  <si>
    <t>978-0-08-093162-3; 978-0-444-52854-4</t>
  </si>
  <si>
    <t>10.1016/B978-0-444-52854-4.00013-1</t>
  </si>
  <si>
    <t>Astronomy &amp; Astrophysics; Biology; Geosciences, Multidisciplinary</t>
  </si>
  <si>
    <t>Astronomy &amp; Astrophysics; Life Sciences &amp; Biomedicine - Other Topics; Geology</t>
  </si>
  <si>
    <t>BEM52</t>
  </si>
  <si>
    <t>WOS:000317360100015</t>
  </si>
  <si>
    <t>Retamal, MA; Moyano, HI</t>
  </si>
  <si>
    <t>Retamal, Marco A.; Moyano, Hugo I.</t>
  </si>
  <si>
    <t>Zoogeography of Chilean marine and freshwater decapod crustaceans</t>
  </si>
  <si>
    <t>LATIN AMERICAN JOURNAL OF AQUATIC RESEARCH</t>
  </si>
  <si>
    <t>zoogeography; decapod crustaceans; southeastern Pacific; Chile</t>
  </si>
  <si>
    <t>GOMEZ SUBMARINE RIDGES; BENTHIC MACROINVERTEBRATES; FAUNA; EXPEDITION; BRYOZOA; OUTPOST; NAZCA</t>
  </si>
  <si>
    <t>Using more than 200 genera and 431 species that comprise the 77 families of decapod crustaceans inhabiting Chilean waters, we attempted to reveal the underlying zoogeographical pattern of these taxa by comparing areas in terms of the number of shared species, genera, and families. To this end, the coasts and oceanic islands were divided into sixteen areas, encompassing most of the Nazca plate including Easter Island, Salas and Gomez Island, the Desventuradas Islands, and Juan Fernandez Archipelago, as well as the underwater mountains of Salas &amp; Gomez and Nazca (5 areas), the western coast of South America from Arica to Cape Horn (ca. 18 degrees S-56 degrees S; 10 areas), and the Antarctic peninsula and adjacent areas (1 area). The four resulting dendrograms coincided, showing six province: a) Chile-Peru (18 degrees-42 degrees S); b) Magellan (42 degrees-56 degrees S); c) Antarctica, including the Antarctic peninsula and the Scotia Arc archipelagos; d) Juan Fernandez Archipelago (33 degrees 40'S; 79 degrees 00'W), including the Desventuradas Islands (ca. 26 degrees 20'S, 80 degrees W); e) Easter Island (27 degrees 09'S, 109 degrees 25'S); and f) the underwater mountains of Salas &amp; Gomez and Nazca (ca. 25 degrees S; ca. 75 degrees W-100 degrees W). The dendrogram based exclusively on families inhabiting these diverse geographic areas identified two large clusters: the first encompassing the oceanic areas over the Nazca plate and the second the continental (10) and Antarctic (1) areas. In addition, decapod crustacean species of the southern tip of South America extend from the southeastern waters of the Pacific Ocean on one side of the Strait of Magellan to the southwestern waters of the Atlantic Ocean, reaching the Kerguelen Islands at the boundary of the Indian and Antarctic ocean.</t>
  </si>
  <si>
    <t>[Retamal, Marco A.] Univ Concepcion, Fac Ciencias Nat &amp; Oceanog, Dept Oceanog, Concepcion, Chile; [Moyano, Hugo I.] Univ Concepcion, Fac Ciencias Nat &amp; Oceanog, Dept Zool, Concepcion, Chile</t>
  </si>
  <si>
    <t>Universidad de Concepcion; Universidad de Concepcion</t>
  </si>
  <si>
    <t>Retamal, MA (corresponding author), Univ Concepcion, Fac Ciencias Nat &amp; Oceanog, Dept Oceanog, Casilla 160-C, Concepcion, Chile.</t>
  </si>
  <si>
    <t>marretam@udec.cl</t>
  </si>
  <si>
    <t>UNIV CATOLICA DE VALPARAISO</t>
  </si>
  <si>
    <t>VALPARAISO</t>
  </si>
  <si>
    <t>AV BRASIL 2950, PO BOX 4059, VALPARAISO, CHILE</t>
  </si>
  <si>
    <t>0718-560X</t>
  </si>
  <si>
    <t>0717-7178</t>
  </si>
  <si>
    <t>LAT AM J AQUAT RES</t>
  </si>
  <si>
    <t>Lat. Am. J. Aquat. Res.</t>
  </si>
  <si>
    <t>10.3856/vol38-issue3-fulltext-1</t>
  </si>
  <si>
    <t>715XI</t>
  </si>
  <si>
    <t>WOS:000286927900001</t>
  </si>
  <si>
    <t>Engelen, A; Convey, P; Ott, S</t>
  </si>
  <si>
    <t>Engelen, Andreas; Convey, Peter; Ott, Sieglinde</t>
  </si>
  <si>
    <t>Life history strategy of Lepraria borealis at an Antarctic inland site, Coal Nunatak</t>
  </si>
  <si>
    <t>LICHENOLOGIST</t>
  </si>
  <si>
    <t>lichen; photobionts; reproductive mode; selectivity</t>
  </si>
  <si>
    <t>PLANT-COMMUNITIES; ALGAL; LICHENS; STEREOCAULACEAE; CHLOROPHYTA; LECANORALES; SPECIFICITY; PHOTOBIONTS; SELECTIVITY; DIVERSITY</t>
  </si>
  <si>
    <t>Coal Nunatak is an ice-free inland nunatak located on southern Alexander Island, adjacent to the west coast of the Antarctic Peninsula. Situated close to the Antarctic continent, it is characterized by harsh environmental conditions. Macroscopic colonization is restricted to micro-niches offering suitable conditions for a small number of lichens and mosses. The extreme environmental conditions place particular pressures on colonizers. Lebraria borealis is the dominant crustose lichen species present on Coal Nunatak, and shows distinctive features in its life history strategy, in particular expressing unusually low selectivity of the mycobiont towards potential photobionts. To assess selectivity, we measured algal DNA sequence polymorphism in a region of 480-660 bp of the nuclear internal transcribed spacer region of ribosomal DNA. We identified three different photobiont species, belonging to two different genera. We interpret this strategy as being advantageous in facilitating the colonization and community dominance of L. borealis under the isolation and extreme environmental conditions of Coal Nunatak.</t>
  </si>
  <si>
    <t>[Engelen, Andreas; Ott, Sieglinde] Univ Dusseldorf, Inst Bot, D-40225 Dusseldorf, Germany; [Convey, Peter] British Antarctic Survey, NERC, Cambridge CB3 0ET, England</t>
  </si>
  <si>
    <t>Heinrich Heine University Dusseldorf; UK Research &amp; Innovation (UKRI); Natural Environment Research Council (NERC); NERC British Antarctic Survey</t>
  </si>
  <si>
    <t>Engelen, A (corresponding author), Univ Dusseldorf, Inst Bot, Univ Str 1, D-40225 Dusseldorf, Germany.</t>
  </si>
  <si>
    <t>otts@uni-duesseldorf.de</t>
  </si>
  <si>
    <t>Convey, Peter/AAV-5728-2020</t>
  </si>
  <si>
    <t>Deutsche Forschungsgemeinschaft (DEG) [0t96/10-1/2/3]; Dusseldorf Entrepreneurs Foundation; NERC [bas0100025] Funding Source: UKRI; Natural Environment Research Council [bas0100025] Funding Source: researchfish</t>
  </si>
  <si>
    <t>Deutsche Forschungsgemeinschaft (DEG)(German Research Foundation (DFG)); Dusseldorf Entrepreneurs Foundation; NERC(UK Research &amp; Innovation (UKRI)Natural Environment Research Council (NERC)); Natural Environment Research Council(UK Research &amp; Innovation (UKRI)Natural Environment Research Council (NERC))</t>
  </si>
  <si>
    <t>We thank the British Antarctic Survey for logistic support and for allowing access to the study site on Alexander Island, and also its staff at Rothera Research Station for their support. We especially thank the HAS field assistants, Neil Stevenson and Robin Jarvis, for their kind and invaluable technical support in the field. Thanks are due to Dag Ovstedal and Hannes Hertel for determination of the lichen species. This project was funded by a grant of the Deutsche Forschungsgemeinschaft (DEG) to SO (0t96/10-1/2/3) and the Dusseldorf Entrepreneurs Foundation to AE, and also forms an output of the HAS BIOFLAME and SCAR EBA scientific programmes. The authors also thank two anonymous reviewers for their comments on an earlier version of the manuscript.</t>
  </si>
  <si>
    <t>0024-2829</t>
  </si>
  <si>
    <t>Lichenologist</t>
  </si>
  <si>
    <t>10.1017/S0024282909990600</t>
  </si>
  <si>
    <t>Plant Sciences; Mycology</t>
  </si>
  <si>
    <t>596PO</t>
  </si>
  <si>
    <t>WOS:000277697500016</t>
  </si>
  <si>
    <t>Satish-Kumar, M; Hermann, J; Miyamoto, T; Osanai, Y</t>
  </si>
  <si>
    <t>Satish-Kumar, M.; Hermann, J.; Miyamoto, T.; Osanai, Y.</t>
  </si>
  <si>
    <t>Fingerprinting a multistage metamorphic fluid-rock history: Evidence from grain scale Sr, O and C isotopic and trace element variations in high-grade marbles from East Antarctica</t>
  </si>
  <si>
    <t>LITHOS</t>
  </si>
  <si>
    <t>Sr; O and C isotopes; REE chemistry; Marbles; Fluid infiltration; East Antarctica</t>
  </si>
  <si>
    <t>REYNOLDS RANGE GROUP; LUTZOW-HOLM COMPLEX; REGIONAL METAMORPHISM; CARBONATE ROCKS; OXYGEN; STRONTIUM; FLOW; CONSTRAINTS; CALCITE; FACIES</t>
  </si>
  <si>
    <t>Granulite grade marble layers interlayered with metapelitic granulites from Lutzow Holm Bay, East Antarctica, provide insight into fluid-rock interactions during burial to and exhumation from lower crustal levels. Sub-millimeter scale strontium, oxygen and carbon isotope variations along with LA-ICPMS trace element geochemistry and mineral chemistry of texturally characterized carbonates and associated minerals helped to reconstruct the multistage metamorphic fluid history. Fluid-rock interaction dating back to prograde metamorphism are still preserved in consistently low oxygen and high strontium isotope compositions (delta O-18 = 12%; Sr-87/Sr-86((550Ma)) = 0-7248) within a massif dolomitic marble layer that escaped significant later metasomatism. In most marbles, total re-crystallization and isotopic resetting occurred in the presence of externally derived hyper-saline fluids that circulated along the carbonate layers during the early stages of prograde metamorphism. This leads to a trend of increased radiogenic Sr in marbles towards the value of associated metapelitic rocks that have Sr-87/Sr-86((550Ma)) of 0.764. LA-ICPMS studies on trace elements in carbonate and associated silicate minerals at different textural settings, distinguished using cathodoluminescence microscopy, revealed multiple metasomatic events during retrograde metamorphism. Trace element contents of Ba, Sr, Pb and U gave compelling evidence for metasomatic alteration that postdate the exsolution of carbonate at similar to 600 degrees C, which can be correlated with the fluids released from the crystallization of anatectic melts and pegmatites. Subsequently, meteoric fluid infiltration occurred at a shallower level of the crust and caused extreme oxygen isotopic heterogeneity (delta O-18=14.7 similar to-4.9 parts per thousand) and imprinted high concentration of fluid mobile elements. Taken together our results emphasize the importance of integrating textural and chemical heterogeneities to reveal the multiple episodes of fluid-rock interaction processes in a dynamic continental crust, which has major implications on migration of fluids and material and help in formulating models on the geodynamic evolution of crust. (C) 2009 Elsevier B.V. All rights reserved.</t>
  </si>
  <si>
    <t>[Satish-Kumar, M.] Shizuoka Univ, Fac Sci, Inst Geosci, Suruga Ku, Shizuoka 4228529, Japan; [Hermann, J.] Australian Natl Univ, Res Sch Earth Sci, Canberra, ACT 0200, Australia; [Miyamoto, T.] Kyushu Univ, Fac Sci, Dept Earth &amp; Planetary Sci, Fukuoka 8128581, Japan; [Osanai, Y.] Kyushu Univ, Grad Sch Social &amp; Cultural Studies, Div Evolut Earth Environm, Fukuoka 8108560, Japan</t>
  </si>
  <si>
    <t>Shizuoka University; Australian National University; Kyushu University; Kyushu University</t>
  </si>
  <si>
    <t>Satish-Kumar, M (corresponding author), Shizuoka Univ, Fac Sci, Inst Geosci, Suruga Ku, 836 Oya, Shizuoka 4228529, Japan.</t>
  </si>
  <si>
    <t>smsatis@ipc.shizuoka.ac.jp</t>
  </si>
  <si>
    <t>Hermann, Joerg/N-3119-2019; Satish-Kumar, M./AAN-4420-2021</t>
  </si>
  <si>
    <t>Hermann, Joerg/0000-0001-8360-3592; Satish-Kumar, Madhusoodhan/0000-0003-3604-7399</t>
  </si>
  <si>
    <t>MEXT (Monbukagakusho) [18740319, 20684022]; Ministry of Education, Science, Sports and Culture, Japan [19540484]; Grants-in-Aid for Scientific Research [18740319, 20684022, 19540484, 21253008] Funding Source: KAKEN</t>
  </si>
  <si>
    <t>MEXT (Monbukagakusho)(Ministry of Education, Culture, Sports, Science and Technology, Japan (MEXT)); Ministry of Education, Science, Sports and Culture, Japan(Ministry of Education, Culture, Sports, Science and Technology, Japan (MEXT)); Grants-in-Aid for Scientific Research(Ministry of Education, Culture, Sports, Science and Technology, Japan (MEXT)Japan Society for the Promotion of ScienceGrants-in-Aid for Scientific Research (KAKENHI))</t>
  </si>
  <si>
    <t>MS-K acknowledges MEXT (Monbukagakusho) grant-in-aid for young scientists Nos. 18740319 and 20684022. TM's research was supported financially from a Grant-in-Aid for Scientific Research (C) (No. 19540484) from the Ministry of Education, Science, Sports and Culture, Japan. We thank the geological field survey group and the crew members of the Japanese Antarctic Research Expedition (JARE-39 and JARE-46) for their support during the field expedition. MS-K is thankful to thank H. Wada and N. Niitsuma for their advices in stable isotope measurements, An earlier version of the manuscript benefited from constructive comments by Simon Harley, Jay J. Ague and two journal reviewers.</t>
  </si>
  <si>
    <t>0024-4937</t>
  </si>
  <si>
    <t>1872-6143</t>
  </si>
  <si>
    <t>Lithos</t>
  </si>
  <si>
    <t>10.1016/j.lithos.2009.08.010</t>
  </si>
  <si>
    <t>Geochemistry &amp; Geophysics; Mineralogy</t>
  </si>
  <si>
    <t>553PC</t>
  </si>
  <si>
    <t>WOS:000274378300015</t>
  </si>
  <si>
    <t>Lowman, PD</t>
  </si>
  <si>
    <t>Benaroya, H</t>
  </si>
  <si>
    <t>Lowman, Paul D., Jr.</t>
  </si>
  <si>
    <t>Rutgers 2007 Symposium on Lunar Settlements</t>
  </si>
  <si>
    <t>LUNAR SETTLEMENTS</t>
  </si>
  <si>
    <t>Advances in Engineering</t>
  </si>
  <si>
    <t>Rutgers Symposium on Lunar Settlements</t>
  </si>
  <si>
    <t>JUN 03-08, 2007</t>
  </si>
  <si>
    <t>Rutgers Univ, New Brunswick, NJ</t>
  </si>
  <si>
    <t>Rutgers Univ</t>
  </si>
  <si>
    <t>This paper summarizes the major themes and ideas presented at a 4 1/2 day symposium on lunar settlements held at Rutgers University in June, 2007, sponsored by the Department of Mechanical and Aerospace Engineering and organized by Haym Benaroya of that department. Presentations covered the political and economic aspects of lunar settlements, structures and transportation, the lunar environment, energy and power, medical aspects of lunar settlements, outpost site selection, and use of the Moon as a platform for astronomy. A keynote paper by H.H. Schmitt covered topics including legal aspects of lunar settlements and possible economic products such as helium-3, demonstrably valuable for production of short-lived medical isotopes and perhaps for thermonuclear energy. Potential medical problems, discussed by several speakers, including J. Logan and W. Rowe, included radiation exposure and the effect of long-term hypogravity. Lunar resources discussed by several speakers include lunar water from possible polar ice deposits, hydrogen, helium-3, and oxygen from the lunar regolith. Outpost site selection has been narrowed to the south polar regions, with Shackleton Crater and Malapert Mountain the most-favored candidates. Lunar settlement shelters were proposed by several speakers, a consensus being that these must be largely underground because of the radiation problem. The feasibility of agriculture in lunar settlements has been demonstrated by operating greenhouses in the Antarctic. The overall result of the symposium was a summary of the problems, prospects, and practicality of such settlements, now benefiting from three decades to assimilate the lunar experience of the 6 Apollo landing missions and the many robotic missions, American and Soviet.</t>
  </si>
  <si>
    <t>[Lowman, Paul D., Jr.] NASA, Goddard Space Flight Ctr, Planetary Geodynam Lab, Greenbelt, MD 20771 USA</t>
  </si>
  <si>
    <t>National Aeronautics &amp; Space Administration (NASA); NASA Goddard Space Flight Center</t>
  </si>
  <si>
    <t>Lowman, PD (corresponding author), NASA, Goddard Space Flight Ctr, Planetary Geodynam Lab, Greenbelt, MD 20771 USA.</t>
  </si>
  <si>
    <t>978-1-4200-8333-0; 978-1-4200-8332-3</t>
  </si>
  <si>
    <t>ADV ENG</t>
  </si>
  <si>
    <t>Engineering, Aerospace; Engineering, Mechanical</t>
  </si>
  <si>
    <t>BG7ZF</t>
  </si>
  <si>
    <t>WOS:000392108200002</t>
  </si>
  <si>
    <t>Mar, TB; Edmonds, P</t>
  </si>
  <si>
    <t>Appropriating Space: Antarctic Imperialism and the Mentality of Settler Colonialism</t>
  </si>
  <si>
    <t>MAKING SETTLER COLONIAL SPACE: PERSPECTIVES ON RACE, PLACE AND IDENTITY</t>
  </si>
  <si>
    <t>978-0-230-27794-6</t>
  </si>
  <si>
    <t>10.1057/9780230277946</t>
  </si>
  <si>
    <t>BWW41</t>
  </si>
  <si>
    <t>WOS:000295145400002</t>
  </si>
  <si>
    <t>Grandi, MF; Dans, SL; García, NA; Crespo, EA</t>
  </si>
  <si>
    <t>Florencia Grandi, M.; Dans, Silvana L.; Garcia, Nestor A.; Crespo, Enrique A.</t>
  </si>
  <si>
    <t>Growth and age at sexual maturity of South American sea lions</t>
  </si>
  <si>
    <t>MAMMALIAN BIOLOGY</t>
  </si>
  <si>
    <t>Otaria flavescens; Average age at sexual maturity; Body growth; Patagonia</t>
  </si>
  <si>
    <t>ANTARCTIC FUR SEALS; OTARIA-FLAVESCENS; POPULATION-DYNAMICS; AVERAGE AGE; PUP PRODUCTION; NORTHERN; REPRODUCTION; DEMOGRAPHY; DECLINE; SIZE</t>
  </si>
  <si>
    <t>The average age at sexual maturity (ASM) is an important parameter for evaluating the reproductive potential or status of a population. South American sea lions, Otaria flavescens in Patagonia (Argentina) were exploited and reduced to less than 10% of pre-exploitation numbers. At present, the population is recovering at a rate of 6%. In this paper, we studied growth and age at sexual maturity of South American sea lions in the south-western south Atlantic by examining 219 individuals (females and males) collected between 1989-2008. Individuals were aged by counting growth layer groups in tooth sections, standard body length was measured and male and female reproductive organs were examined macroscopically and histologically to establish individual sexual maturity. Maximum recorded length for males and females was 264 cm and 200 cm, respectively, and maximum ages 19 and 21 yrs. ASM defined as the age where 50% of females are mature, was estimated at 4.8 +/- 0.5 years old, corresponding to a mean SL of 147 cm, about 81% of their asymptotic length. First observed ovulation occurred during the 4th year, first birth may occur between 4 and 5 years old. Males physiologically mature between 4-6 years, but the size of the testes shows that all males became sexually mature by the age of 9 years when they reach a mean SL of 212 cm, about 86% of their asymptotic body length. The present information on ASM and growth of O. flavescens will improve the development of population dynamics models, to investigate the impact of recovering sea lions populations on its marine environment, as well as its trophic interactions with commercial fisheries. (C) 2009 Deutsche Gesellschaft far Saugetierkunde. Published by Elsevier Gmbh. All rights reserved.</t>
  </si>
  <si>
    <t>grandi@cenpat.edu.ar</t>
  </si>
  <si>
    <t>Grandi, Maria Florencia/0000-0002-1418-4205</t>
  </si>
  <si>
    <t>GEF/PNUD; BBVA Foundation [BIOCON 04]; Agency for the Promotion of Science of Argentina; University of Patagonia; Zoo d'Amneville; Consejo Nacional de Investigaciones Cientificas y Tecnicas of Argentina</t>
  </si>
  <si>
    <t>GEF/PNUD; BBVA Foundation(BBVA Foundation); Agency for the Promotion of Science of Argentina; University of Patagonia; Zoo d'Amneville; Consejo Nacional de Investigaciones Cientificas y Tecnicas of Argentina(Consejo Nacional de Investigaciones Cientificas y Tecnicas (CONICET))</t>
  </si>
  <si>
    <t>The authors would like to thanks to N. Bustos for the histological preparations and to Aleta Hohn for her wonderful suggestions and comments which improved this manuscript. We wish to express our gratitude to all those people who were involved in the fieldwork and dissections on which this paper is based, especially to G. Svendsen and A. Romero. We acknowledge to Harengus SA and Alpesca SA, and particularly to the captains and sailors who contribute bringing the entangled animals to the port. We also thank to all the persons and the personnel of private and state organizations who inform the presence of carcasses on the different beaches of the area. This study was based on long term fieldworks supported by GEF/PNUD, BBVA Foundation (BIOCON 04), Agency for the Promotion of Science of Argentina and University of Patagonia. This research also received logistic and institutional support from Centro Nacional Patagonico-CONICET and financial support of the Zoo d'Amneville. At the time this paper was written, M.F. Grandi was supported by a Ph.D. fellowship from Consejo Nacional de Investigaciones Cientificas y Tecnicas of Argentina.</t>
  </si>
  <si>
    <t>1616-5047</t>
  </si>
  <si>
    <t>1618-1476</t>
  </si>
  <si>
    <t>MAMM BIOL</t>
  </si>
  <si>
    <t>Mamm. Biol.</t>
  </si>
  <si>
    <t>10.1016/j.mambio.2009.09.007</t>
  </si>
  <si>
    <t>652IF</t>
  </si>
  <si>
    <t>WOS:000281996400006</t>
  </si>
  <si>
    <t>de Bruyn, PJN; Cameron, EZ; Tosh, CA; Oosthuizen, WC; Reisinger, RR; Mufanadzo, NT; Phalanndwa, MV; Postma, M; Wege, M; van der Merwe, DS; Bester, MN</t>
  </si>
  <si>
    <t>de Bruyn, P. J. Nico; Cameron, Elissa Z.; Tosh, Cheryl A.; Oosthuizen, W. Chris; Reisinger, Ryan R.; Mufanadzo, N. Thomas; Phalanndwa, Mashudu V.; Postma, Martin; Wege, Mia; van der Merwe, Derek S.; Bester, Marthan N.</t>
  </si>
  <si>
    <t>Prevalence of allosuckling behaviour in Subantarctic fur seal pups</t>
  </si>
  <si>
    <t>Arctocephalus tropicalis; Milk-theft; Parasitism; Marion Island; Maternal investment</t>
  </si>
  <si>
    <t>MARION ISLAND; ARCTOCEPHALUS-TROPICALIS; FOSTERING BEHAVIOR; KILLER WHALES; GAZELLA; CARE; PINNIPEDS; PATTERNS; FEMALE; LIONS</t>
  </si>
  <si>
    <t>Non-offspring maternal care should be rare due to the high costs of raising offspring, particularly lactation, but nonetheless occurs in a variety of taxa. Misguided parental care, associated with recognition errors and/or inattentiveness by lactating females, has been hypothesized as an explanation for allolactation in mammals. In an extension of this hypothesis, we suggest that milk-stealing is parasitism instigated by non-filial offspring, and that maternal behaviour is of secondary interest in an evolutionary context if she is unaware of the interaction. We provide evidence for frequent milk-stealing attempts by Subantarctic fur seal (Arctocephalus tropicalis) pups, including an example of sustained non-maternal care (&gt; three months) for one pup during the confirmed absence of his mother, leading to a weaning mass equal to the population mean. We also present only the second account of fostering/twins in the species at this locality. We suggest that rather than the hitherto suggested rare and anomalous behaviour, milk-stealing behaviour (while not always successful) is common. (c) 2009 Deutsche Gesellschaft fur Saugetierkunde. Published by Elsevier GmbH. All rights reserved.</t>
  </si>
  <si>
    <t>[de Bruyn, P. J. Nico; Cameron, Elissa Z.; Tosh, Cheryl A.; Oosthuizen, W. Chris; Reisinger, Ryan R.; Mufanadzo, N. Thomas; Phalanndwa, Mashudu V.; Postma, Martin; Wege, Mia; van der Merwe, Derek S.; Bester, Marthan N.] Univ Pretoria, Mammal Res Inst, Dept Zool &amp; Entomol, ZA-0002 Pretoria, South Africa</t>
  </si>
  <si>
    <t>de Bruyn, PJN (corresponding author), Univ Pretoria, Mammal Res Inst, Dept Zool &amp; Entomol, ZA-0002 Pretoria, South Africa.</t>
  </si>
  <si>
    <t>pjndebruyn@zoology.up.ac.za</t>
  </si>
  <si>
    <t>Wege, Mia/B-1103-2016; Tosh, Cheryl/D-5623-2016; Bester, Marthán N/E-5387-2010; Reisinger, Ryan R/D-6151-2014; Cameron, Elissa Z/E-4280-2010; de Bruyn, P. J. Nico/E-4176-2010; Cameron, Elissa/B-8053-2014; Oosthuizen, W. Chris/I-2947-2016</t>
  </si>
  <si>
    <t>Wege, Mia/0000-0002-9022-3069; Tosh, Cheryl/0000-0003-0243-5422; Reisinger, Ryan R/0000-0002-8933-6875; de Bruyn, P. J. Nico/0000-0002-9114-9569; Cameron, Elissa/0000-0002-9243-0547; Oosthuizen, W. Chris/0000-0003-2905-6297</t>
  </si>
  <si>
    <t>Department of Science and Technology, through the National Research Foundation (NRF)</t>
  </si>
  <si>
    <t>Department of Science and Technology, through the National Research Foundation (NRF)(Department of Science &amp; Technology (India))</t>
  </si>
  <si>
    <t>The Department of Environmental Affairs supplied logistic support within the South African National Antarctic Programme. Financial support was provided by the Department of Science and Technology, through the National Research Foundation (NRF), in support of the Marine Mammal Programme (MM P) of the MRI. The opportunistic observations presented here were recorded during the execution of the MMP, while during the compilation of this paper PJNdB benefited from a NRF Grantholder-linked bursary within the project Conservation of Seabirds, Shorebirds and Seals led by L. Underhill of the Animal Demography Unit, Department of Zoology, University of Cape Town.</t>
  </si>
  <si>
    <t>ELSEVIER GMBH, URBAN &amp; FISCHER VERLAG</t>
  </si>
  <si>
    <t>JENA</t>
  </si>
  <si>
    <t>OFFICE JENA, P O BOX 100537, 07705 JENA, GERMANY</t>
  </si>
  <si>
    <t>10.1016/j.mambio.2009.11.004</t>
  </si>
  <si>
    <t>680TE</t>
  </si>
  <si>
    <t>WOS:000284256500008</t>
  </si>
  <si>
    <t>Rose, KA; Allen, JI; Artioli, Y; Barange, M; Blackford, J; Carlotti, F; Cropp, R; Daewel, U; Edwards, K; Flynn, K; Hill, SL; HilleRisLambers, R; Huse, G; Mackinson, S; Megrey, B; Moll, A; Rivkin, R; Salihoglu, B; Schrum, C; Shannon, L; Shin, YJ; Smith, SL; Smith, C; Solidoro, C; St John, M; Zhou, M</t>
  </si>
  <si>
    <t>Rose, Kenneth A.; Allen, J. Icarus; Artioli, Yuri; Barange, Manuel; Blackford, Jerry; Carlotti, Francois; Cropp, Roger; Daewel, Ute; Edwards, Karen; Flynn, Kevin; Hill, Simeon L.; HilleRisLambers, Reinier; Huse, Geir; Mackinson, Steven; Megrey, Bernard; Moll, Andreas; Rivkin, Richard; Salihoglu, Baris; Schrum, Corinna; Shannon, Lynne; Shin, Yunne-Jai; Smith, S. Lan; Smith, Chris; Solidoro, Cosimo; St John, Michael; Zhou, Meng</t>
  </si>
  <si>
    <t>End-To-End Models for the Analysis of Marine Ecosystems: Challenges, Issues, and Next Steps</t>
  </si>
  <si>
    <t>MARINE AND COASTAL FISHERIES</t>
  </si>
  <si>
    <t>INDIVIDUAL-BASED MODELS; POPULATION-DYNAMICS; FISHERIES MANAGEMENT; EXPLOITED ECOSYSTEMS; NUTRIENT ENRICHMENT; FISH POPULATIONS; HABITAT CHOICE; CLIMATE-CHANGE; ENERGY-FLOW; LARVAL FISH</t>
  </si>
  <si>
    <t>There is growing interest in models of marine ecosystems that deal with the effects of climate change through the higher trophic levels. Such end-to-end models combine physicochemical oceanographic descriptors and organisms ranging from microbes to higher-trophic-level (HTL) organisms, including humans, in a single modeling framework. The demand for such approaches arises from the need for quantitative tools for ecosystem-based management, particularly models that can deal with bottom-up and top-down controls that operate simultaneously and vary in time and space and that are capable of handling the multiple impacts expected under climate change. End-to-end models are now feasible because of improvements in the component submodels and the availability of sufficient computing power. We discuss nine issues related to the development of end-to-end models. These issues relate to formulation of the zooplankton submodel, melding of multiple temporal and spatial scales, acclimation and adaptation, behavioral movement, software and technology, model coupling, skill assessment, and interdisciplinary challenges. We urge restraint in using end-to-end models in a true forecasting mode until we know more about their performance. End-to-end models will challenge the available data and our ability to analyze and interpret complicated models that generate complex behavior. End-to-end modeling is in its early developmental stages and thus presents an opportunity to establish an open-access, community-based approach supported by a suite of true interdisciplinary efforts.</t>
  </si>
  <si>
    <t>[Rose, Kenneth A.] Louisiana State Univ, Dept Oceanog &amp; Coastal Sci, Baton Rouge, LA 70803 USA; [Allen, J. Icarus; Artioli, Yuri; Barange, Manuel; Blackford, Jerry] Plymouth Marine Lab, Plymouth PL1 3DH, Devon, England; [Carlotti, Francois] Univ Mediterranee, CNRS, Lab Oceanog Phys &amp; Biogeochim, Unite Mixte Rech 6535, F-13288 Marseille 09, France; [Cropp, Roger] Griffith Univ, Griffith Sch Environm, Atmospher Environm Res Ctr, Nathan, Qld 4111, Australia; [Daewel, Ute] Univ Bergen, Inst Geophys, N-5007 Bergen, Norway; [Edwards, Karen] Natl Ctr Ocean Forecasting, Met Off, Exeter EX1 3PB, Devon, England; [Flynn, Kevin] Swansea Univ, Dept Pure &amp; Appl Ecol, Inst Environm Sustainabil, Swansea SA2 8PP, W Glam, Wales; [Hill, Simeon L.] British Antarctic Survey, Nat Environm Res Council, Cambridge CB3 0ET, England; [HilleRisLambers, Reinier] Wageningen Inst Marine Resources &amp; Ecosyst Studie, NL-1970 AB Ijmuiden, Netherlands; [Huse, Geir] Inst Marine Res, N-5817 Bergen, Norway; [Mackinson, Steven] Ctr Environm Fisheries &amp; Aquaculture Sci, Lowestoft NR33 0HT, Suffolk, England; [Megrey, Bernard] Natl Marine Fisheries Serv, Alaska Fisheries Sci Ctr, Seattle, WA 98115 USA; [Moll, Andreas] Univ Hamburg, Ctr Marine &amp; Atmospher Res, Inst Meereskunde, D-20146 Hamburg, Germany; [Rivkin, Richard] Mem Univ Newfoundland, Ctr Ocean Sci, St John, NF A1C 5S7, Canada; [Salihoglu, Baris] Middle E Tech Univ, Inst Marine Sci, Erdemli, Turkey; [Schrum, Corinna] Univ Bergen, Inst Geophys, N-5007 Bergen, Norway; [Shannon, Lynne] Univ Cape Town, Marine Res Inst, ZA-7701 Cape Town, South Africa; [Shannon, Lynne] Univ Cape Town, Dept Zool, ZA-7701 Cape Town, South Africa; [Shin, Yunne-Jai] Ctr Rech Halieut Mediterraneenne &amp; Trop, Inst Rech Dev, Unite Mixte Rech 212, F-34203 Sete, France; [Smith, S. Lan] Japan Agcy Marine Earth Sci &amp; Technol, Kanazawa Ku, Yokohama, Kanagawa, Japan; [Smith, Chris] Hellen Ctr Marine Res, Inst Marine Biol Resources, Iraklion 71003, Crete, Greece; [Solidoro, Cosimo] Ist Nazl Oceanog &amp; Geofis Sperimentale, Dept Oceanog, I-34010 Sgonico, Italy; [St John, Michael] Univ Hamburg, Inst Hydrobiol &amp; Fishery Sci, D-22767 Hamburg, Germany; [Zhou, Meng] Univ Massachusetts, Dept Environm Earth &amp; Ocean Sci, Boston, MA 02125 USA</t>
  </si>
  <si>
    <t>Louisiana State University System; Louisiana State University; Plymouth Marine Laboratory; Aix-Marseille Universite; Centre National de la Recherche Scientifique (CNRS); Griffith University; University of Bergen; Met Office - UK; Swansea University; UK Research &amp; Innovation (UKRI); Natural Environment Research Council (NERC); NERC British Antarctic Survey; Wageningen University &amp; Research; Institute of Marine Research - Norway; Centre for Environment Fisheries &amp; Aquaculture Science; National Oceanic Atmospheric Admin (NOAA) - USA; University of Hamburg; Memorial University Newfoundland; Middle East Technical University; University of Bergen; University of Cape Town; University of Cape Town; Ifremer; Institut de Recherche pour le Developpement (IRD); Universite de Montpellier; Japan Agency for Marine-Earth Science &amp; Technology (JAMSTEC); Hellenic Centre for Marine Research; Istituto Nazionale di Oceanografia e di Geofisica Sperimentale; University of Hamburg; University of Massachusetts System; University of Massachusetts Boston</t>
  </si>
  <si>
    <t>Rose, KA (corresponding author), Louisiana State Univ, Dept Oceanog &amp; Coastal Sci, Baton Rouge, LA 70803 USA.</t>
  </si>
  <si>
    <t>karose@lsu.edu</t>
  </si>
  <si>
    <t>Barange, Manuel/D-2689-2016; Salihoglu, Baris/D-1376-2010; Rose, Kenneth/JHU-5042-2023; Flynn, Kevin/AAA-3253-2021; Huse, Geir/AAY-2341-2021; Smith, Sherwood Lan/D-2493-2012; Artioli, Yuri/J-1524-2015; Simeon, Hill L/B-2307-2008; Artioli, Yuri/AFV-9331-2022; Schrum, Corinna/JVZ-1967-2024; Rose, Kenneth/AAA-3534-2022; Schrum, Corinna/KAM-1374-2024; Shin, Yunne-Jai/A-7575-2012; Cropp, Roger/C-1019-2008; Shannon, Lynne/A-1612-2015</t>
  </si>
  <si>
    <t>Barange, Manuel/0000-0002-1508-0483; Salihoglu, Baris/0000-0002-7510-7713; Rose, Kenneth/0000-0002-9310-8410; Flynn, Kevin/0000-0001-6913-5884; Smith, Sherwood Lan/0000-0002-2338-5893; Artioli, Yuri/0000-0002-5498-4223; Rose, Kenneth/0000-0002-9310-8410; Schrum, Corinna/0000-0003-3251-4551; Shin, Yunne-Jai/0000-0002-7259-9265; Cropp, Roger/0000-0001-9582-857X; Smith, Christopher/0000-0002-3031-5316; Daewel, Ute/0000-0003-2380-8427; solidoro, cosimo/0000-0003-2354-4302; Shannon, Lynne/0000-0001-7842-0636; Mackinson, Steven/0000-0002-0262-1180; St John, Michael/0000-0002-5593-7488</t>
  </si>
  <si>
    <t>UK Natural Environment Research Council; National Oceanic and Atmospheric Administration, Center for Sponsored Coastal Ocean Research (CSCOR) [NA06NOS4780131]; University of Texas; NOAA [NA09NMF4720183]; NERC [bas0100025, pml010010] Funding Source: UKRI; Natural Environment Research Council [pml010010, bas0100025] Funding Source: researchfish</t>
  </si>
  <si>
    <t>UK Natural Environment Research Council(UK Research &amp; Innovation (UKRI)Natural Environment Research Council (NERC)); National Oceanic and Atmospheric Administration, Center for Sponsored Coastal Ocean Research (CSCOR)(National Oceanic Atmospheric Admin (NOAA) - USA); University of Texas; NOAA(National Oceanic Atmospheric Admin (NOAA) - USA); NERC(UK Research &amp; Innovation (UKRI)Natural Environment Research Council (NERC)); Natural Environment Research Council(UK Research &amp; Innovation (UKRI)Natural Environment Research Council (NERC))</t>
  </si>
  <si>
    <t>This paper resulted from discussions at a workshop entitled Bridging the Gap between Lower and Higher Trophic Levels held February 10-12, 2009, in Plymouth, England, and led by J. I. Allen. The workshop was funded by the UK Natural Environment Research Council International Opportunities Fund through the Advances in Marine Ecosystem Modeling Research program. We wish to acknowledge the following participants in the workshop, who contributed to the free-flowing discussions that made it a success: M. N. Aita, J. Aldridge, J. Beecham, M. Bunke, M. Butenschon, A. Christensen, K. Edwards, I. Grigorov, J. Heard, T. Hirata, W. Kuhn, V. Lauria, P. Licandro, K. Lygre, N. Mountford, L. Polimene, A. Rajan, E. Ramirez, A. Samuelsen, K. Tsiaras, S. van Leeuwen, and M. Zavatarelli. The participation of B. Megrey in preparing this paper is noted as research contribution EcoFOCI-0729 to NOAA's Ecosystem and Fisheries-Oceanography Coordinated Investigations. Preparation of this paper by K.A.R. was partially supported by the National Oceanic and Atmospheric Administration, Center for Sponsored Coastal Ocean Research (CSCOR) NGOMEX06 grant NA06NOS4780131 awarded to the University of Texas and by NOAA grant NA09NMF4720183 awarded to Rutgers University as part of the Comparative Analysis of Marine System Organization program. This is publication 127 of NOAA's CSCOR NGOMEX06 program.</t>
  </si>
  <si>
    <t>1942-5120</t>
  </si>
  <si>
    <t>MAR COAST FISH</t>
  </si>
  <si>
    <t>Mar. Coast. Fish.</t>
  </si>
  <si>
    <t>10.1577/C09-059.1</t>
  </si>
  <si>
    <t>V20PW</t>
  </si>
  <si>
    <t>Green Submitted, gold, Green Published, Green Accepted</t>
  </si>
  <si>
    <t>WOS:000208152900009</t>
  </si>
  <si>
    <t>Butterworth, DS; Johnston, SJ; Brandao, A</t>
  </si>
  <si>
    <t>Butterworth, Doug S.; Johnston, Susan J.; Brandao, Anabela</t>
  </si>
  <si>
    <t>Pretesting the Likely Efficacy of Suggested Management Approaches to Data-Poor Fisheries</t>
  </si>
  <si>
    <t>The thrust of this paper is that decision rules for the management of data-poor fisheries cannot be based on expert judgment alone. Such rules need to specifically link management responses to the values of the indicators available for the fishery and their trends. Prior simulation testing is needed to confirm that the application of any rules suggested is likely to achieve the objectives sought for the fishery. The management procedure (MP) approach (also called management strategy evaluation), which provides a framework for such testing, is summarized briefly. How this approach could be used to develop a decision rule for a fishery for which the only indicator available is the mean length of the catch is presented as an example. The extent to which the ability to meet management objectives could be improved if an unbiased index of relative abundance were available, and an MP based on a fitted population model applied, is illustrated. An MP developed for the fishery for Patagonian toothfish Dissotichus eleginoides off the sub-Antarctic Prince Edward Islands is summarized. This illustrates how the MP testing framework can be used in circumstances in which the available indicators conflict, leading to considerable uncertainty about the present resource status. The information content of indicators is closely related to the extent to which they vary about trends in the underlying resource attributes (e.g., catch per unit effort and underlying abundance). The compilation of lists of the statistical properties (such as the coefficients of variation and autocorrelations) of the residuals about detrended time series of the indicators, together with their likely relationships to the underlying attribute, for fisheries worldwide is suggested. This would provide a sound basis for specifying error structure in the simulation tests advocated for both generic and case-specific decision rules for data-poor fisheries.</t>
  </si>
  <si>
    <t>[Butterworth, Doug S.; Johnston, Susan J.; Brandao, Anabela] Univ Cape Town, Marine Resource Assessment &amp; Management Grp, Dept Math &amp; Appl Math, ZA-7701 Rondebosch, South Africa</t>
  </si>
  <si>
    <t>University of Cape Town</t>
  </si>
  <si>
    <t>Butterworth, DS (corresponding author), Univ Cape Town, Marine Resource Assessment &amp; Management Grp, Dept Math &amp; Appl Math, ZA-7701 Rondebosch, South Africa.</t>
  </si>
  <si>
    <t>doug.butterworth@uct.ac.za</t>
  </si>
  <si>
    <t>South African National Research Foundation</t>
  </si>
  <si>
    <t>South African National Research Foundation(National Research Foundation - South Africa)</t>
  </si>
  <si>
    <t>Input from Colin Attwood regarding the management of South African line fisheries and financial support from the South African National Research Foundation are gratefully acknowledged. Andre Punt and an anonymous reviewer are thanked for their comments on an earlier version of this paper.</t>
  </si>
  <si>
    <t>10.1577/C08-038.1</t>
  </si>
  <si>
    <t>WOS:000208152900010</t>
  </si>
  <si>
    <t>Kawamura, G; Kasedou, T; Tamiya, T; Watanabe, A</t>
  </si>
  <si>
    <t>Kawamura, Gunzo; Kasedou, Teruo; Tamiya, Tomonori; Watanabe, Atsushi</t>
  </si>
  <si>
    <t>Colour preference of five marine fishes: bias for natural and yellow-dyed krill in laboratory tanks, sea cages and an earthen pond</t>
  </si>
  <si>
    <t>MARINE AND FRESHWATER BEHAVIOUR AND PHYSIOLOGY</t>
  </si>
  <si>
    <t>colour preference; marine fishes; krill; innate ability; associative learning; prey colour</t>
  </si>
  <si>
    <t>REEF FISH; VISION; SELECTIVITY; WILD</t>
  </si>
  <si>
    <t>In this study, the colour preference during feeding was determined in three members of the family Sparidae: girella (Girella punctata Gray), the black porgy (Acanthopagrus schlegeli Bleeker) and the Japanese silver bream (Acanthopagrus latus Houttuyn); and in two members of the family Scombridae: the Japanese horse mackerel (Trachurus japonicus Temminck et Schlegel) and the spotted mackerel (Scomber australasicus Cuvier). The three sparids are omnivorous and are confined to neritic habitats and the two scombrids are schooling planktivores and open-ocean forms. The experiments were conducted under three different holding conditions: grey and white tanks in the laboratory, sea cages and an earthen pond. The prey used in the tests was the Antarctic krill, in its natural colour (control) and in artificial colours of yellow, red, green, blue (produced with food dyes) and black (Chinese ink). These prey were offered in different two-colour pairs to groups of fish, and the colour of the krill attacked first was recorded. The frequencies of first attacks against each colour of the different pairs were analysed by the paired-preference test and Thurstone's law of comparative judgment. The data were converted into mean z-scores and significant biases from zero were noted. The five species took without hesitation all the krill of all colours, but preferred blue krill the least, and did not clearly distinguish red from black. The three sparids showed a strong bias for yellow krill under all holding conditions. The two scombrids preferred natural krill and showed poor colour preference. The observed colour preference was probably due to colour per se and may be an innate ability, rather than due to relative brightness (sensitivity of the fish eye), prey conspicuousness (pigmented eyes of the krill), or the associated taste of the dyes.</t>
  </si>
  <si>
    <t>[Kawamura, Gunzo; Kasedou, Teruo] Kagoshima Univ, Fac Fisheries, Kagoshima 890, Japan; [Tamiya, Tomonori; Watanabe, Atsushi] Oriental Yeast Co Ltd, Itabashi Ku, Tokyo, Japan</t>
  </si>
  <si>
    <t>Kagoshima University; Oriental Yeast Co., Ltd.</t>
  </si>
  <si>
    <t>Kawamura, G (corresponding author), Kagoshima Univ, Fac Fisheries, Kagoshima 890, Japan.</t>
  </si>
  <si>
    <t>rsa07610@nifty.com</t>
  </si>
  <si>
    <t>1023-6244</t>
  </si>
  <si>
    <t>MAR FRESHW BEHAV PHY</t>
  </si>
  <si>
    <t>Mar. Freshw. Behav. Physiol.</t>
  </si>
  <si>
    <t>PII 923470962</t>
  </si>
  <si>
    <t>10.1080/10236244.2010.486885</t>
  </si>
  <si>
    <t>618EM</t>
  </si>
  <si>
    <t>WOS:000279334300002</t>
  </si>
  <si>
    <t>Strain, EMA; Johnson, CR</t>
  </si>
  <si>
    <t>Strain, Elisabeth M. A.; Johnson, Craig R.</t>
  </si>
  <si>
    <t>Scale-dependent relationships between benthic habitat characteristics and abundances of blacklip abalone, Haliotis rubra (Leach)</t>
  </si>
  <si>
    <t>MARINE AND FRESHWATER RESEARCH</t>
  </si>
  <si>
    <t>correlation; H. rubra; percentage cover; quantile regression; scale-dependent</t>
  </si>
  <si>
    <t>SPECIES DISTRIBUTIONS; GENUS-HALIOTIS; ROCKY SHORES; REGRESSION; INVERTEBRATES; ASSOCIATION; COMMUNITY; ALGAE</t>
  </si>
  <si>
    <t>Habitat characteristics can influence marine herbivore densities at a range of spatial scales. We examined the relationship between benthic habitat characteristics and adult blacklip abalone (Haliotis rubra) densities across local scales (0.0625-16m(2)), at 2 depths, 4 sites and 2 locations, in Tasmania, Australia. Biotic characteristics that were highly correlated with abalone densities included cover of non-calcareous encrusting red algae (NERA), non-geniculate coralline algae (NCA), a matrix of filamentous algae and sediment, sessile invertebrates, and foliose red algae. The precision of relationships varied with spatial scale. At smaller scales (0.0625-0.25m(2)), there was a positive relationship between NERA and ERA, and negative relationships between sediment matrix, sessile invertebrates and abalone densities. At the largest scale (16m(2)), there was a positive relationship between NERA and abalone densities. Thus, for some biotic characteristics, the relationship between NERA and abalone densities may be scalable. There was very little variability between depths and sites; however, the optimal spatial scale differed between locations. Our results suggest a dynamic interplay between the behavioural responses of H. rubra to microhabitat and/or to abalone maintaining NERA free of algae, sediment, and sessile invertebrates. This approach could be used to describe the relationship between habitat characteristics and species densities at the optimal spatial scales.</t>
  </si>
  <si>
    <t>[Strain, Elisabeth M. A.] Univ Tasmania, Sch Zool, Hobart, Tas 7001, Australia; [Strain, Elisabeth M. A.] Univ Tasmania, TAFI, Hobart, Tas 7001, Australia; [Johnson, Craig R.] Univ Tasmania, Inst Marine &amp; Antarctic Studies, Hobart, Tas 7001, Australia</t>
  </si>
  <si>
    <t>Strain, EMA (corresponding author), Queens Univ Belfast, Ctr Med Biol, Sch Biol Sci, 97 Lisburn Rd, Belfast BT9 7BL, Antrim, North Ireland.</t>
  </si>
  <si>
    <t>strain.beth@gmail.com</t>
  </si>
  <si>
    <t>Strain, Elisabeth/U-3520-2017; Johnson, Craig/E-1788-2013</t>
  </si>
  <si>
    <t>Strain, Elisabeth/0000-0003-2165-9544; Johnson, Craig/0000-0002-9511-905X</t>
  </si>
  <si>
    <t>Australian Postgraduate Award; Tasmanian Aquaculture and Fisheries Institute; Tasmanian Abalone Council</t>
  </si>
  <si>
    <t>Australian Postgraduate Award(Australian Government); Tasmanian Aquaculture and Fisheries Institute; Tasmanian Abalone Council</t>
  </si>
  <si>
    <t>We thank those who assisted with fieldwork, particularly Bob Connell, Michael Davis and Richard Holmes. This study was part of a PhD supported by an Australian Postgraduate Award. The research was supported by Tasmanian Aquaculture and Fisheries Institute and Tasmanian Abalone Council grants. The research was undertaken using the permits 5003, 5182 and 7038 issued by the Department of Environment and Primary Industries, Tasmania. We thank the editor Professor Andrew Boulton and two anonymous reviewers for their helpful comments on earlier versions of the manuscript.</t>
  </si>
  <si>
    <t>1323-1650</t>
  </si>
  <si>
    <t>1448-6059</t>
  </si>
  <si>
    <t>MAR FRESHWATER RES</t>
  </si>
  <si>
    <t>Mar. Freshw. Res.</t>
  </si>
  <si>
    <t>10.1071/MF09211</t>
  </si>
  <si>
    <t>Fisheries; Limnology; Marine &amp; Freshwater Biology; Oceanography</t>
  </si>
  <si>
    <t>680KI</t>
  </si>
  <si>
    <t>WOS:000284230400001</t>
  </si>
  <si>
    <t>Waluda, CM; Collins, MA; Black, AD; Staniland, IJ; Trathan, PN</t>
  </si>
  <si>
    <t>Waluda, Claire M.; Collins, Martin A.; Black, Andrew D.; Staniland, Iain J.; Trathan, Philip N.</t>
  </si>
  <si>
    <t>Linking predator and prey behaviour: contrasts between Antarctic fur seals and macaroni penguins at South Georgia</t>
  </si>
  <si>
    <t>KRILL EUPHAUSIA-SUPERBA; NORTHERN SCOTIA SEA; POLAR FRONTAL ZONE; ARCTOCEPHALUS-GAZELLA; EUDYPTES-CHRYSOLOPHUS; BREEDING-SEASON; DIVING BEHAVIOR; INTERANNUAL VARIABILITY; FORAGING BEHAVIOR; FOOD-CONSUMPTION</t>
  </si>
  <si>
    <t>Antarctic fur seals Arctocephalus gazella and macaroni penguins Eudyptes chrysolophus are the two main land-based krill Euphausia superba consumers in the northern Scotia Sea. Using a combination of concurrent at-sea (predator observations, net hauls and multi-frequency acoustics), and land-based (animal tracking and diet analysis) techniques, we examined variability in the foraging ecology of these sympatric top predators during the austral summer and autumn of 2004. Krill availability derived from acoustic surveys was low during summer, increasing in autumn. During the breeding season, krill occurred in 80% of fur seal diet samples, with fish remains in 37% of samples. Penguin diets contained the highest proportion of fish in over 20 years of routine monitoring (46% by mass; particularly the myctophid Electrona antarctica), with krill (33%) and amphipods (Themisto gaudichaudii; 21%) also occurring. When constrained by the need to return and feed their offspring both predator species foraged to the northwest of South Georgia, consistent with an area of high macrozooplankton biomass, but fur seals were apparently more successful at exploiting krill. When unconstrained by chick-rearing (during March) penguins foraged close to the Shag Rocks shelf-break, probably exploiting the high daytime biomass of fish in this area. Penguins and seals are able to respond differently to periods of reduced krill abundance (in terms of variability in diet and foraging behaviour), without detriment to the breeding success of either species. This highlights the importance of myctophid fish as an alternative trophic pathway for land-based predators in the Scotia Sea ecosystem.</t>
  </si>
  <si>
    <t>[Waluda, Claire M.; Collins, Martin A.; Staniland, Iain J.; Trathan, Philip N.] British Antarctic Survey, NERC, Cambridge CB3 0ET, England; [Black, Andrew D.] Falklands Conservat, Stanley, Falkland Isl, England</t>
  </si>
  <si>
    <t>Collins, Martin A/J-8560-2017; Staniland, Iain/I-4725-2012; , Martin/ABE-6728-2020</t>
  </si>
  <si>
    <t>Staniland, Iain/0000-0003-2736-9134; , Martin/0000-0001-7132-8650</t>
  </si>
  <si>
    <t>Natural Environment Research Council [bas0100025] Funding Source: researchfish; NERC [bas0100025] Funding Source: UKRI</t>
  </si>
  <si>
    <t>10.1007/s00227-009-1299-6</t>
  </si>
  <si>
    <t>533CW</t>
  </si>
  <si>
    <t>WOS:000272801100010</t>
  </si>
  <si>
    <t>Brökeland, W; Guomundsson, G; Svavarsson, J</t>
  </si>
  <si>
    <t>Broekeland, Wiebke; Guomundsson, Guomundur; Svavarsson, Jorundur</t>
  </si>
  <si>
    <t>Diet of four species of deep-sea isopods (Crustacea: Malacostraca: Peracarida) in the South Atlantic and the Southern Ocean</t>
  </si>
  <si>
    <t>BENTHIC FORAMINIFERA; WEDDELL SEA; PHYTODETRITUS; DIVERSITY; BIODIVERSITY; FOOD; SEDIMENTATION; ABUNDANCE; BACTERIA; PROTOZOA</t>
  </si>
  <si>
    <t>The food of four species of asellote isopods (Crustacea, Malacostraca), Haploniscus rostratus, Haploniscus unicornis, Acanthocope galatheae and Betamorpha fusiformis, was evaluated by analysis of their gut contents. The isopods were sampled at several stations on the abyssal plains of Guinea Basin, Angola Basin and Cape Basin (southeast Atlantic), the Weddell Sea abyssal plain and the Antarctic continental slope during the DIVA and ANDEEP expeditions in 2000, 2001 and 2005. While all species had mineral particles in their guts and mucus material was the most frequent food item, the remaining gut contents differed among species. Betamorpha fusiformis fed mostly on phytodetritus, especially in the Southern Ocean basins and ingested along with it whole calcareous foraminifers. Acanthocope galatheae showed some differences in gut contents between basins, but in the Guinea Basin, the contents were to a large extent stercomata, i.e., waste pellets of soft-walled foraminifers, i.e., the Komokiaceae. Indications were that the haploniscids were feeding on detritus and agglutinating foraminifers (stercomata). This indicates spatial differences in food availability for this diverse group of deep-sea isopods and the importance of poorly known foraminiferal groups, like the Komokiaceae, as a food source in the deep sea.</t>
  </si>
  <si>
    <t>[Broekeland, Wiebke] Senckenberg Meer Wilhelmshaven, Abt DZMB, D-26382 Wilhelmshaven, Germany; [Guomundsson, Guomundur] Iceland Inst, IS-125 Reykjavik, Iceland; [Guomundsson, Guomundur] Museum Nat Hist, IS-125 Reykjavik, Iceland; [Svavarsson, Jorundur] Univ Iceland, Inst Biol, IS-101 Reykjavik, Iceland; [Svavarsson, Jorundur] Univ Iceland Sandgeroi, IS-245 Sandgeroi, Iceland</t>
  </si>
  <si>
    <t>Senckenberg Gesellschaft fur Naturforschung (SGN); University of Iceland; University of Iceland</t>
  </si>
  <si>
    <t>Brökeland, W (corresponding author), Senckenberg Meer Wilhelmshaven, Abt DZMB, Sudstrand 44, D-26382 Wilhelmshaven, Germany.</t>
  </si>
  <si>
    <t>wbroekeland@senckenberg.de</t>
  </si>
  <si>
    <t>Svavarsson, Jorundur/0000-0003-1842-7515</t>
  </si>
  <si>
    <t>German Science Foundation [BR3447/2-1]; University of Iceland</t>
  </si>
  <si>
    <t>German Science Foundation(German Research Foundation (DFG)); University of Iceland</t>
  </si>
  <si>
    <t>We would like to thank Prof. Andrew J. Gooday and Stefan Mullegger for advice on foraminiferan issues and Dr. Mona Hoppenrath for helping with the identification of some phytoplankton. This study was supported by the German Science Foundation (BR3447/2-1) and the University of Iceland Research Fund.</t>
  </si>
  <si>
    <t>10.1007/s00227-009-1308-9</t>
  </si>
  <si>
    <t>WOS:000272801100017</t>
  </si>
  <si>
    <t>Lea, MA; Johnson, D; Melin, S; Ream, R; Gelatt, T</t>
  </si>
  <si>
    <t>Lea, Mary-Anne; Johnson, Devin; Melin, Sharon; Ream, Rolf; Gelatt, Tom</t>
  </si>
  <si>
    <t>Diving ontogeny and lunar responses in a highly migratory mammal, the northern fur seal Callorhinus ursinus</t>
  </si>
  <si>
    <t>MARINE ECOLOGY PROGRESS SERIES</t>
  </si>
  <si>
    <t>Foraging; Lunar; North Pacific; Polar ecosystems; Postnatal development</t>
  </si>
  <si>
    <t>LIONS EUMETOPIAS-JUBATUS; ARCTOCEPHALUS-GAZELLA; OXYGEN STORES; MIXED-LAYER; BEHAVIOR; PUPS; MIGRATIONS; SHARKS; DIEL; VARIABILITY</t>
  </si>
  <si>
    <t>Diving ontogeny studies enable the examination of both the evolution of diving strategies and the physiological constraints and environmental factors determining foraging behaviour. Northern fur seal (NFS) Callorhinus ursinus pups that undertake far-ranging migrations in their first year are an ideal species for examining such factors. The diving behaviour of 64 NFS pups from 4 North American breeding sites was studied using satellite-dive recorders deployed on pups prior to weaning. Summarised diving activity (6 h histograms of dive depth and duration) was recorded during the pups' first 8 mo at sea and transmitted via satellite. During the first month at sea, pups adopted the nocturnal diving patterns characteristic of adults, with average maximum nightly and crepuscular dive depths and durations exceeding daytime values by a factor of from 4 to 4.5. Diving capacity in terms of maximum depths (112 m) and durations (285 s) attained also increased linearly with age until similar to 8 to 10 mo of age. Overlaid on diving capability development was the significant influence of environmental cues, such as lunar phase, on migratory diving behaviour. During full moons, pups dived deeper and for longer periods than during other lunar phases, as pups likely mimicked the behaviour of their vertically migrating prey. These findings indicate that prey accessibility, particularly for younger pups with reduced diving capacity, may prove more challenging during higher lunar illumination periods.</t>
  </si>
  <si>
    <t>[Lea, Mary-Anne; Johnson, Devin; Melin, Sharon; Ream, Rolf; Gelatt, Tom] NOAA, Natl Marine Mammal Lab, AFSC, Seattle, WA 98115 USA</t>
  </si>
  <si>
    <t>Lea, MA (corresponding author), Univ Tasmania, Inst Marine &amp; Antarctic Studies, Marine Predator Unit, Private Bag 129, Hobart, Tas 7001, Australia.</t>
  </si>
  <si>
    <t>maryanne.lea@utas.edu.au</t>
  </si>
  <si>
    <t>Lea, Mary-Anne/E-9054-2013</t>
  </si>
  <si>
    <t>Lea, Mary-Anne/0000-0001-8318-9299</t>
  </si>
  <si>
    <t>NOAA; NMML; AFSC; Pribilof Islands communities; NAS NRC</t>
  </si>
  <si>
    <t>NOAA(National Oceanic Atmospheric Admin (NOAA) - USA); NMML; AFSC; Pribilof Islands communities; NAS NRC</t>
  </si>
  <si>
    <t>We thank the NOAA, NMML, AFSC and Pribilof Islands communities for their support. M.A.L. was supported by the NAS NRC Research Associateship Program. J. Baker, K. Call, R. Jenkinson, T. Orr, E. Sinclair, K. Sinclair, J. Sterling, J. Thomason, R. Towell, M. Williams and T. Zeppelin assisted with fieldwork. S. Bestley provided valuable statistical advice. This research was conducted under U.S. Marine Mammal Permit No. 782-1708 and has been approved to comply with the Animal Welfare Act and the U.S. National Marine Fisheries Service Animal Care and Use Policy guidelines. We thank G. Duker, J. London, E. Sinclair and J. Sterling for discussions and helpful comments on an earlier manuscript. The comments of 3 anonymous reviewers also improved the manuscript.</t>
  </si>
  <si>
    <t>0171-8630</t>
  </si>
  <si>
    <t>1616-1599</t>
  </si>
  <si>
    <t>MAR ECOL PROG SER</t>
  </si>
  <si>
    <t>Mar. Ecol.-Prog. Ser.</t>
  </si>
  <si>
    <t>10.3354/meps08758</t>
  </si>
  <si>
    <t>Ecology; Marine &amp; Freshwater Biology; Oceanography</t>
  </si>
  <si>
    <t>Environmental Sciences &amp; Ecology; Marine &amp; Freshwater Biology; Oceanography</t>
  </si>
  <si>
    <t>691GN</t>
  </si>
  <si>
    <t>WOS:000285068400019</t>
  </si>
  <si>
    <t>Riccialdelli, L; Newsome, SD; Fogel, ML; Goodall, RNP</t>
  </si>
  <si>
    <t>Riccialdelli, Luciana; Newsome, Seth D.; Fogel, Marilyn L.; Goodall, R. Natalie P.</t>
  </si>
  <si>
    <t>Isotopic assessment of prey and habitat preferences of a cetacean community in the southwestern South Atlantic Ocean</t>
  </si>
  <si>
    <t>Stable isotopes; delta C-13; delta N-15; Small cetaceans; Foraging areas; Food/prey; South Atlantic Ocean; Southern Ocean</t>
  </si>
  <si>
    <t>CEPHALORHYNCHUS-COMMERSONII LACEPEDE; TIERRA-DEL-FUEGO; GULF-OF-MEXICO; STABLE-ISOTOPES; TROPHIC RELATIONSHIPS; STOMACH CONTENTS; DIET COMPOSITION; ATMOSPHERIC CO2; FOOD-WEBS; SEA LION</t>
  </si>
  <si>
    <t>We used stable carbon (delta C-13) and nitrogen (delta N-15) isotope analysis to investigate the trophic ecology of 8 small cetacean species of the southwestern South Atlantic Ocean: 6 delphinids (Grampus griseus, Lagenorhynchus cruciger, L. australis, Lissodelphis peronii, Pseudorca crassidens, and Cephalorhynchus commersonii) and 2 phocoenids (Phocoena dioptrica and P. spinipinnis). We also analyzed samples of possible prey collected from oceanic and coastal habitats adjacent to Tierra del Fuego. Cetacean bone-collagen delta C-13 and delta N-15 data revealed information on both habitat and prey preferences. We observed an isotopic continuum in which coastal species had the highest values of delta C-13 and delta N-15 (L. australis), while oceanic and southern species had the lowest values (L. cruciger and P. dioptrica), indicative of offshore foraging in cold oceanic waters near the Antarctic Convergence. Overlap in mean isotope values between C. commersonii and P. spinipinnis suggests that these species may have similar habitat and/or prey preferences. Isotope results for L. peronii, P. crassidens, and G. griseus suggest that at these latitudes (similar to 54 degrees S) they forage on the outer continental shelf. G. griseus show bimodal isotopic patterns, suggesting that 2 ecotypes that forage in different habitats and/or consume different prey items occur in this region of the southwestern Atlantic Ocean. The isotopic data presented here provide insight into the ecology of these cetaceans, with relevant implications for their successful management and conservation.</t>
  </si>
  <si>
    <t>[Riccialdelli, Luciana; Goodall, R. Natalie P.] Ctr Austral Invest Cient CADIC, RA-9410 Ushuaia, Tierra Fuego, Argentina; [Riccialdelli, Luciana; Goodall, R. Natalie P.] Museo Acatushun Aves &amp; Mamiferos Marinos Australe, RA-9410 Ushuaia, Tierra Fuego, Argentina; [Newsome, Seth D.] Univ Wyoming, Dept Zool &amp; Physiol, Laramie, WY 82071 USA; [Fogel, Marilyn L.] Carnegie Inst Washington, Geophys Lab, Washington, DC 20015 USA</t>
  </si>
  <si>
    <t>University of Wyoming; Carnegie Institution for Science</t>
  </si>
  <si>
    <t>Riccialdelli, L (corresponding author), Ctr Austral Invest Cient CADIC, Bernardo A Houssay 200, RA-9410 Ushuaia, Tierra Fuego, Argentina.</t>
  </si>
  <si>
    <t>lriccialdelli@gmail.com</t>
  </si>
  <si>
    <t>Fogel, Marilyn L/M-2395-2015</t>
  </si>
  <si>
    <t>Carnegie Institution of Washington; W. M. Keck Foundation; Centro Austral de Investigaciones Cientificas (CADIC); Museo Acatushun de Aves y Mamiferos Marinos Australes; Consejo Nacional de Investigaciones Cientificas y Tecnicas of Argentina (CONICET); Cetacean Society International (CSI); Sigma-Xi Committee; Conservation and Research and Education Opportunities (CREO)</t>
  </si>
  <si>
    <t>Carnegie Institution of Washington; W. M. Keck Foundation(W.M. Keck Foundation); Centro Austral de Investigaciones Cientificas (CADIC)(Consejo Nacional de Investigaciones Cientificas y Tecnicas (CONICET)); Museo Acatushun de Aves y Mamiferos Marinos Australes; Consejo Nacional de Investigaciones Cientificas y Tecnicas of Argentina (CONICET)(Consejo Nacional de Investigaciones Cientificas y Tecnicas (CONICET)); Cetacean Society International (CSI); Sigma-Xi Committee; Conservation and Research and Education Opportunities (CREO)</t>
  </si>
  <si>
    <t>We thank A. J. Figini, J. Carbonari, R. Huarte, S. Favoretti, and R. Bastida for giving their help during different steps of the study. We also thank the Carnegie Institution of Washington and the W. M. Keck Foundation for financial support, and W. Wurzel for technical assistance. Centro Austral de Investigaciones Cientificas (CADIC) and Museo Acatushun de Aves y Mamiferos Marinos Australes gave us support. A. C. Jakle and N. A. Dellabianca provided constructive reviews. We especially appreciate the hard work of volunteers who located strandings and cleaned specimens in Tierra del Fuego over the past 3 decades. L.R.'s research was carried out under a PhD fellowship from Consejo Nacional de Investigaciones Cientificas y Tecnicas of Argentina (CONICET), and funded by grants from Cetacean Society International (CSI), Sigma-Xi Committee on Grants-in-Aid of Research, and Conservation and Research and Education Opportunities (CREO).</t>
  </si>
  <si>
    <t>10.3354/meps08826</t>
  </si>
  <si>
    <t>682RC</t>
  </si>
  <si>
    <t>WOS:000284419700019</t>
  </si>
  <si>
    <t>Kruse, S; Brey, T; Bathmann, U</t>
  </si>
  <si>
    <t>Kruse, Svenja; Brey, Thomas; Bathmann, Ulrich</t>
  </si>
  <si>
    <t>Role of midwater chaetognaths in Southern Ocean pelagic energy flow</t>
  </si>
  <si>
    <t>Chaetognatha; Antarctica; Midwater; Respiration; Energy budget</t>
  </si>
  <si>
    <t>OXYGEN-CONSUMPTION RATES; DEPTH-RELATED DECLINES; EASTERN WEDDELL SEA; SAGITTA-GAZELLAE; EUKROHNIA-HAMATA; METABOLIC-RATES; POPULATION-STRUCTURE; PREDATION IMPACT; BATHYPELAGIC COPEPODS; ELEMENTAL COMPOSITION</t>
  </si>
  <si>
    <t>We estimate the energy flow through meso-and bathypelagic chaetognaths in the Atlantic sector of the Southern Ocean from (1) depth-structured chaetognath abundance and body mass data, (2) a general chaetognath respiration model driven by body mass, temperature, water depth and taxon, and (3) published relationships between respiration, production and consumption in chaetognaths. In the 500 to 2000 m depth layer chaetognaths have a mean biomass of 0.109 mg C m-3 in summer and 0.146 mg C m-3 in winter. Chaetognaths respiration and consumption amount to 282 and 563 mg C m(-2) yr(-1), respectively. Thus, Antarctic midwater chaetognaths consume 0.05% of the copepod standing stock per day or 1% of the daily copepod production in summer. About 2.8% (= 1.9 g C m(-2) yr(-1)) of the net annual primary production is required to fuel the midwater chaetognath community via herbivorous copepods. When assuming a 1: 1 diet of herbivorous and carnivorous copepods, this share increases to 6.1% (= 4.1 g C m(-2) yr(-1)) of annual primary production. It is estimated that chaetognath consumption for the whole water column is 1.4 g C m(-2) yr(-1). This corresponds to 7.1% (= 4.8 g C m(-2) yr(-1)) and 15.5% (= 10.4 g C m(-2) yr(-1)) of the primary production channeled through herbivorous copepods and through herbivorous and carnivorous copepods, respectively. Hence, chaetognaths represent an important link between lower and higher trophic levels. To further unravel their role in the ecosystem, additional studies on the meso-and bathypelagic zooplankton community are needed.</t>
  </si>
  <si>
    <t>[Kruse, Svenja; Brey, Thomas; Bathmann, Ulrich] Alfred Wegener Inst Polar &amp; Marine Res, D-27570 Bremerhaven, Germany</t>
  </si>
  <si>
    <t>Kruse, S (corresponding author), Alfred Wegener Inst Polar &amp; Marine Res, Handelshafen 12, D-27570 Bremerhaven, Germany.</t>
  </si>
  <si>
    <t>svenja.kruse@awi.de</t>
  </si>
  <si>
    <t>Bathmann, Ulrich/ISV-4351-2023</t>
  </si>
  <si>
    <t>Brey, Thomas/0000-0002-6345-2851</t>
  </si>
  <si>
    <t>10.3354/meps08773</t>
  </si>
  <si>
    <t>670SA</t>
  </si>
  <si>
    <t>WOS:000283446400009</t>
  </si>
  <si>
    <t>Péron, C; Delord, K; Phillips, RA; Charbonnier, Y; Marteau, C; Louzao, M; Weimerskirch, H</t>
  </si>
  <si>
    <t>Peron, Clara; Delord, Karine; Phillips, Richard A.; Charbonnier, Yohan; Marteau, Cedric; Louzao, Maite; Weimerskirch, Henri</t>
  </si>
  <si>
    <t>Seasonal variation in oceanographic habitat and behaviour of white-chinned petrels Procellaria aequinoctialis from Kerguelen Island</t>
  </si>
  <si>
    <t>Foraging behaviour; Activity; Breeding; Non-breeding ground; Upwelling; Sea ice; Bycatch; Geolocation; Satellite tracking</t>
  </si>
  <si>
    <t>KRILL EUPHAUSIA-SUPERBA; AT-SEA DISTRIBUTION; LONGLINE FISHERY; SOUTH GEORGIA; SEABIRD ASSEMBLAGES; FORAGING BEHAVIOR; ACTIVITY PATTERNS; POPULATION-SIZE; PRYDZ BAY; ALBATROSSES</t>
  </si>
  <si>
    <t>Marine environments experience seasonal variation in physical and biological parameters, with consequent changes in predator distributions. During the breeding period, proximity to suitable feeding sites is essential for central place foragers, whereas during the non-breeding period their distribution is relatively unconstrained. We combined light-based geolocation and satellite tracking to investigate seasonal variation in foraging grounds and behaviour of white-chinned petrels from Kerguelen Island. Birds were associated with highly productive areas throughout the year. During breeding (summer), they performed long commuting trips from the colony to distant, productive Antarctic waters. Thereafter, birds migrated 5200 km westwards to the Benguela upwelling system off Namibia and South Africa to spend the winter. This seasonal shift of foraging grounds coincides with a change in activity patterns; much less time was spent in flight in winter than in summer. Individual variability in the locations of foraging zones and seasonal/daily activity patterns was low. Trip durations were shorter during chick-rearing than incubation, although birds often travelled as far or farther, tracking the gradual break up of pack ice. Habitat use models revealed an association with distance to sea-ice edge and chlorophyll a gradient during incubation, whereas sea surface temperature and chlorophyll a gradient best explained habitat use during chick rearing. White-chinned petrels are likely to overlap with other marine predators and fisheries throughout the year. Fishery bycatch constitutes the most significant direct threat to petrels at sea. Moreover, future climate-induced reductions in productivity could affect birds year-round.</t>
  </si>
  <si>
    <t>[Peron, Clara; Delord, Karine; Charbonnier, Yohan; Louzao, Maite; Weimerskirch, Henri] CNRS, UPR 1934, Ctr Etud Biol Chize, F-79369 Villiers En Bois, France; [Phillips, Richard A.] British Antarctic Survey, NERC, Cambridge CB3 0ET, England; [Marteau, Cedric] Terres Australes &amp; Antarctiques Francaises, F-97458 St Pierre, La Reunion, France; [Louzao, Maite] UFZ Helmholtz Ctr Environm Res, D-04318 Leipzig, Germany</t>
  </si>
  <si>
    <t>Centre National de la Recherche Scientifique (CNRS); UK Research &amp; Innovation (UKRI); Natural Environment Research Council (NERC); NERC British Antarctic Survey; Helmholtz Association; Helmholtz Center for Environmental Research (UFZ)</t>
  </si>
  <si>
    <t>Péron, C (corresponding author), CNRS, UPR 1934, Ctr Etud Biol Chize, F-79369 Villiers En Bois, France.</t>
  </si>
  <si>
    <t>peron@cebc.cnrs.fr</t>
  </si>
  <si>
    <t>Weimerskirch, Henri/F-5562-2013; PERON, Clara/E-9840-2015; PERON, CLARA/A-2248-2013; Louzao, Maite/N-5379-2014; Weimerskirch, Henri/K-7306-2019</t>
  </si>
  <si>
    <t>Weimerskirch, Henri/0000-0002-0457-586X; Louzao, Maite/0000-0002-9997-5144</t>
  </si>
  <si>
    <t>IPEV (French Polar Institute) at Kerguelen Island [109]; Syndicat des Armements Reunionnais de Palangriers Congelateurs (SARPC); Prince Albert II de Monaco Foundation; French Southern Territories (TAAF); ANR-Biodiversity (France); NERC [bas0100025] Funding Source: UKRI; Natural Environment Research Council [bas0100025] Funding Source: researchfish</t>
  </si>
  <si>
    <t>IPEV (French Polar Institute) at Kerguelen Island; Syndicat des Armements Reunionnais de Palangriers Congelateurs (SARPC); Prince Albert II de Monaco Foundation; French Southern Territories (TAAF); ANR-Biodiversity (France)(Agence Nationale de la Recherche (ANR)); NERC(UK Research &amp; Innovation (UKRI)Natural Environment Research Council (NERC)); Natural Environment Research Council(UK Research &amp; Innovation (UKRI)Natural Environment Research Council (NERC))</t>
  </si>
  <si>
    <t>This study was carried out at Kerguelen Island with the logistical and financial support of IPEV (French Polar Institute, Program No. 109 to H. W.). It was also supported by the Syndicat des Armements Reunionnais de Palangriers Congelateurs (SARPC), the Prince Albert II de Monaco Foundation and the French Southern Territories (TAAF). We thank all the fieldworkers involved in logger deployment or recovery: M. Nevoux, A. Jacquet, R. Perdriat, Q. Delorme, A. Knochel, J.-B. Thiebot, J. Nezan, J.-B. Pons. We also thank D. Pinaud for his help and advice on spatial analysis, and V. Lecomte and P. Pinet for their advice on activity data. Some of the data used in this paper were obtained from the Australian Antarctic Data Centre (IDN Node AMD/AU), a part of the Australian Antarctic Division (Commonwealth of Australia). These data are described in the metadata record 'Locations of the various fronts in the Southern Ocean' (Harris &amp; Orsi 2001, updated 2006). This study is a part of programs REMIGE and GLIDES funded by ANR-Biodiversity (France) and represents a contribution to the British Antarctic Survey Ecosystems Programme.</t>
  </si>
  <si>
    <t>U288</t>
  </si>
  <si>
    <t>10.3354/meps08785</t>
  </si>
  <si>
    <t>WOS:000283446400022</t>
  </si>
  <si>
    <t>Obermüller, BE; Morley, SA; Barnes, DKA; Peck, LS</t>
  </si>
  <si>
    <t>Obermueller, Birgit E.; Morley, Simon A.; Barnes, David K. A.; Peck, Lloyd S.</t>
  </si>
  <si>
    <t>Seasonal physiology and ecology of Antarctic marine benthic predators and scavengers</t>
  </si>
  <si>
    <t>Seasonality; Feeding activity; Metabolic activity; O:N ratio; Metabolic substrate; Polar benthos; Secondary consumers</t>
  </si>
  <si>
    <t>LIMPET NACELLA-CONCINNA; NITROGEN-EXCRETION; OXYGEN-CONSUMPTION; METABOLIC-RATE; HARPAGIFER-BISPINIS; PROTEIN-SYNTHESIS; FEEDING-ACTIVITY; SIGNY ISLAND; ROSS SEA; TEMPERATURE</t>
  </si>
  <si>
    <t>Pronounced seasonality in photoperiod and phytoplankton availability drives key physiological processes in many Antarctic primary consumers. To test the hypothesis that carnivores would be less markedly affected by environmental seasonality than benthic 'herbivores', we measured faecal egestion, oxygen consumption and nitrogen excretion every 2 to 3 mo for 18 mo in 5 benthic predators and scavengers common around Adelaide Island (West Antarctic Peninsula): the fish Harpagifer antarcticus, the brittle star Ophionotus victoriae, the nemertean Parborlasia corrugatus, the amphipod Paraceradocus miersii and the nudibranch Doris kerguelenensis. The degree of seasonality varied between species and was not consistent across the physiological parameters measured. Faecal egestion varied strongly between species and individuals. All species except Paraceradocus miersii ceased feeding for several months. No consistent seasonality in metabolic activity (oxygen consumption and nitrogen excretion) was observed, and seasonal factorial changes in oxygen consumption were less than in primary consumers. Use of metabolic substrates changed between seasons, particularly in H. antarcticus, which switched from a balanced diet to mainly protein utilisation at the start of winter. O. victoriae had the highest O:N ratio (232) and Parborlasia corrugatus the lowest (9), suggesting the latter species is the most exclusive carnivore. We conclude that food availability and quality is also variable for Antarctic secondary consumers but that this variation is not as tightly coupled to the environmental seasonality as in primary consumers. Other factors, such as reproductive activity, that are indirectly coupled to seasonal signals may have also been causing this variability.</t>
  </si>
  <si>
    <t>[Obermueller, Birgit E.; Morley, Simon A.; Barnes, David K. A.; Peck, Lloyd S.] British Antarctic Survey, NERC, Cambridge CB3 0ET, England</t>
  </si>
  <si>
    <t>Morley, SA (corresponding author), British Antarctic Survey, NERC, Madingley Rd, Cambridge CB3 0ET, England.</t>
  </si>
  <si>
    <t>smor@bas.ac.uk</t>
  </si>
  <si>
    <t>Natural Environment Research Council; NERC [bas0100025, dml011000] Funding Source: UKRI; Natural Environment Research Council [dml011000, bas0100025] Funding Source: researchfish</t>
  </si>
  <si>
    <t>We thank the Rothera Research Station dive, boating and support teams from 2006 to 2009 for their help with collecting and maintaining the animals. This study forms part of the British Antarctic Survey Bioflame and Polar Science for Planet Earth programmes. It was funded by the Natural Environment Research Council. The authors confirm that sampling of all species and use of animals in experiments was in accordance with respective guidelines and permits.</t>
  </si>
  <si>
    <t>10.3354/meps08735</t>
  </si>
  <si>
    <t>674RG</t>
  </si>
  <si>
    <t>WOS:000283764600010</t>
  </si>
  <si>
    <t>Van Opzeeland, I; Van Parijs, S; Bornemann, H; Frickenhaus, S; Kindermann, L; Klinck, H; Plötz, J; Boebel, O</t>
  </si>
  <si>
    <t>Van Opzeeland, Ilse; Van Parijs, Sofie; Bornemann, Horst; Frickenhaus, Stephan; Kindermann, Lars; Klinck, Holger; Ploetz, Joachim; Boebel, Olaf</t>
  </si>
  <si>
    <t>Acoustic ecology of Antarctic pinnipeds</t>
  </si>
  <si>
    <t>Weddell seal; Leptonychotes weddellii; Leopard seal; Hydrurga leptonyx; Ross seal; Ommatophoca rossii; Crabeater seal; Lobodon carcinophaga; Vocal repertoire; Vocal activity; Aquatic mating; Acoustic ecology</t>
  </si>
  <si>
    <t>SEALS LEPTONYCHOTES-WEDDELLI; MALE HARBOR SEALS; UNDERWATER VOCALIZATIONS; LOBODON-CARCINOPHAGUS; LEOPARD SEALS; ROSS SEAL; VESTFOLD HILLS; MCMURDO-SOUND; HYDRURGA-LEPTONYX; DIVING BEHAVIOR</t>
  </si>
  <si>
    <t>In aquatic-mating pinnipeds, acoustic communication plays an important role in male competition and mate attraction. Vocal repertoire size and composition during the breeding season varies between species and is presumed to be a product of interspecific differences in sexual selection. In this study, we examine seasonal and diel patterns in acoustic repertoire size, composition and call activity of 4 Antarctic pinniped species: Weddell seal Leptonychotes weddellii, leopard seal Hydrurga leptonyx, Ross seal Onunatophoca rossii and crabeater seal Lobodon carcinophaga. An 11 mo (Jan 2006 - Jan 2007, no recordings Jul and Nov 2006) near-continuous dataset was collected from the Perennial Acoustic Observatory in the Antarctic Ocean (PALAOA) located on the Ekstrom Iceshelf. The Weddell seal vocal repertoire consisted of 14 call types. Calls were present throughout the year except in February (11 mo), while repertoire composition varied considerably between months. The leopard seal vocal repertoire consisted of 7 call types. Calls were present between October and January (4 mo). All call types were used in a uniform manner throughout the entire call period. The Ross seal vocal repertoire consisted of 5 call types. Ross seal vocalizations were present from December until February (3 mo). Repertoire composition varied little between months. Crabeater seals produced one vocalization type, present from August to December (5 mo). Vocalizations in these species are likely produced in a breeding context. Inter-specific differences in behavioral ecology and interactions with abiotic and biotic environmental factors shape vocal behavior resulting in each species filling its own acoustic ecological niche.</t>
  </si>
  <si>
    <t>[Van Opzeeland, Ilse; Bornemann, Horst; Frickenhaus, Stephan; Kindermann, Lars; Ploetz, Joachim; Boebel, Olaf] Alfred Wegener Inst Polar &amp; Marine Res, D-27568 Bremerhaven, Germany; [Van Parijs, Sofie] NOAA, NE Fisheries Sci Ctr, Woods Hole, MA 02543 USA; [Klinck, Holger] Oregon State Univ, Hatfield Marine Sci Ctr, Cooperat Inst Marine Resources Studies, Newport, OR 97365 USA</t>
  </si>
  <si>
    <t>Helmholtz Association; Alfred Wegener Institute, Helmholtz Centre for Polar &amp; Marine Research; National Oceanic Atmospheric Admin (NOAA) - USA; Oregon State University</t>
  </si>
  <si>
    <t>Van Opzeeland, I (corresponding author), Alfred Wegener Inst Polar &amp; Marine Res, Am Alten Hafen 26, D-27568 Bremerhaven, Germany.</t>
  </si>
  <si>
    <t>ilse.van.opzeeland@awi.de</t>
  </si>
  <si>
    <t>Klinck, Holger/X-5214-2019</t>
  </si>
  <si>
    <t>Klinck, Holger/0000-0003-1078-7268; Frickenhaus, Stephan/0000-0002-0356-9791</t>
  </si>
  <si>
    <t>Bremerhavener Gesellschaft fur Innovationsforderung und Stadtentwicklung (BIS)</t>
  </si>
  <si>
    <t>S. Riedel, D. Steinhage, A. Ziffer and the overwintering teams 2005 and 2006 (Alfred Wegener Institute for Polar and Marine Research, Bremerhaven, Germany), H. Schubert (Reederei F. Laeisz GmbH, Rostock, Germany), R. Verhoeven, J. Hoffmann and C. Muller (FIELAX Services for Marine Science and Technology mbH, Bremerhaven, Germany) all played crucial roles in setting up and/or maintaining PALAOA. The PALAOA project was partly funded by the Bremerhavener Gesellschaft fur Innovationsforderung und Stadtentwicklung (BIS). We thank 4 anonymous referees for their constructive comments on our manuscript.</t>
  </si>
  <si>
    <t>10.3354/meps08683</t>
  </si>
  <si>
    <t>650YQ</t>
  </si>
  <si>
    <t>WOS:000281891100022</t>
  </si>
  <si>
    <t>Kreibich, T; Hagen, W; Saborowski, R</t>
  </si>
  <si>
    <t>Kreibich, Tobias; Hagen, Wilhelm; Saborowski, Reinhard</t>
  </si>
  <si>
    <t>Food utilization of two pelagic crustaceans in the Greenland Sea: Meganyctiphanes norvegica (Euphausiacea) and Hymenodora glacialis (Decapoda, Caridea)</t>
  </si>
  <si>
    <t>Life strategies; Feeding; Lipids; Fatty acids; Trophic markers; Proteinases</t>
  </si>
  <si>
    <t>COPEPOD CALANUS-HYPERBOREUS; ANTARCTIC KRILL; NORTHERN KRILL; FRAM STRAIT; VERTICAL MIGRATION; FATTY-ACIDS; WAX ESTERS; THYSANOESSA-INERMIS; OXYGEN-CONSUMPTION; LIPID-COMPOSITION</t>
  </si>
  <si>
    <t>Large pelagic crustaceans from Greenland Sea waters, the northern krill Meganyctiphanes norvegica (Euphausiacea) and the decapod shrimp Hymenodora glacialis (Caridea), were captured in depths down to 1500 m and studied with respect to their physiological food utilization abilities. Both species showed distinct differences in the amount of total lipids (TLs), lipid class and fatty acid (FA) compositions as well as proteolytic enzyme activities. In M. norvegica, the overall amount of TLs and storage lipids was much lower than in H. glacialis, and triacylglycerols formed the major lipid fraction with a mean of 48% TLs. Major FAs comprised the trophic markers 20:1(n-9) and 22:1(n-11), indicating the ingestion of calanid copepods. Additionally, the FAs 22:6(n-3), 18:1(n-9) and 16:0 prevailed. In H. glacialis, TLs (mean = 44% dry mass) were about twice as high as in krill, with wax esters comprising up to 89% TLs. H. glacialis seems to accumulate these lipids as energy reserves to survive periods of food limitation. Moreover, high lipid levels, particularly wax esters, also help to maintain neutral buoyancy. The major FA in H. glacialis was 18:1(n-9); other dominant FAs were 20:1(n-9) and 22:1(n-11), typical of calanid copepods, as well as the diatom trophic marker 16:1(n-7). Both species showed omnivorous feeding behaviour with a strong tendency towards carnivory. Total proteolytic activities in midgut gland tissue were higher in M. norvegica than in H. glacialis. In M. norvegica, proteinases were dominated by serine proteinases, whereas cysteine proteinases formed the major group in H. glacialis. High proteolytic activity in M. norvegica indicates a high digestive potential for proteins and efficient utilization of prey. The presence of different proteinase classes in both species may be due to different group-specific enzyme expression patterns between euphausiids and caridean decapods. Both species follow highly deviating life strategies, as reflected by their specific lipid and enzymatic characteristics.</t>
  </si>
  <si>
    <t>[Kreibich, Tobias; Saborowski, Reinhard] Alfred Wegener Inst Polar &amp; Marine Res, D-27515 Bremerhaven, Germany; [Kreibich, Tobias; Hagen, Wilhelm] Univ Bremen, D-28334 Bremen, Germany</t>
  </si>
  <si>
    <t>Helmholtz Association; Alfred Wegener Institute, Helmholtz Centre for Polar &amp; Marine Research; University of Bremen</t>
  </si>
  <si>
    <t>Saborowski, R (corresponding author), Alfred Wegener Inst Polar &amp; Marine Res, POB 120161, D-27515 Bremerhaven, Germany.</t>
  </si>
  <si>
    <t>reinhard.saborowski@awi.de</t>
  </si>
  <si>
    <t>Hagen, Wilhelm/0000-0002-7462-9931; Saborowski, Reinhard/0000-0003-0289-6501</t>
  </si>
  <si>
    <t>10.3354/meps08699</t>
  </si>
  <si>
    <t>646TW</t>
  </si>
  <si>
    <t>WOS:000281566900008</t>
  </si>
  <si>
    <t>McIntyre, T; Tosh, CA; Plötz, J; Bornemann, H; Bester, MN</t>
  </si>
  <si>
    <t>McIntyre, Trevor; Tosh, Cheryl A.; Ploetz, Joachim; Bornemann, Horst; Bester, Marthan N.</t>
  </si>
  <si>
    <t>Segregation in a sexually dimorphic mammal: a mixed-effects modelling analysis of diving behaviour in southern elephant seals</t>
  </si>
  <si>
    <t>Sexual segregation; Sexual dimorphism; Dive behaviour; Southern elephant seals; Linear mixed-effects models; Mirounga leonina</t>
  </si>
  <si>
    <t>ANTARCTIC FUR SEALS; MIROUNGA-LEONINA; FORAGING STRATEGIES; JUVENILE SOUTHERN; ADULT MALE; DIVE DURATION; HABITAT USE; DEPTH; DIET; ECOLOGY</t>
  </si>
  <si>
    <t>Sexual segregation in habitat use occurs in a number of animal species, including southern elephant seals, where differences in migration localities and dive behaviour between sexes have been recorded. Due to the extreme sexual size dimorphism exhibited by southern elephant seals, it is unclear whether observed differences in dive behaviour are due to increased physiological capacity of males, compared to females, or differences in activity budgets and foraging behaviour. Here we use a mixed-effects modelling approach to investigate the effects of sex, size, age and individual variation on a number of dive parameters measured on southern elephant seals from Marion Island. Although individual variation accounted for substantial portions of total model variance for many response variables, differences in maximum and targeted dive depths were always influenced by sex, and only partly by body length. Conversely, dive durations were always influenced by body length, while sex was not identified as a significant influence. These results support hypotheses that physiological capability associated with body size is a limiting factor on dive durations. However, differences in vertical depth use appear to be the result of differences in forage selection between sexes, rather than a by-product of the size dimorphism displayed by this species. This provides further support for resource partitioning and possible avoidance of inter-sexual competition in southern elephant seals.</t>
  </si>
  <si>
    <t>[McIntyre, Trevor; Tosh, Cheryl A.; Bester, Marthan N.] Univ Pretoria, Mammal Res Inst, Dept Zool &amp; Entomol, ZA-0002 Pretoria, South Africa; [Ploetz, Joachim; Bornemann, Horst] Alfred Wegener Inst Polar &amp; Marine Res, D-27515 Bremerhaven, Germany</t>
  </si>
  <si>
    <t>University of Pretoria; Helmholtz Association; Alfred Wegener Institute, Helmholtz Centre for Polar &amp; Marine Research</t>
  </si>
  <si>
    <t>McIntyre, T (corresponding author), Univ Pretoria, Mammal Res Inst, Dept Zool &amp; Entomol, ZA-0002 Pretoria, South Africa.</t>
  </si>
  <si>
    <t>tmcintyre@zoology.up.ac.za</t>
  </si>
  <si>
    <t>Tosh, Cheryl/D-5623-2016; Bester, Marthán N/E-5387-2010; McIntyre, Trevor/E-6846-2010</t>
  </si>
  <si>
    <t>Tosh, Cheryl/0000-0003-0243-5422; McIntyre, Trevor/0000-0001-8395-7550</t>
  </si>
  <si>
    <t>Alfred Wegener Institute for Polar and Marine Research (Germany); Department of Science and Technology through the National Research Foundation (South Africa); South African National Antarctic Programme</t>
  </si>
  <si>
    <t>We thank Nico de Bruyn, Chris Oosthuizen, Mashudu Phalanndwa, Ryan Reisinger, Thomas Mufanadzo, Phathu Radzilani, Brent Stewart and Greg Hofmeyr for assistance with deployments of satellite tags in the field. Nils Bunnefeld provided fruitful discussion on the use of mixed-effects models, and Nico de Bruyn and Nils Bunnefeld provided useful comments on a previous version of this manuscript. Christophe Guinet and 3 anonymous reviewers provided constructive criticism that greatly improved this manuscript. We are further grateful to the Alfred Wegener Institute for Polar and Marine Research (Germany), the Department of Science and Technology through the National Research Foundation (South Africa) and the South African National Antarctic Programme for financial and logistical support.</t>
  </si>
  <si>
    <t>10.3354/meps08680</t>
  </si>
  <si>
    <t>646TM</t>
  </si>
  <si>
    <t>WOS:000281565900024</t>
  </si>
  <si>
    <t>McLeay, LJ; Page, B; Goldsworthy, SD; Paton, DC; Teixeira, C; Burch, P; Ward, T</t>
  </si>
  <si>
    <t>McLeay, L. J.; Page, B.; Goldsworthy, S. D.; Paton, D. C.; Teixeira, C.; Burch, P.; Ward, T.</t>
  </si>
  <si>
    <t>Foraging behaviour and habitat use of a short-ranging seabird, the crested tern</t>
  </si>
  <si>
    <t>Bio-logging; Foraging ecology; Seabird; GPS; Habitat partitioning; Sterna bergii</t>
  </si>
  <si>
    <t>ANTARCTIC FUR SEALS; ENVIRONMENTAL-CONDITIONS; ARCTOCEPHALUS-GAZELLA; ENGRAULIS-AUSTRALIS; PREY DEPLETION; GPS TRACKING; ALBATROSSES; STRATEGY; PREDATOR; ANCHOVY</t>
  </si>
  <si>
    <t>We used satellite tracking technology on the crested tern Sterna bergii, a seabird weighing &lt;400 g. GPS units weighing &lt;22 g were deployed on adult terns brooding young chicks. Individuals typically commuted to foraging grounds &lt;40 km from the colony where their travel speeds slowed to &lt;= 10 km h(-1), presumably as prey encounter rates increased. Individuals undertook trips up to 4 h 17 min in length and 118 km in distance, and trip duration was positively correlated with the maximum distance and total distance traveled. Foraging behaviour, examined in relation to habitat characteristics (benthic habitat type, depth, sea surface temperature [SST], chlorophyll a [chl a]), was typically associated with warm (19 to 21 degrees C), shallow (&lt;20 m depth) waters that were relatively high in chl a (&gt;0.5 mg m(-3)). The most well-supported model (generalised linear mixed model) of foraging behaviour indicated a positive relationship between time spent at sea, distance travelled and chl a, suggesting individuals spent relatively more time foraging at greater distances from the colony in zones of higher primary production. The timing and location of crested tern breeding may be linked to the 2-fold increase in primary production near Troubridge Island over the austral summer. Individual differences in the length (distance and duration) of foraging trips may reflect either prior knowledge of where prey aggregations exist, distinctions in individual niche use driven by the types or sizes of prey available, and/or alternate behavioural states (self feeding and provisioning). The restricted foraging range of crested terns while breeding may make them sensitive to competition with fisheries that operate within their foraging range.</t>
  </si>
  <si>
    <t>[McLeay, L. J.; Page, B.; Goldsworthy, S. D.; Teixeira, C.; Burch, P.; Ward, T.] S Australian Res &amp; Dev Inst, Henley Beach, SA 5022, Australia; [McLeay, L. J.; Goldsworthy, S. D.; Paton, D. C.; Ward, T.] Univ Adelaide, Sch Earth &amp; Environm Sci, Adelaide, SA 5005, Australia; [Teixeira, C.] Univ New S Wales, Sch Math &amp; Stat, Sydney, NSW 2052, Australia</t>
  </si>
  <si>
    <t>University of Adelaide; University of New South Wales Sydney</t>
  </si>
  <si>
    <t>McLeay, LJ (corresponding author), S Australian Res &amp; Dev Inst, POB 120, Henley Beach, SA 5022, Australia.</t>
  </si>
  <si>
    <t>mcleay.lachie@saugov.sa.gov.au</t>
  </si>
  <si>
    <t>WARD, Timothy Mark/KDN-7596-2024; Teixeira, Carlos Eduardo Peres/B-1289-2008; Burch, Paul/J-7641-2014</t>
  </si>
  <si>
    <t>WARD, Timothy Mark/0000-0002-9003-2772; Teixeira, Carlos Eduardo Peres/0000-0002-2868-8914; Goldsworthy, Simon/0000-0003-4988-9085; Burch, Paul/0000-0002-9853-462X</t>
  </si>
  <si>
    <t>Australian Government's Fisheries Research and Development Corporation (FRDC) [PN 2005/031]; South Australian Sardine Fishery; Nature Foundation SA</t>
  </si>
  <si>
    <t>Australian Government's Fisheries Research and Development Corporation (FRDC)(Fisheries R&amp;D Corp); South Australian Sardine Fishery; Nature Foundation SA</t>
  </si>
  <si>
    <t>This study was principally supported through the Australian Government's Fisheries Research and Development Corporation (FRDC) Grants Scheme (PN 2005/031), co-funded by the South Australian Sardine Fishery. We also thank the Nature Foundation SA for financial assistance that supported the purchase of GPS units. All bird handling procedures were carried out under South Australian scientific research permit A24684. We thank volunteers A. Alexander, J. J. Brits, K. Daly, G. French, K. Jones, M. McLeay, J. Nichols and R. Sheldon and for their assistance during field operations, and C. Johnson and J. Johnson for providing logistical support and accommodation on Troubridge Island. Dr. J. Tanner provided the data relating to the habitat types of Gulf St Vincent. We are grateful to P. Rogers, J. Tanner and anonymous referees for insightful comments that greatly improved the manuscript.</t>
  </si>
  <si>
    <t>10.3354/meps08606</t>
  </si>
  <si>
    <t>636UH</t>
  </si>
  <si>
    <t>WOS:000280768100021</t>
  </si>
  <si>
    <t>Wienecke, B; Raymond, B; Robertson, G</t>
  </si>
  <si>
    <t>Wienecke, B.; Raymond, B.; Robertson, G.</t>
  </si>
  <si>
    <t>Maiden journey of fledgling emperor penguins from the Mawson Coast, East Antarctica</t>
  </si>
  <si>
    <t>Emperor penguins; Fledglings; Maiden voyage; Sea ice</t>
  </si>
  <si>
    <t>SEA-ICE; WATER MASSES; CIRCULATION; VARIABILITY; CURRENTS; OCEAN; MOLT</t>
  </si>
  <si>
    <t>The at-sea distribution of fledgling emperor penguins Aptenodytes forsteri is largely unknown. Seven and 10 fledglings, respectively, were satellite tracked on their maiden voyage from the colonies at Taylor Glacier in 1996 and from Auster in 2007. In both years, the young birds dispersed widely, well beyond the pack ice zone once they had left and reached open water. They spent a substantial part of their time north of 60 degrees S, i.e. outside the Antarctic Treaty area. The northernmost latitudes reached were 54 degrees 14' S in 1996 and 56 degrees 15' S in 2007. Their longitudinal distribution ranged from 7 to 93 degrees E. The fledglings did not congregate in particular feeding areas nor did they appear to be associated with oceanographic fronts or the sea ice in their first 2 to 3 mo at sea. Towards the beginning of winter, they changed course and headed south back towards the ice but not to their natal colonies.</t>
  </si>
  <si>
    <t>[Wienecke, B.; Raymond, B.; Robertson, G.] Australian Antarctic Div, Kingston, Tas 7050, Australia</t>
  </si>
  <si>
    <t>Wienecke, B (corresponding author), Australian Antarctic Div, 203 Channel Highway, Kingston, Tas 7050, Australia.</t>
  </si>
  <si>
    <t>barbara.wienecke@aad.gov.au</t>
  </si>
  <si>
    <t>10.3354/meps08629</t>
  </si>
  <si>
    <t>636UG</t>
  </si>
  <si>
    <t>WOS:000280768000020</t>
  </si>
  <si>
    <t>Klevjer, TA; Tarling, GA; Fielding, S</t>
  </si>
  <si>
    <t>Klevjer, T. A.; Tarling, G. A.; Fielding, S.</t>
  </si>
  <si>
    <t>Swarm characteristics of Antarctic krill Euphausia superba relative to the proximity of land during summer in the Scotia Sea</t>
  </si>
  <si>
    <t>Acoustics; Southern Ocean; Distribution; Vertical migration; Predation; Seals; Penguins; Fishery</t>
  </si>
  <si>
    <t>DIEL VERTICAL MIGRATION; SOUTH-GEORGIA; FUR SEALS; MACARONI PENGUINS; TARGET-STRENGTH; AGGREGATION CHARACTERISTICS; MEGANYCTIPHANES-NORVEGICA; ACOUSTIC OBSERVATIONS; SPATIAL-DISTRIBUTION; SOCIAL AGGREGATION</t>
  </si>
  <si>
    <t>We studied the relationship between the proximity of land and the distribution and swarming characteristics of Antarctic krill across the Scotia Sea in January and February 2003. Krill swarms identified with a Simrad EK60 (38 kHz, 120 kHz) echosounder were grouped into 4 categories according to distance from shoreline: 0 to 50 km, 50 to 100 km, 100 to 200 km and &gt;200 km. Cross-sectional areas of swarms were significantly larger inshore, with a mean value of 120 m(2) in the 0 to 50 km zone compared to &lt; 80 m(2) further offshore. The packing concentration of krill within inshore swarms was also significantly greater, with an average density of 95 ind. m(-3) compared to between 24 and 31 ind. m(-3) elsewhere. A large proportion of the biomass was concentrated into a small number of large, dense swarms throughout the survey area, and this trend increased with decreasing distance from shore. The highest median number of swarms per km and krill acoustic biomass per km was found in the 50 to 100 km zone. However, a significantly greater number of large, biomass-rich swarms occurred in the 0 to 50 km zone compared to all other zones. Swarms in the 0 to 50 km zone were also significantly further apart. The majority of swarms were located in the upper 50 m during the daytime although they were marginally deeper in the night in offshore regions. Krill are likely to move between inshore and offshore environments continuously over their lifetimes. The change in krill behaviour between environments could be a response to local predatory threats over short spatial and temporal scales.</t>
  </si>
  <si>
    <t>[Klevjer, T. A.] Univ Oslo, Dept Biol, N-01316 Oslo, Norway; [Tarling, G. A.; Fielding, S.] British Antarctic Survey, NERC, Cambridge CB3 0ET, England</t>
  </si>
  <si>
    <t>University of Oslo; UK Research &amp; Innovation (UKRI); Natural Environment Research Council (NERC); NERC British Antarctic Survey</t>
  </si>
  <si>
    <t>Klevjer, TA (corresponding author), Univ Oslo, Dept Biol, POB 1064, N-01316 Oslo, Norway.</t>
  </si>
  <si>
    <t>taklevjer@gmail.com</t>
  </si>
  <si>
    <t>Fielding, Sophie/E-5137-2012</t>
  </si>
  <si>
    <t>NARE programme; Natural Environment Research Council [bas0100025] Funding Source: researchfish; NERC [bas0100025] Funding Source: UKRI</t>
  </si>
  <si>
    <t>NARE programme; Natural Environment Research Council(UK Research &amp; Innovation (UKRI)Natural Environment Research Council (NERC)); NERC(UK Research &amp; Innovation (UKRI)Natural Environment Research Council (NERC))</t>
  </si>
  <si>
    <t>We thank the crew and scientists aboard the RRS 'James Clark Ross' during the cruise JR82 for their assistance in collecting material. We also thank D. Bone for assembling and maintaining the net gear and N. Cunningham for organising and retrieving data. This work was carried out as part of the DISCOVERY2010 and ECOSYSTEMS programmes at the British Antarctic Survey. The contribution of T. A. K. was funded by the NARE programme. Comments from the anonymous referees greatly improved this work.</t>
  </si>
  <si>
    <t>10.3354/meps08602</t>
  </si>
  <si>
    <t>614JR</t>
  </si>
  <si>
    <t>WOS:000279054000013</t>
  </si>
  <si>
    <t>Goldsworthy, SD; Page, B; Welling, A; Chambellant, M; Bradshaw, CJA</t>
  </si>
  <si>
    <t>Goldsworthy, Simon D.; Page, Brad; Welling, Andrew; Chambellant, Magaly; Bradshaw, Corey J. A.</t>
  </si>
  <si>
    <t>Selection of diving strategy by Antarctic fur seals depends on where and when foraging takes place</t>
  </si>
  <si>
    <t>Diving; Arctocephalus gazelle; Spatial foraging; Southern Ocean; Temporal variability</t>
  </si>
  <si>
    <t>ICEFISH CHAMPSOCEPHALUS-GUNNARI; ARCTOCEPHALUS-GAZELLA PETERS; MACKEREL ICEFISH; CALLORHINUS-URSINUS; MARINE PREDATOR; MESOPELAGIC FISH; BREEDING-SEASON; BEHAVIOR; DIET; ECOLOGY</t>
  </si>
  <si>
    <t>We investigated the spatial and temporal distribution of foraging effort by lactating Antarctic fur seals Arctocephalus gazella at Heard Island using satellite telemetry and time-depth recorders. Two principal diving types were identified: 'deep' dives averaging 48.6 m, and 'shallow' dives averaging 8.6 m. Discriminant function analyses were used to assign dives based on their depth and duration. Generalised linear mixed-effects models of night dives (&gt;80% of all dives) indicated both spatial and temporal effects on the distribution of deep and shallow dives. Deep dives were more common in the deeper shelf waters of the Kerguelen Plateau, and these dives predominantly occurred after sunset and before sunrise. In contrast, shallow dives were more common in slope waters on the southeastern margin of the Kerguelen Plateau in the hours either side of local midnight. We suggest that these 2 distinct diving types reflect the targeting of channichthyid (deep dives) and myctophid (shallow dives) fish, and are indicative of spatial and temporal differences in the availability of these 2 important prey groups. We also identified 3 distinct behavioural dive groups (based on multidimensional scaling of 19 diving and foraging trip parameters) that also differed in their spatial distribution and in their relative importance of deep and shallow dives. The present study provides some of the first evidence that diving strategies are not only influenced by where foraging takes pace, but also when.</t>
  </si>
  <si>
    <t>[Goldsworthy, Simon D.; Page, Brad; Bradshaw, Corey J. A.] S Australian Res &amp; Dev Inst, Aquat Sci Ctr, W Beach, SA 5024, Australia; [Chambellant, Magaly] CNRS, Ctr Etud Biol Chize, F-79360 Beauvoir Sur Niort, France; [Bradshaw, Corey J. A.] Univ Adelaide, Inst Environm, Adelaide, SA 5005, Australia; [Bradshaw, Corey J. A.] Univ Adelaide, Sch Earth &amp; Environm Sci, Adelaide, SA 5005, Australia</t>
  </si>
  <si>
    <t>Centre National de la Recherche Scientifique (CNRS); University of Adelaide; University of Adelaide</t>
  </si>
  <si>
    <t>Goldsworthy, SD (corresponding author), S Australian Res &amp; Dev Inst, Aquat Sci Ctr, 2 Hamra Ave, W Beach, SA 5024, Australia.</t>
  </si>
  <si>
    <t>simon.goldsworthy@sa.gov.au</t>
  </si>
  <si>
    <t>Bradshaw, Corey J. A./A-1311-2008</t>
  </si>
  <si>
    <t>Bradshaw, Corey J. A./0000-0002-5328-7741; Goldsworthy, Simon/0000-0003-4988-9085</t>
  </si>
  <si>
    <t>Australian Antarctic Division; Australian Antarctic Science Advisory Committee</t>
  </si>
  <si>
    <t>We thank the La Trobe University Animal Ethics Committee and the Department of the Environment and Heritage (Australia) for approval and permits to undertake this research. Logistic and financial support was provided by the Australian Antarctic Division and the Australian Antarctic Science Advisory Committee. We thank P. Scott for assistance in the field, and S. McClatchie and P. Burch for analytical support.</t>
  </si>
  <si>
    <t>U273</t>
  </si>
  <si>
    <t>10.3354/meps08611</t>
  </si>
  <si>
    <t>WOS:000279054000021</t>
  </si>
  <si>
    <t>Latasa, M; Scharek, R; Vidal, M; Vila-Reixach, G; Gutiérrez-Rodríguez, A; Emelianov, M; Gasol, JM</t>
  </si>
  <si>
    <t>Latasa, Mikel; Scharek, Renate; Vidal, Montserrat; Vila-Reixach, Gemma; Gutierrez-Rodriguez, Andres; Emelianov, Mikhail; Gasol, Josep M.</t>
  </si>
  <si>
    <t>Preferences of phytoplankton groups for waters of different trophic status in the northwestern Mediterranean Sea</t>
  </si>
  <si>
    <t>Spring bloom; Post-bloom; Stratification; Eutrophic conditions; Oligotrophic conditions</t>
  </si>
  <si>
    <t>PICOPLANKTON COMMUNITY STRUCTURE; NORTH PACIFIC-OCEAN; CLASS ABUNDANCES; COASTAL WATERS; HPLC-ANALYSIS; GLOBAL OCEAN; NORTHEASTERN ATLANTIC; ANTARCTIC PENINSULA; PIGMENT COMPOSITION; EQUATORIAL PACIFIC</t>
  </si>
  <si>
    <t>We examined the preferences of phytoplankton groups for waters of different trophic status by comparing the distribution of 8 main phytoplankton groups during the spring bloom, post-bloom, and late stratification periods in the northwestern Mediterranean. Pigment chemotaxonomy (using the CHEMTAX computer program) was applied to estimate the contribution of Prymnesiophyceae, Pelagophyceae, Synechococcus spp., Prochlorococcus spp., Prasinophyceae, Cryptophyceae, Dinophyceae, and Bacillariophyceae to the chlorophyll a (chl a) stock. Particulate organic nitrogen (PON) concentration was used as an indicator of trophic status. PON at the surface was 1.7 +/- 1.4, 0.57 +/- 0.02, and 0.37 +/- 0.04 mu mol l(-1) in the bloom, post-bloom, and stratification periods, respectively. During the bloom period, there was a weak stratification and a large chl a biomass. Bacillariophyceae dominated during the bloom period, with a substantial contribution of Prasinophyceae. Prymnesiophyceae and Synechococcus spp. dominated during post-bloom and stratification periods, and Prochlorococcus spp. was a major contributor to biomass in the deep chlorophyll maximum (DCM) during the stratification period. Vertical segregation was also evident for Pelagophyceae, Prymnesiophyceae, and Cryptophyceae, which preferred the DCM to surface layers in non-bloom conditions. The relative distribution of each group combined with PON concentrations in these 3 periods allowed us to calculate a group-specific trophic preference index, which showed its highest values (more eutrophic) for Bacillariophyceae, Prasinophyceae, Cryptophyceae, and Dinophyceae; medium values (mesotrophic) for Prymnesiophyceae, Pelagophyceae, and Synechococcus spp.; and a very low value (oligotrophic) for Prochlorococcus spp. The pigment-group diversity (Shannon index) and evenness were lower during the bloom period.</t>
  </si>
  <si>
    <t>[Latasa, Mikel; Scharek, Renate] Ctr Oceanog Gijon IEO, Gijon 33213, Spain; [Vidal, Montserrat; Vila-Reixach, Gemma] Univ Barcelona, Dept Ecol, E-08028 Barcelona, Spain; [Latasa, Mikel; Gutierrez-Rodriguez, Andres; Emelianov, Mikhail; Gasol, Josep M.] CSIC, Inst Ciencies Mar, E-08003 Barcelona, Spain</t>
  </si>
  <si>
    <t>University of Barcelona; Consejo Superior de Investigaciones Cientificas (CSIC); CSIC - Centro Mediterraneo de Investigaciones Marinas y Ambientales (CMIMA); CSIC - Instituto de Ciencias del Mar (ICM)</t>
  </si>
  <si>
    <t>Latasa, M (corresponding author), Ctr Oceanog Gijon IEO, Avda Principe Asturias 70 Bis, Gijon 33213, Spain.</t>
  </si>
  <si>
    <t>latasa@gi.ieo.es</t>
  </si>
  <si>
    <t>Vidal, Montserrat/L-6051-2014; Latasa, Mikel/D-2202-2011; Emelianov, Mikhail/M-1400-2014; Gutierrez Rodriguez, Andres/JLM-2332-2023; Gasol, Josep M/B-1709-2008; Scharek, Renate/M-4530-2018</t>
  </si>
  <si>
    <t>Latasa, Mikel/0000-0002-8202-0923; Emelianov, Mikhail/0000-0002-1459-2911; Gutierrez Rodriguez, Andres/0000-0003-1274-3752; Gasol, Josep M/0000-0001-5238-2387; Scharek, Renate/0000-0001-9306-9047</t>
  </si>
  <si>
    <t>Spanish Ministry of Education and Science [REN2002-04151-C02-01/MAR, REN2002-10809-E/MAR, REN-2002-10718-E/MAR]; Generalitat of Catalunya [2002PIRA00297]</t>
  </si>
  <si>
    <t>Spanish Ministry of Education and Science(Spanish Government); Generalitat of Catalunya(Generalitat de Catalunya)</t>
  </si>
  <si>
    <t>Funding for this study was provided by research grants from the Spanish Ministry of Education and Science (REN2002-04151-C02-01/MAR, REN2002-10809-E/MAR, and REN-2002-10718-E/MAR) and Generalitat of Catalunya (2002PIRA00297). We are grateful to the captains and crews of RVs 'Garcia del Cid' and 'Cornide de Saavedra' and colleagues on board for their invaluable help and great atmosphere shared during the cruises. C. Cardelus collected and analyzed the flow cytometry samples. We thank S. Wright for graciously providing a user-friendly version of CHEMTAX (v. 1.95), B. Mol for technical help with the pigment analyses, and G. Gonzalez-Nuevo for his suggestions. Four reviewers made valuable suggestions for improving the manuscript. This work has been carried out under the framework of the Convenio de Colaboracion between the IEO and the ICM-CSIC.</t>
  </si>
  <si>
    <t>10.3354/meps08559</t>
  </si>
  <si>
    <t>613KR</t>
  </si>
  <si>
    <t>Green Published, Bronze, Green Submitted</t>
  </si>
  <si>
    <t>WOS:000278978600003</t>
  </si>
  <si>
    <t>Ingels, J; Van den Driessche, P; De Mesel, I; Vanhove, S; Moens, T; Vanreusel, A</t>
  </si>
  <si>
    <t>Ingels, Jeroen; Van den Driessche, Pieter; De Mesel, Ilse; Vanhove, Sandra; Moens, Tom; Vanreusel, Ann</t>
  </si>
  <si>
    <t>Preferred use of bacteria over phytoplankton by deep-sea nematodes in polar regions</t>
  </si>
  <si>
    <t>Deep-sea nematodes; Bacteria; Phytoplankton; Polar regions</t>
  </si>
  <si>
    <t>MARGINAL ICE-ZONE; CARBON-ISOTOPE RATIOS; WEDDELL SEA; ORGANIC-MATTER; METAZOAN MEIOFAUNA; PHYTODETRITUS DEPOSITION; SEASONAL VARIABILITY; BENTHIC MEIOFAUNA; MICROBIAL-GROWTH; STABLE-ISOTOPES</t>
  </si>
  <si>
    <t>The present study explored the selective feeding properties of Antarctic and Arctic deep-sea nematodes within an experimental setup. Nematodes are assumed to play an important role in the carbon flux within the polar bathyal food webs, but knowledge about their natural diets is limited. For the first time, deep-sea multicore sediment samples from both polar regions were incubated aboard research vessels with either C-13-labelled bacteria or diatoms to determine whether the nematode community prefers freshly settled phytodetritus to a bacterial food source. The cores were collected at 2112 to 2400 m water depth and incubated onboard for 1, 3 and 6 d in the Arctic (Hausgarten) and for 1, 7 and 14 d in Antarctica (Kapp Norvegia). Natural carbon isotope signals of nematodes and organic sedimentary carbon showed a clear average offset (+3.2 parts per thousand). The contribution of bacteria to the diet of nematodes explained this C-13 offset and observed natural C-13 isotopic signatures. The nematodes showed a clear, relatively rapid (maximum at 6 to 7 d) and significant selective response to the pulse of C-13 enriched bacteria in surface sediments of both regions. This indicated that bacteria were preferred over fresh phytoplankton as a carbon source for both Arctic and Antarctic deep-sea nematode communities. The results also suggest that bacteria may provide a path through which unused detritus may enter the traditional metazoan food web by microbial reworking of organic matter. At the same time, uptake rates of nematode communities were minimal, which suggests the contribution of nematodes to benthic mineralisation of freshly deposited organic matter may be limited in deep polar seas.</t>
  </si>
  <si>
    <t>[Ingels, Jeroen; Van den Driessche, Pieter; Moens, Tom; Vanreusel, Ann] Univ Ghent, Dept Marine Biol, B-9000 Ghent, Belgium; [De Mesel, Ilse] Inst Marine Resources &amp; Ecosyst Studies, NL-4400 AB Yerseke, Netherlands; [Vanhove, Sandra] Int Polar Fdn, B-1070 Brussels, Belgium</t>
  </si>
  <si>
    <t>Ghent University; Wageningen University &amp; Research</t>
  </si>
  <si>
    <t>Ingels, J (corresponding author), Univ Ghent, Dept Marine Biol, Krijgslaan 281 S8, B-9000 Ghent, Belgium.</t>
  </si>
  <si>
    <t>jeroen.ingels@ugent.be</t>
  </si>
  <si>
    <t>Moens, Tom/AAB-8701-2019; Ingels, Jeroen/A-1691-2008</t>
  </si>
  <si>
    <t>Ingels, Jeroen/0000-0001-8342-2222</t>
  </si>
  <si>
    <t>Belgian Science Policy (BIANZO); European Commission [GOCE511234]; Ghent University [GOA 01GZ0705]</t>
  </si>
  <si>
    <t>Belgian Science Policy (BIANZO)(Belgian Federal Science Policy Office); European Commission(European Union (EU)European Commission Joint Research Centre); Ghent University(Ghent University)</t>
  </si>
  <si>
    <t>We are very much indebted to the Alfred-Wegener Institute for Polar and Marine Research and the captain and crew members of the RV 'Polarstern' as well as IFREMER and captain and crew of the RV 'I'Atalante'. Also scientific crew members are greatly acknowledged for their support with sampling; special thanks goes to E. Fahrbach and A. Brandt, the leading scientists during the Antarctic cruise. Furthermore, we thank Dr. M. Vincx for the use of research facilities. This research was performed under the auspices of the Scientific Research Programme on Antarctica from the Belgian Science Policy (BIANZO), the HERMES project (EC contract GOCE511234, funded by the European Commission's Sixth Framework Programme), and the concerted actions of Ghent University (GOA 01GZ0705).</t>
  </si>
  <si>
    <t>10.3354/meps08535</t>
  </si>
  <si>
    <t>606QD</t>
  </si>
  <si>
    <t>WOS:000278441200010</t>
  </si>
  <si>
    <t>Mackley, EK; Phillips, RA; Silk, JRD; Wakefield, ED; Afanasyev, V; Fox, JW; Furness, RW</t>
  </si>
  <si>
    <t>Mackley, Elizabeth K.; Phillips, Richard A.; Silk, Janet R. D.; Wakefield, Ewan D.; Afanasyev, Vsevolod; Fox, James W.; Furness, Robert W.</t>
  </si>
  <si>
    <t>Free as a bird? Activity patterns of albatrosses during the nonbreeding period</t>
  </si>
  <si>
    <t>Procellariiform; Seabird; Central place constraints; Commuting</t>
  </si>
  <si>
    <t>WANDERING ALBATROSSES; FORAGING STRATEGIES; PELAGIC SEABIRD; BEHAVIOR; MIGRATION; MOLT; MOVEMENTS; INSIGHTS; SHEARWATER; FISHERIES</t>
  </si>
  <si>
    <t>This is the first comprehensive study of at-sea activity patterns of albatrosses during the nonbreeding period, based on data from combination geolocator immersion loggers deployed on the wandering albatross Diomedea exulans, black-browed albatross Thalassarche melanophris, grey-headed albatross T. chrysostoma and light-mantled albatross Phoebetria palpebrata from South Georgia (54 degrees 00' S, 38 degrees 03' W). Differences in behaviour among species observed during the breeding season were maintained during the nonbreeding period, suggesting a high degree of foraging niche specialisation. Wandering albatrosses exhibited longer flight bouts, and spent more time on the water during daylight, than any of the smaller species. Light-mantled albatrosses were the most active nocturnally. During daylight, grey-headed albatrosses were the most aerial and black-browed albatrosses had the shortest flight bouts. Although all species still engaged in foraging behaviour predominantly during daylight, they spent a greater proportion of time on the water (presumably resting) during the nonbreeding period compared with the breeding period, suggesting that they could more readily meet their energy demands when no longer subject to central place constraints. There was no evidence from activity patterns that might suggest that wing feather moult handicaps flight capability during the nonbreeding period. Individuals of all species engaged in rapid east west commutes, when considerably higher proportions of time were spent in flight than while resident, in particular during daylight, possibly because birds are unable to navigate effectively during complete darkness. Despite consistency in individual dispersal patterns, there were year-to-year differences in the nocturnal behaviour of black-browed albatrosses, probably attributable to prey variability.</t>
  </si>
  <si>
    <t>[Mackley, Elizabeth K.; Phillips, Richard A.; Silk, Janet R. D.; Wakefield, Ewan D.; Afanasyev, Vsevolod; Fox, James W.] British Antarctic Survey, NERC, Cambridge CB3 0ET, England; [Mackley, Elizabeth K.; Furness, Robert W.] Univ Glasgow, Fac Biomed &amp; Life Sci, Glasgow G12 8QQ, Lanark, Scotland</t>
  </si>
  <si>
    <t>UK Research &amp; Innovation (UKRI); Natural Environment Research Council (NERC); NERC British Antarctic Survey; University of Glasgow</t>
  </si>
  <si>
    <t>Mackley, EK (corresponding author), British Antarctic Survey, NERC, High Cross,Madingley Rd, Cambridge CB3 0ET, England.</t>
  </si>
  <si>
    <t>liz_mackley@glasgowalumni.net</t>
  </si>
  <si>
    <t>Fox, James W./0000-0002-3107-696X</t>
  </si>
  <si>
    <t>10.3354/meps08532</t>
  </si>
  <si>
    <t>WOS:000278441200023</t>
  </si>
  <si>
    <t>Nikula, R; Fraser, CI; Spencer, HG; Waters, JM</t>
  </si>
  <si>
    <t>Nikula, R.; Fraser, C. I.; Spencer, H. G.; Waters, J. M.</t>
  </si>
  <si>
    <t>Circumpolar dispersal by rafting in two subantarctic kelp-dwelling crustaceans</t>
  </si>
  <si>
    <t>Rafting; Long-distance dispersal; Marine biogeography; Phylogeography; Macroalga; mtDNA; Peracarida; Durvillaea antarctica</t>
  </si>
  <si>
    <t>MACROCYSTIS SPP. PHAEOPHYCEAE; WEST WIND DRIFT; SOUTHERN-OCEAN; MARINE-ENVIRONMENT; POPULATION-GROWTH; GENETIC DIVERSITY; BIOGEOGRAPHY; DNA; INVERTEBRATES; HEMISPHERE</t>
  </si>
  <si>
    <t>Long-distance oceanic rafting is frequently invoked as an explanation for broad geographic distributions of sedentary marine taxa, but evidence for this ecological process remains elusive. We explored empirically the potential of rafting as a dispersal mechanism by comparing circumpolar mtDNA variability in 3 codistributed subantarctic taxa: 2 direct-developing epifaunal crustacean species (Limnoria stephenseni, Parawaldeckia kidderi) and their macroalgal host (Durvillaea antarctica). A previous study of D. antarctica suggests that its subantarctic populations were established only postglacially, and we predict that the epifaunal invertebrates associated with it experienced a parallel island-colonization episode, facilitated by kelp-rafting. We generated and analysed mtDNA sequence data (cytochrome oxidase subunit I [COI] gene, &gt;900 base pairs) from 89 L. stephenseni and 62 P. kidderi specimens and reanalysed previously published comparable data for D. antarctica. Both epifaunal species exhibited wide-scale circumpolar distributions of a single haplotype. Little sequence diversity was found within island samples, with the exception of P. kidderi in the Falkland Islands. The phylogeographic diversity and structuring of the invertebrates was very similar to that of their kelp host and consistent with a scenario of subantarctic recolonization and population expansion. The dependence of these otherwise non-dispersive crustaceans on macroalgal holdfasts for food and habitat, as well as the great abundance of D. antarctica adrift in the Antarctic Circumpolar Current (ACC), support rafting as their most plausible recolonization mechanism. We suggest that macroalgal rafting may explain similarities in the species composition of intertidal marine communities across the subantarctic.</t>
  </si>
  <si>
    <t>[Nikula, R.; Fraser, C. I.; Spencer, H. G.; Waters, J. M.] Univ Otago, Allan Wilson Ctr Mol Ecol &amp; Evolut, Dept Zool, Dunedin 9054, New Zealand</t>
  </si>
  <si>
    <t>Nikula, R (corresponding author), Univ Otago, Allan Wilson Ctr Mol Ecol &amp; Evolut, Dept Zool, POB 56, Dunedin 9054, New Zealand.</t>
  </si>
  <si>
    <t>raisa.nikula@otago.ac.nz</t>
  </si>
  <si>
    <t>Waters, Jonathan/B-4983-2009; Nikula, Raisa A-M/B-4137-2011; Spencer, Hamish G/B-9637-2008</t>
  </si>
  <si>
    <t>Waters, Jonathan/0000-0002-1514-7916; Spencer, Hamish G/0000-0001-7531-597X; Fraser, Ceridwen/0000-0002-6918-8959</t>
  </si>
  <si>
    <t>Marsden Fund [07-UOO-099]; Shackleton Scholarship Fund; Department of Zoology in the University of Otago; Allan Wilson Centre for Molecular Ecology and Evolution</t>
  </si>
  <si>
    <t>Marsden Fund(Royal Society of New ZealandMarsden Fund (NZ)); Shackleton Scholarship Fund; Department of Zoology in the University of Otago; Allan Wilson Centre for Molecular Ecology and Evolution</t>
  </si>
  <si>
    <t>We are grateful to the persons and organisations that helped us in sample collection, including: I. Ansorge (University of Cape Town) and the South African National Antarctic Program; M. Lebouvier, S. Gutjahr, S. Mallol, J. P. Orts and D. Renault (French Polar Institute, IPEV programme 136); A. Wiebkin, J. Doube and R. Clifton (Australian Antarctic Division); P. Brick le and J. Brown (Department of Fisheries, Falkland Islands) and I. Strange; S. Banks (Department of Conservation, New Zealand) and G. Wilson (University of Otago); Heritage Expeditions. We thank L. J. Cookson and G. Fenwick for taxonomic identifications of isopods and amphipods, respectively. T. King is acknowledged for assistance and advice in the laboratory. K. Miller kindly compiled Fig. 2 from photographs taken by C.I.F. We thank anonymous reviewers for their helpful comments on the manuscript. Resources for our work were provided by the Marsden Fund (contract 07-UOO-099), Shackleton Scholarship Fund, Department of Zoology in the University of Otago and Allan Wilson Centre for Molecular Ecology and Evolution.</t>
  </si>
  <si>
    <t>10.3354/meps08523</t>
  </si>
  <si>
    <t>601EP</t>
  </si>
  <si>
    <t>WOS:000278041300016</t>
  </si>
  <si>
    <t>Santora, JA; Reiss, CS; Loeb, VJ; Veit, RR</t>
  </si>
  <si>
    <t>Santora, Jarrod A.; Reiss, Christian S.; Loeb, Valerie J.; Veit, Richard R.</t>
  </si>
  <si>
    <t>Spatial association between hotspots of baleen whales and demographic patterns of Antarctic krill Euphausia superba suggests size-dependent predation</t>
  </si>
  <si>
    <t>Antarctica; Euphausia superba; Krill; Fin whale; Humpback whale; Minke whale; Spatial association; Hotspot</t>
  </si>
  <si>
    <t>SEA-ICE EXTENT; MEGAPTERA-NOVAEANGLIAE; MINKE WHALES; SCOTIA SEA; SOUTHWEST ATLANTIC; BRANSFIELD STRAIT; FORAGING BEHAVIOR; HUMPBACK WHALES; ELEPHANT-ISLAND; HABITAT</t>
  </si>
  <si>
    <t>We examined the spatial association between baleen whales and their principal prey, Antarctic krill Euphausia superba near the South Shetland Islands (Antarctic Peninsula) using data collected by the US Antarctic Marine Living Resources (AMLR) program during January surveys from 2003 through 2007. Whale distributions were determined using ship-based visual surveys, while data on krill distribution, abundance, and demographic characteristics were derived from net hauls. Approximately 25 000 km of transects and 500 net hauls were sampled over 5 yr. We defined hotspots based on statistical criteria to describe persistent areas of occurrence of both whales and krill. Hotspots were identified, and whales and krill length-maturity classes exhibited distinct spatial segregation in their distribution patterns. We found that baleen whales aggregated to krill hotspots that differed in size structure. Humpback whales Megaptera novaeangliae were associated with small (&lt;35 mm) juvenile krill in Bransfield Strait, whereas fin whales Balaenoptera physalus were associated with large (&gt;45 mm) mature krill located offshore. Overlapping these size-dependent krill distributions, Antarctic minke whales B. bonaerensis were associated with intermediate sized krill (35-44 mm). The correlation among different whale species and krill swarms of differing size composition presents an intriguing pattern that deserves further study.</t>
  </si>
  <si>
    <t>[Santora, Jarrod A.] Farallon Inst Adv Ecosyst Res, Petaluma, CA 94952 USA; [Santora, Jarrod A.; Reiss, Christian S.] SW Fisheries Sci Ctr, Antarctic Ecosyst Res Div, La Jolla, CA 92037 USA; [Loeb, Valerie J.] Moss Landing Marine Labs, Moss Landing, CA 95039 USA; [Veit, Richard R.] CUNY Coll Staten Isl, Dept Biol, Staten Isl, NY 10314 USA</t>
  </si>
  <si>
    <t>National Oceanic Atmospheric Admin (NOAA) - USA; Moss Landing Marine Laboratories; City University of New York (CUNY) System; College of Staten Island (CUNY)</t>
  </si>
  <si>
    <t>Santora, JA (corresponding author), Farallon Inst Adv Ecosyst Res, POB 750756, Petaluma, CA 94952 USA.</t>
  </si>
  <si>
    <t>jasantora@gmail.com</t>
  </si>
  <si>
    <t>NSF-OPP [OPP-9983751]</t>
  </si>
  <si>
    <t>NSF-OPP(National Science Foundation (NSF))</t>
  </si>
  <si>
    <t>The data presented here could not have been collected without the hard work of many sea-going US AMLR field season participants. We are grateful for the assistance, dedication, and patience of the captain and crew of the RV 'Yuzhmorgeologiya.' We thank the past AMLR chief scientists (R. P. Hewitt and A. Jenkins) for facilitating this field program component. 'During 2003 to 2005, the predator observation program was made possible by an NSF-OPP grant (OPP-9983751) to R.R.V. This paper was improved by the comments of 2 anonymous reviewers.</t>
  </si>
  <si>
    <t>10.3354/meps08513</t>
  </si>
  <si>
    <t>WOS:000278041300019</t>
  </si>
  <si>
    <t>Alderman, R; Gales, R; Hobday, AJ; Candy, SG</t>
  </si>
  <si>
    <t>Alderman, R.; Gales, R.; Hobday, A. J.; Candy, S. G.</t>
  </si>
  <si>
    <t>Post-fledging survival and dispersal of shy albatross from three breeding colonies in Tasmania</t>
  </si>
  <si>
    <t>Satellite tracking; Foraging grounds; Juvenile albatross; Survival; Thalassarche cauta</t>
  </si>
  <si>
    <t>AT-SEA DISTRIBUTION; WHITE-CAPPED ALBATROSSES; BLACK-BROWED ALBATROSSES; SOUTHERN ELEPHANT SEALS; TUNA THUNNUS-MACCOYII; WANDERING ALBATROSSES; SATELLITE-TRACKING; DIOMEDEA-EXULANS; FORAGING DESTINATIONS; MACQUARIE ISLAND</t>
  </si>
  <si>
    <t>Limited knowledge of the movements of post-fledging albatross represents a significant gap in understanding albatross biology and conservation. Without clearer understanding of at-sea distribution and mortality during this life-history stage, the threats to albatrosses cannot be managed appropriately. We investigated this early at-sea behaviour of shy albatrosses Thalassarche cauta, which breed only in Tasmania. We deployed 48 satellite transmitters on fledgling birds from each of the 3 Tasmanian populations over 4 separate seasons. We observed population differences in the at-sea distribution, with the northern Albatross Island population foraging exclusively in southern Australian shelf waters to the west of the breeding colony. Birds from the 2 populations in southern Tasmania (Mewstone and Pedra Branca) also favoured these areas; however, they showed greater tendency to traverse the high seas and forage further west. These differences in spatial distribution mean populations have different exposure to fisheries and consequent risk of bycatch. Analysis of the satellite data and supporting evidence from band recoveries showed that juvenile mortality is highest in the period immediately after fledging. We speculate that this is related to foraging failure of naive birds. Differences between the 3 populations in post-fledging mortality were apparent. Albatross Island birds have greater chance of surviving the crucial initial learning period after fledging than either of the 2 southern populations, possibly due to proximity to food resources.</t>
  </si>
  <si>
    <t>[Alderman, R.; Gales, R.] Dept Primary Ind Parks Water &amp; Environm DPIPWE, Hobart, Tas 7001, Australia; [Alderman, R.; Hobday, A. J.] Univ Tasmania, Quantitat Marine Sci Program, Hobart, Tas 7001, Australia; [Alderman, R.; Hobday, A. J.] Univ Tasmania, Sch Zool, Hobart, Tas 7001, Australia; [Hobday, A. J.] CSIRO Marine &amp; Atmospher Res, Wealth Oceans Flagship, Hobart, Tas 7001, Australia; [Candy, S. G.] Australian Antarctic Div, Kingston, Tas 7050, Australia</t>
  </si>
  <si>
    <t>University of Tasmania; University of Tasmania; Commonwealth Scientific &amp; Industrial Research Organisation (CSIRO); Australian Antarctic Division</t>
  </si>
  <si>
    <t>Alderman, R (corresponding author), Dept Primary Ind Parks Water &amp; Environm DPIPWE, Hobart, Tas 7001, Australia.</t>
  </si>
  <si>
    <t>rachael.alderman@dpipwe.tas.gov.au</t>
  </si>
  <si>
    <t>Hobday, Alistair/A-1460-2012</t>
  </si>
  <si>
    <t>10.3354/meps08590</t>
  </si>
  <si>
    <t>WOS:000278041300020</t>
  </si>
  <si>
    <t>Ballard, G; Dugger, KM; Nur, N; Ainley, DG</t>
  </si>
  <si>
    <t>Ballard, Grant; Dugger, Katie M.; Nur, Nadav; Ainley, David G.</t>
  </si>
  <si>
    <t>Foraging strategies of Adelie penguins: adjusting body condition to cope with environmental variability</t>
  </si>
  <si>
    <t>Adelie penguin; Adult condition; Chick provisioning; Environmental variability; Foraging effort; Foraging trip duration; Iceberg; Parental investment; Sea ice; Weighbridge</t>
  </si>
  <si>
    <t>SEA-ICE; BECHERVAISE-ISLAND; NATURAL-SELECTION; ANTARCTIC PETREL; BLUE TITS; ROSS SEA; CHICK; SEABIRD; LONG; COSTS</t>
  </si>
  <si>
    <t>Animals modulate breeding effort by balancing investment in self-maintenance against investment in their young, potentially impacting reproductive success when faced with difficult conditions. This life history trade-off model has been evaluated for flying birds, especially those that forage over large pelagic regions of relatively sparse prey availability. We evaluated its applicability to penguins which, lacking flight, depend on reliably available prey relatively close to colonies. We used transponders and an automated weighing system to monitor 40 to 75 breeding Adelie penguins Pygoscelis adeliae per season for 10 seasons, while environmental conditions varied dramatically, measuring foraging trip duration, parental mass change, and total food load delivered to chicks. Parents that lost the most mass during breeding provided more food to chicks while maintaining their own condition. In contrast, in years when adult mass was lower to begin with, parents recovered their own condition and delivered less food to chicks. Food loads were also related to environmental variables, with parents making longer trips and delivering less food when access to prey was more difficult, but delivering more food to 2-chick broods than to 1-chick broods. Penguins did not alternate between short (chick provisioning) and long (self-maintenance) trips, as has been observed in far-ranging seabirds. Nevertheless, our results indicate they regulated their condition depending on environmental and physiological factors, with impacts on the amount of food delivered to young and pre-fledging mass. Parental choice of multiple foraging habitats and depletion of prey in the nearest habitat due to intraspecific competition have important implications in explaining contrasting patterns observed among studies investigating the life history trade-off model in birds.</t>
  </si>
  <si>
    <t>[Ballard, Grant; Nur, Nadav] PRBO Conservat Sci, Petaluma, CA 94954 USA; [Ballard, Grant] Univ Auckland, Sch Biol Sci, Auckland 1, New Zealand; [Dugger, Katie M.] Oregon State Univ, Dept Fisheries &amp; Wildlife, Corvallis, OR 97331 USA; [Ainley, David G.] HT Harvey &amp; Associates, Los Gatos, CA 95032 USA</t>
  </si>
  <si>
    <t>University of Auckland; Oregon State University</t>
  </si>
  <si>
    <t>Ballard, G (corresponding author), PRBO Conservat Sci, 3820 Cypress Dr 11, Petaluma, CA 94954 USA.</t>
  </si>
  <si>
    <t>gballard@prbo.org</t>
  </si>
  <si>
    <t>US Antarctic Program; Antarctica New Zealand; NSF [OPP 9526865, OPP 9814882, OPP 0125608, OPP 0440643]; University of Auckland, School of Biological Sciences; New Zealand Foundation for Research, Science, and Technology [CO 9527]</t>
  </si>
  <si>
    <t>US Antarctic Program; Antarctica New Zealand; NSF(National Science Foundation (NSF)); University of Auckland, School of Biological Sciences; New Zealand Foundation for Research, Science, and Technology(New Zealand Foundation for Research, Science and Technology)</t>
  </si>
  <si>
    <t>M. Beigel and N. Polish developed a weighbridge that operated well under challenging conditions. I. Gaffney, S. Heath, V. Toniolo, M. Hester, A. Lescroel, V. Marsaudon, V. Patil, R. Orben, L. Sheffield, S. Webb, J. Blum, B. Saenz, C. McCreedy, and K. Lindquist provided expert field assistance. A. Archer and staff at UC San Diego's Arctic and Antarctic Research Center assisted with acquiring satellite imagery. The US Antarctic Program and Antarctica New Zealand provided logistic support; financial support was provided by NSF grants OPP 9526865, 9814882, 0125608, and 0440643. G.B. received additional support from the University of Auckland, School of Biological Sciences. The prototype weighbridge was funded by the New Zealand Foundation for Research, Science, and Technology, grant CO 9527. We are grateful for the review of drafts by C. Barbraud, M. Hauber, A. Lescroel, S. Olmastroni, and 2 anonymous referees. This is PRBO contribution no. 1716.</t>
  </si>
  <si>
    <t>10.3354/meps08514</t>
  </si>
  <si>
    <t>WOS:000278041300021</t>
  </si>
  <si>
    <t>Underwood, GJC; Fietz, S; Papadimitriou, S; Thomas, DN; Dieckmann, GS</t>
  </si>
  <si>
    <t>Underwood, Graham J. C.; Fietz, Susanne; Papadimitriou, Stathys; Thomas, David N.; Dieckmann, Gerhard S.</t>
  </si>
  <si>
    <t>Distribution and composition of dissolved extracellular polymeric substances (EPS) in Antarctic sea ice</t>
  </si>
  <si>
    <t>Extracellular polymeric substances; EPS; Dissolved organic carbon; DOC; Carbohydrates; Microalgae; Sea ice; Brine; Antarctic</t>
  </si>
  <si>
    <t>TRANSPARENT EXOPOLYMER PARTICLES; PARTICULATE ORGANIC-MATTER; WEDDELL SEA; CHEMICAL-CHARACTERIZATION; MACKENZIE SHELF; GAP LAYERS; ROSS SEA; CARBON; DIATOM; DYNAMICS</t>
  </si>
  <si>
    <t>Concentrations and chemical composition of carbohydrates in dissolved organic carbon (DOC) and in extracellular polymeric substances (EPS) from brines, ice cores, gap layers in sea ice and associated surface waters were determined during 2004 and 2006 in the Weddell Sea, Antarctica. High levels of spatial heterogeneity were a common feature in these habitats, with DOC concentrations ranging from 45 to 669 mu mol C kg(-1). The highest concentrations of DOC and carbohydrate were measured in bulk sea-ice brines. Concentrations of dissolved carbohydrate (&gt;8 kDa in size) varied between 31 and 255 mu mol C kg(-1) (glucose-carbon equivalent), and consisted of ca. 40 % of the DOC in melted ice cores, and 10 to 20 % of the DOC in ice brines. Dissolved carbohydrate and DOC concentrations were significantly correlated to chl a. Carbohydrate present as EPS (determined by selective alcohol precipitation) made up &gt;68% of dissolved carbohydrates in all sea ice habitats. There were significant differences in concentration and relative importance of different EPS size fractions, and in the uronic acid content and monosaccharide composition (especially for glucose contribution), of different sea ice habitats, in relation to chl a concentrations, and between the 2 sampling cruises. High algal biomass was associated with greater relative abundance of glucose-rich EPS. Fractionation of EPS on the basis of solubility found that the least soluble EPS fraction contained substantial amounts of uronic acids and higher proportions of mannose, xylose, fucose and rhamnose than the more soluble EPS fractions. This relatively insoluble EPS fraction had characteristics that could contribute to a hydrophobic and structured microenvironment surrounding cells. EPS thus modify the local environment in sea ice brine channels, and form a chemically diverse source of DOC to the water column upon ice melt.</t>
  </si>
  <si>
    <t>[Underwood, Graham J. C.; Fietz, Susanne] Univ Essex, Dept Biol Sci, Colchester CO4 3SQ, Essex, England; [Papadimitriou, Stathys; Thomas, David N.] Bangor Univ, Coll Nat Sci, Menai Bridge LL59 5AB, Anglesey, Wales; [Dieckmann, Gerhard S.] Alfred Wegener Inst Polar &amp; Marine Res, D-27570 Bremerhaven, Germany</t>
  </si>
  <si>
    <t>University of Essex; Bangor University; Helmholtz Association; Alfred Wegener Institute, Helmholtz Centre for Polar &amp; Marine Research</t>
  </si>
  <si>
    <t>Underwood, GJC (corresponding author), Univ Essex, Dept Biol Sci, Wivenhoe Pk, Colchester CO4 3SQ, Essex, England.</t>
  </si>
  <si>
    <t>gjcu@essex.ac.uk</t>
  </si>
  <si>
    <t>Dieckmann, Gerhard S/B-4307-2010; Thomas, David Neville/B-1448-2010; Fietz, Susanne/A-8695-2012</t>
  </si>
  <si>
    <t>Thomas, David Neville/0000-0001-8832-5907; Underwood, Graham/0000-0001-5605-0697; Papadimitriou, Stathys/0000-0001-8540-1169; Fietz, Susanne/0000-0003-0896-8385</t>
  </si>
  <si>
    <t>NERC [NE/000681/1, NE/E016251/1]; The Royal Society; The Leverhulme Trust; Deutsche Forschungsgemeinschaft (DFG); NERC [NE/D003598/1, NE/D006988/1, NE/E015409/1, NE/E016251/1] Funding Source: UKRI; Natural Environment Research Council [NE/D003598/1, NE/E016251/1, NE/D006988/1, NE/E015409/1] Funding Source: researchfish</t>
  </si>
  <si>
    <t>NERC(UK Research &amp; Innovation (UKRI)Natural Environment Research Council (NERC)); The Royal Society(Royal Society); The Leverhulme Trust(Leverhulme Trust); Deutsche Forschungsgemeinschaft (DFG)(German Research Foundation (DFG)); NERC(UK Research &amp; Innovation (UKRI)Natural Environment Research Council (NERC)); Natural Environment Research Council(UK Research &amp; Innovation (UKRI)Natural Environment Research Council (NERC))</t>
  </si>
  <si>
    <t>This work was funded by NERC (grants NE/000681/1 and NE/E016251/1), The Royal Society and The Leverhulme Trust. S.F. thanks the Deutsche Forschungsgemeinschaft (DFG) for partial support. We thank the master and crew of the RV 'Polarstern' and helicopter crews for their help in making the sampling possible, as well as many colleagues from the ISPOL and WWOS teams who helped in fieldwork activities. In particular we thank L. Norman, C. Haas, M. Nicolaus, A. Batzke, H. Betts, E. Allhusen, A. Scheltz and R. Thomas, We also acknowledge the anonymous reviewers who provided extremely helpful and constructive comments.</t>
  </si>
  <si>
    <t>10.3354/meps08557</t>
  </si>
  <si>
    <t>590MJ</t>
  </si>
  <si>
    <t>WOS:000277230100001</t>
  </si>
  <si>
    <t>Klimpel, S; Busch, MW; Kuhn, T; Rohde, A; Palm, HW</t>
  </si>
  <si>
    <t>Klimpel, Sven; Busch, Markus W.; Kuhn, Thomas; Rohde, Anika; Palm, Harry W.</t>
  </si>
  <si>
    <t>The Anisakis simplex complex off the South Shetland Islands (Antarctica): endemic populations versus introduction through migratory hosts</t>
  </si>
  <si>
    <t>Anisakis simplex C; Anisakis pegreffii; South Shetland Islands; Southern Ocean (Antarctica); Myctophids; Sibling species; Zoogeography</t>
  </si>
  <si>
    <t>MID-ATLANTIC RIDGE; LIFE-CYCLE; ASCARIDOID NEMATODES; WEDDELL SEA; MOLECULAR SYSTEMATICS; CONTRACAECUM-RADIATUM; NOTOTHENIA-CORIICEPS; FISH PARASITES; DEMERSAL FISH; RIBOSOMAL DNA</t>
  </si>
  <si>
    <t>Third-stage larvae (L3) of 2 Anisakis nematode species, A. simplex C and A. pegreffii (both A. Simplex sibling species complex), were isolated from migrating myctophids around the South Shetland Islands. Gymnoscopelus nicholsi were parasitized by both nematode species, at a prevalence of 22.7 % for A. simplex C and 4.0% for A. pegreffii, while Electrona carlsbergi harbored A. simplex C at a prevalence of 9.1 %. The ITS-1, 5.8S, and ITS-2 regions of the nematodes were identical to specimens from Pacific Canada or California (A. simplex C) and the coast of China (A. pegreffii), confirming an extensive range of distribution for both species. The occurrence in migrating myctophids coupled with rare findings from other teleosts leads to the conclusion that both species were introduced from outside the Antarctic. Consequently, they are at their most southern range in the Southern Ocean, and an earlier molecular record of A. simplex C from the elephant seal Mirounga leonina may have detected an accidental case of infection. Delphinids, which frequently occur along South America but not in the Southern Ocean, are suggested as being the typical final hosts in the life cycles of A. simplex C and A. pegreffii. The myctophids had only few prey items within their stomachs, dominated by euphausiids, including Euphausia superba and planktonic copepods. These are common intermediate hosts for anisakid nematodes and are an important component of the Antarctic food web, Regular introduction events through migrating whales and myctophids are considered responsible for the occurrence of Anisakis infection in the high Antarctic.</t>
  </si>
  <si>
    <t>[Klimpel, Sven; Kuhn, Thomas] Goethe Univ Frankfurt, Biodivers &amp; Climate Res Ctr BiK F, D-60325 Frankfurt, Germany; [Busch, Markus W.; Rohde, Anika; Palm, Harry W.] Univ Dusseldorf, Inst Zoomorphol Cell Biol &amp; Parasitol, D-40225 Dusseldorf, Germany</t>
  </si>
  <si>
    <t>Senckenberg Gesellschaft fur Naturforschung (SGN); Senckenberg Biodiversitat &amp; Klima- Forschungszentrum (BiK-F); Goethe University Frankfurt; Heinrich Heine University Dusseldorf</t>
  </si>
  <si>
    <t>Klimpel, S (corresponding author), Goethe Univ Frankfurt, Biodivers &amp; Climate Res Ctr BiK F, Georg Voigt Str 14-16, D-60325 Frankfurt, Germany.</t>
  </si>
  <si>
    <t>sklimpel@gmx.net</t>
  </si>
  <si>
    <t>German Research Council (DFG) [KL 2087/1-1, 1-2; PA 664/4-1,4-2]; Heinrich-Heine-University Dusseldorf</t>
  </si>
  <si>
    <t>German Research Council (DFG)(German Research Foundation (DFG)); Heinrich-Heine-University Dusseldorf</t>
  </si>
  <si>
    <t>We thank J. H. Lott (Geodetical Institute, University of Karlsruhe) for providing the map of the area of investigation, and R. Kuchta (Institute of Parasitology, Ceske Budejovice, Czech Republic) for providing Anisakis specimens from Spitsbergen. This study was financially supported by the German Research Council (DFG KL 2087/1-1, 1-2; PA 664/4-1,4-2) and by Research and Innovation funds of the Heinrich-Heine-University Dusseldorf (Antarctic project).</t>
  </si>
  <si>
    <t>10.3354/meps08501</t>
  </si>
  <si>
    <t>585BJ</t>
  </si>
  <si>
    <t>WOS:000276799000001</t>
  </si>
  <si>
    <t>Kuklinski, P; Barnes, DKA</t>
  </si>
  <si>
    <t>Kuklinski, Piotr; Barnes, David K. A.</t>
  </si>
  <si>
    <t>First bipolar benthic brooder</t>
  </si>
  <si>
    <t>Bipolar; Arctic; Antarctic; Bryozoa; Biodiversity</t>
  </si>
  <si>
    <t>SOUTHERN-OCEAN; BRYOZOAN; SPECIATION; EVOLUTION</t>
  </si>
  <si>
    <t>A bipolar distribution is one in which a taxon occurs at high northern and southern latitudes but is absent in the latitudes between. In spite of the large distance between the Arctic and Antarctic, there are records of biota with bipolar distributions, both currently and in the geological past. To date, combined morphological and genetic studies of organisms such as bacteria and foram-inifera have confirmed the occurrence of some species in both polar regions. Bipolar genera and families are also known in larger invertebrates, e.g. in crustaceans and molluscs, and a recent Census of Marine Life report suggested that more than 200 metazoan species may have bipolar distributions. Here we investigated specimens of the the cheilostome bryozoan Callpora weslawski from both Arctic and Antarctic localities. To our knowledge this is the first benthic brooder to be found in both polar regions and is the first record of a species of Callopora in Antarctic waters. We used scanning electron microscopy and statistical analyses to confirm the morphological identity of individuals. The encrusting nature of the species, its distribution in the deep Weddell Sea and its rarity mean that genetic confirmation of bipolarity may take years or decades. Possible paths of distribution are discussed, including the Pangea break-up, Plio-Pleistocene glaciations, isothermal submergence via off-shelf or abyssal currents and anthropogenic transport.</t>
  </si>
  <si>
    <t>[Kuklinski, Piotr] Nat Hist Museum, Dept Zool, London SW7 5BD, England; [Kuklinski, Piotr] Polish Acad Sci, Inst Oceanol, PL-81712 Sopot, Poland; [Barnes, David K. A.] British Antarctic Survey, Cambridge CB3 0ET, England</t>
  </si>
  <si>
    <t>Natural History Museum London; Polish Academy of Sciences; Institute of Oceanology of the Polish Academy of Sciences; UK Research &amp; Innovation (UKRI); Natural Environment Research Council (NERC); NERC British Antarctic Survey</t>
  </si>
  <si>
    <t>Kuklinski, P (corresponding author), Nat Hist Museum, Dept Zool, Cromwell Rd, London SW7 5BD, England.</t>
  </si>
  <si>
    <t>kuki@iopan.gda.pl</t>
  </si>
  <si>
    <t>Kuklinski, Piotr/0000-0002-1507-215X</t>
  </si>
  <si>
    <t>Polish Ministry of Science and Higher Education [539/N-CAML/2009/0]; NERC [dml011000, bas0100025] Funding Source: UKRI; Natural Environment Research Council [dml011000, bas0100025] Funding Source: researchfish</t>
  </si>
  <si>
    <t>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t>
  </si>
  <si>
    <t>The authors thank the scientists and crew of the R/V 'Polarstern' from the ANDEEP III and ANDEEP SYSTCO cruises, especially A. Brandt and K. Linse. We also thank S. Williams, A. Ostrovsky, R. Hughes and 3 anonymous reviewers for comments and corrections leading to an improved manuscript. The study was completed thanks to the financial support from the Polish Ministry of Science and Higher Education (539/N-CAML/2009/0).</t>
  </si>
  <si>
    <t>10.3354/meps08446</t>
  </si>
  <si>
    <t>574VF</t>
  </si>
  <si>
    <t>WOS:000276021600002</t>
  </si>
  <si>
    <t>Zamzow, JP; Amsler, CD; McClintock, JB; Baker, BJ</t>
  </si>
  <si>
    <t>Zamzow, Jill P.; Amsler, Charles D.; McClintock, James B.; Baker, Bill J.</t>
  </si>
  <si>
    <t>Habitat choice and predator avoidance by Antarctic amphipods: the roles of algal chemistry and morphology</t>
  </si>
  <si>
    <t>Predation; Non-consumptive effects; Amphipods; Chemical defense</t>
  </si>
  <si>
    <t>HOST-PLANT SPECIALIZATION; FISH NOTOTHENIA-CORIICEPS; SUBTIDAL MACROALGAE; CHEMICAL CUES; RISK; HERBIVORE; ABUNDANCE; SUSCEPTIBILITY; PALATABILITY; COMPLEXITY</t>
  </si>
  <si>
    <t>Habitat choice is an important aspect of community structure. Perhaps the most important factor influencing choice by prey species is predation risk. Predators may directly influence prey habitat choice via consumption or, secondarily, through 'intimidation'. We investigated these forces in the near-shore ecosystem of the western Antarctic Peninsula. This system is dominated by macroalgae and exceedingly abundant amphipods, with the omnivorous fish Notothenia coriiceps feeding on both. Amphipod densities are very high on the dominant brown alga Desmarestia menziesii, which is both structurally complex and chemically defended from herbivory. Amphipod densities are low on the simply structured alga Palmaria decipiens, which is a preferred food of fish and some amphipods. We used these 2 species of algae and plastic and gel algal analogues to experimentally separate the roles of algal structure and chemistry in influencing amphipod habitat preference. In the absence of predators, the amphipod Gondogeneia antarctica preferred Palmaria decipiens and had no preference between structural analogues. In the presence of predator cues, its preferences changed to D. menziesii and the structurally complex analogue. In the absence of predator cues, the amphipod Prostebbingia gracilis preferred the chemically defended, structurally complex D. menziesii to all other choices, and preferred the structurally complex analogue to the simple one. Both D. menziesii and the structurally complex analogue decreased predation risk for Prostebbingia gracilis. Based on these results, natural abundances of amphipods are likely driven both by actual predation and the threat of predation (i.e. non-consumptive effects).</t>
  </si>
  <si>
    <t>[Zamzow, Jill P.; Amsler, Charles D.; McClintock, James B.] Univ Alabama Birmingham, Dept Biol, Birmingham, AL 35294 USA; [Baker, Bill J.] Univ S Florida, Dept Chem, Tampa, FL 33620 USA</t>
  </si>
  <si>
    <t>Zamzow, JP (corresponding author), Univ Alabama Birmingham, Dept Biol, Birmingham, AL 35294 USA.</t>
  </si>
  <si>
    <t>jzamzow@gmail.com</t>
  </si>
  <si>
    <t>National Science Foundation [ANT-0631328, OPP-0442769, OPP-0442857]</t>
  </si>
  <si>
    <t>The authors gratefully acknowledge field assistance from M, Amsler, C. Aumack, G. Koplovitz, P. Bucolo, and the Raytheon Polar Services staff at Palmer Station, Antarctica. We are indebted to C. Katholi and R. Angus for statistical advice. Editorial comments by S. Karl and 3 anonymous reviewers greatly improved the quality of the manuscript. This work was supported by National Science Foundation grants ANT-0631328 (to J.P.Z.), OPP-0442769 (to C.D.A. and J.B.M.), and OPP-0442857 (to B.J.B.).</t>
  </si>
  <si>
    <t>10.3354/meps08399</t>
  </si>
  <si>
    <t>568NE</t>
  </si>
  <si>
    <t>WOS:000275528300013</t>
  </si>
  <si>
    <t>Reid, K; Watkins, JL; Murphy, EJ; Trathan, PN; Fielding, S; Enderlein, P</t>
  </si>
  <si>
    <t>Reid, Keith; Watkins, Jon L.; Murphy, Eugene J.; Trathan, Phil N.; Fielding, Sophie; Enderlein, Peter</t>
  </si>
  <si>
    <t>Krill population dynamics at South Georgia: implications for ecosystem-based fisheries management</t>
  </si>
  <si>
    <t>South Georgia; Antarctic krill; Euphausia superba; Population dynamics; Recruitment; Match-mismatch</t>
  </si>
  <si>
    <t>ANTARCTIC FUR SEALS; EUPHAUSIA-SUPERBA; ACOUSTIC SURVEYS; INTRAANNUAL VARIABILITY; SHETLAND ISLANDS; SCOTIA SEA; CLIMATE; OCEAN; BIOMASS; AVAILABILITY</t>
  </si>
  <si>
    <t>The South Georgia region supports a large biomass of krill that is subject to high inter-annual variability. The apparent lack of a locally self-maintaining krill population at South Georgia means that understanding the mechanism underlying these observed population characteristics is essential to successful ecosystem-based management of krill fishery in the region. Krill acoustic-density data from surveys conducted in the early, middle and late period of the summers of 2001 to 2005, together with krill population size structure over the same period from predator diet data, were used with a krill population dynamics model to evaluate potential mechanisms behind the observed changes in krill biomass. Krill abundance was highest during the middle of the summer in 3 years and in the late period in 2 years; in the latter there was evidence that krill recruitment was delayed by several months. A model scenario that included empirically derived estimates of both the magnitude and timing of recruitment in each year showed the greatest correlation with the acoustic series. The results are consistent with a krill population with allochthonous recruitment entering a retained adult population; i.e. oceanic transport of adult krill does not appear to be the major factor determining the dynamics of the adult population. The results highlight the importance of the timing of recruitment, especially where this could introduce a mismatch between the peak of krill abundance and the peak demand from predators, which may exacerbate the effects of changes in krill populations arising from commercial harvesting and/or climate change.</t>
  </si>
  <si>
    <t>[Reid, Keith; Watkins, Jon L.; Murphy, Eugene J.; Trathan, Phil N.; Fielding, Sophie; Enderlein, Peter] British Antarctic Survey, NERC, Cambridge CB3 0ET, England</t>
  </si>
  <si>
    <t>Watkins, JL (corresponding author), British Antarctic Survey, NERC, Madingley Rd, Cambridge CB3 0ET, England.</t>
  </si>
  <si>
    <t>jlwa@bas.ac.uk</t>
  </si>
  <si>
    <t>murphy, eugene/GZL-1620-2022; Fielding, Sophie/E-5137-2012</t>
  </si>
  <si>
    <t>NERC [bas0100025, bas010017] Funding Source: UKRI; Natural Environment Research Council [bas0100025, bas010017] Funding Source: researchfish</t>
  </si>
  <si>
    <t>10.3354/meps08356</t>
  </si>
  <si>
    <t>558UW</t>
  </si>
  <si>
    <t>WOS:000274774400019</t>
  </si>
  <si>
    <t>Meyer, B; Auerswald, L; Siegel, V; Spahic, S; Pape, C; Fach, BA; Teschke, M; Lopata, AL; Fuentes, V</t>
  </si>
  <si>
    <t>Meyer, Bettina; Auerswald, Lutz; Siegel, Volker; Spahic, Susanne; Pape, Carsten; Fach, Bettina A.; Teschke, Mathias; Lopata, Andreas L.; Fuentes, Veronica</t>
  </si>
  <si>
    <t>Seasonal variation in body composition, metabolic activity, feeding, and growth of adult krill Euphausia superba in the Lazarev Sea</t>
  </si>
  <si>
    <t>Antarctic krill; Seasonal condition; Overwintering</t>
  </si>
  <si>
    <t>MARGINAL ICE-ZONE; ANTARCTIC MICRONEKTONIC CRUSTACEA; SOUTHERN-OCEAN; ENERGY BUDGETS; MICROBIAL COMMUNITIES; ELEMENTAL COMPOSITION; EAST ANTARCTICA; WEDDELL SEA; WINTER; SUMMER</t>
  </si>
  <si>
    <t>We investigated physiological parameters (elemental and biochemical composition, metabolic rates, feeding activity and growth) of adult Antarctic krill in the Lazarev Sea in late spring (December), mid autumn (April) and mid winter (July and August) to evaluate proposed hypotheses of overwintering mechanisms. Our major observations are: (1) respiration rates were reduced by 30 to 50% in autumn and winter, compared to values in late spring; (2) feeding activity was reduced by 80 to 86% in autumn and winter, compared to late spring, at similar food concentrations; (3) feeding was omnivorous during winter; (4) with each moult, krill grew by 0.5 to 3.8%, in length; (5) body lipids and, to a small extent, body proteins were consumed during winter. Adult Euphausia superba thus adopt metabolic slowdown and omnivorous feeding activity at low rates to survive the winter season in the Lazarev Sea. By mid autumn, metabolic activity is reduced, most likely being influenced by the Antarctic light regime, which is accompanied by a reduction in feeding activity and growth. Although at a low level, the feeding activity during winter seems to provide an important energy input.</t>
  </si>
  <si>
    <t>[Meyer, Bettina; Spahic, Susanne; Pape, Carsten; Fach, Bettina A.; Teschke, Mathias] Alfred Wegener Inst Polar &amp; Marine Res, Sci Div Polar Biol Oceanog, D-27570 Bremerhaven, Germany; [Auerswald, Lutz] Marine &amp; Coastal Management, ZA-8012 Cape Town, Cape Town, South Africa; [Siegel, Volker] Sea Fisheries Res Inst, D-22767 Hamburg, Germany; [Lopata, Andreas L.] Univ Cape Town, Div Immunol, Allergy &amp; Asthma Grp, ZA-7925 Cape Town, South Africa; [Fuentes, Veronica] Univ Buenos Aires, Dept Biodivers &amp; Expt Biol, Buenos Aires, DF, Argentina</t>
  </si>
  <si>
    <t>Helmholtz Association; Alfred Wegener Institute, Helmholtz Centre for Polar &amp; Marine Research; University of Cape Town; University of Cape Town; University of Buenos Aires</t>
  </si>
  <si>
    <t>bettina.meyer@awi.de</t>
  </si>
  <si>
    <t>Lopata, Andreas Ludwig/O-2143-2017; Fach, Bettina A/JCE-6687-2023; Lopata, Andreas L/C-3831-2012; Fuentes, Verónica L/K-7589-2014; Fach, Bettina A/B-6003-2016; Meyer, Bettina/ABB-5311-2020</t>
  </si>
  <si>
    <t>Lopata, Andreas Ludwig/0000-0002-2940-9235; Fuentes, Verónica L/0000-0002-6380-0174; Fach, Bettina A/0000-0003-4688-1918; Meyer, Bettina/0000-0001-6804-9896</t>
  </si>
  <si>
    <t>German Ministry of Education and Research (BMBF) [03F0400A]; Lazarev Sea Krill Study (LAKRIS) Project; International Bureau of the BMBF [SUA 05/008]; Natural Environment Research Council (United Kingdom) [AFI 5/09]</t>
  </si>
  <si>
    <t>German Ministry of Education and Research (BMBF)(Federal Ministry of Education &amp; Research (BMBF)); Lazarev Sea Krill Study (LAKRIS) Project; International Bureau of the BMBF(Federal Ministry of Education &amp; Research (BMBF)); Natural Environment Research Council (United Kingdom)(UK Research &amp; Innovation (UKRI)Natural Environment Research Council (NERC))</t>
  </si>
  <si>
    <t>We thank the captain and crew of RV 'Polarstern' for their professional support on all cruises. We are grateful to the National Aeronautics and Space Administration (NASA) and the National Oceanic and Atmospheric Administration (NOAA) for the use of satellite-derived chl a and sea ice data. We also thank L. Friedrich for preparing the pictures to demonstrate the size and colouration of the digestive gland of freshly caught krill in late spring and winter. This work was supported by funding from the German Ministry of Education and Research (BMBF) through project 03F0400A, Subproject 4 of the Lazarev Sea Krill Study (LAKRIS) Project, the International Bureau of the BMBF through project SUA 05/008, and the Natural Environment Research Council (United Kingdom, AFI 5/09). The LAKRIS Project is the German contribution to the Southern Ocean-Global Ocean Ecosystem Dynamics (SO-GLOBEC) program.</t>
  </si>
  <si>
    <t>10.3354/meps08371</t>
  </si>
  <si>
    <t>548MW</t>
  </si>
  <si>
    <t>Green Published, Green Accepted, Bronze</t>
  </si>
  <si>
    <t>WOS:000273968500001</t>
  </si>
  <si>
    <t>Drinkwater, K; Hunt, G; Lehodey, P; Lluch-Cota, S; Murphy, EJ; Sakurai, Y; Schwing, F; Beaugrand, G; Sundby, S</t>
  </si>
  <si>
    <t>Barange, M; Field, JG; Harris, RP; Hofmann, EE; Perry, RI; Werner, FE</t>
  </si>
  <si>
    <t>Drinkwater, Ken; Hunt, George; Lehodey, Patrick; Lluch-Cota, Salvador; Murphy, Eugene J.; Sakurai, Yasunori; Schwing, Frank; Beaugrand, Gregory; Sundby, Svein</t>
  </si>
  <si>
    <t>Climate forcing on marine ecosystems</t>
  </si>
  <si>
    <t>MARINE ECOSYSTEMS AND GLOBAL CHANGE</t>
  </si>
  <si>
    <t>[Drinkwater, Ken; Sundby, Svein] Inst Marine Res, N-5817 Bergen, Norway; [Hunt, George] Univ Washington, Sch Aquat &amp; Fishery Sci, Seattle, WA 98195 USA; [Lehodey, Patrick] Marine Ecosyst Modelling &amp; Monitoring Satellites, CLS, Satellite Oceanog Div, F-31520 Ramonville St Agne, France; [Murphy, Eugene J.] British Antarctic Survey, NERC, Cambridge CB3 0ET, England; [Sakurai, Yasunori] Hokkaido Univ, Fac Fisheries, Hakodate, Hokkaido 0418611, Japan; [Schwing, Frank] NOAA Fisheries Serv, Div Environm Res, Southwest Fisheries Sci Ctr, Pacific Grove, CA 93950 USA; [Beaugrand, Gregory] Univ Sci &amp; Technol Lille 1 UMR CNRS 8187 LOG, Lille, France</t>
  </si>
  <si>
    <t>Institute of Marine Research - Norway; University of Washington; University of Washington Seattle; UK Research &amp; Innovation (UKRI); Natural Environment Research Council (NERC); NERC British Antarctic Survey; Hokkaido University; National Oceanic Atmospheric Admin (NOAA) - USA</t>
  </si>
  <si>
    <t>Drinkwater, K (corresponding author), Inst Marine Res, POB 1870, N-5817 Bergen, Norway.</t>
  </si>
  <si>
    <t>Lluch-Cota, Salvador E./P-5203-2019; Sundby, Svein/AGB-4853-2022; murphy, eugene/GZL-1620-2022; Lluch-Cota, Salvador Emilio/D-7693-2013; Hunt, George/V-9423-2019</t>
  </si>
  <si>
    <t>Sundby, Svein/0000-0002-0815-9740; Lluch-Cota, Salvador Emilio/0000-0003-1832-1200; BEAUGRAND, GREGORY/0000-0002-0712-5223; Lehodey, Patrick/0000-0002-2753-4796; Hunt, George/0000-0001-8709-2697</t>
  </si>
  <si>
    <t>198 MADISON AVENUE, NEW YORK, NY 10016 USA</t>
  </si>
  <si>
    <t>978-0-19-172193-9; 978-0-19-955802-5</t>
  </si>
  <si>
    <t>10.1093/acprof:oso/9780199558025.001.0001</t>
  </si>
  <si>
    <t>Environmental Sciences; Marine &amp; Freshwater Biology; Oceanography</t>
  </si>
  <si>
    <t>BC7SF</t>
  </si>
  <si>
    <t>WOS:000355183500004</t>
  </si>
  <si>
    <t>Moloney, CL; Jarre, A; Kimura, S; Mackas, DL; Maury, O; Murphy, EJ; Peterson, WT; Runge, JA; Tadokoro, K</t>
  </si>
  <si>
    <t>Moloney, Coleen L.; Jarre, Astrid; Kimura, Shingo; Mackas, David L.; Maury, Olivier; Murphy, Eugene J.; Peterson, William T.; Runge, Jeffrey A.; Tadokoro, Kazuaki</t>
  </si>
  <si>
    <t>Dynamics of marine ecosystems: ecological processes</t>
  </si>
  <si>
    <t>[Moloney, Coleen L.; Jarre, Astrid] Univ Cape Town, Dept Zool, ZA-7701 Rondebosch, South Africa; [Moloney, Coleen L.; Jarre, Astrid] Univ Cape Town, Marine Res Inst, ZA-7701 Rondebosch, South Africa; [Kimura, Shingo] Univ Tokyo, Ocean Res Inst, Grad Sch Frontier Sci, Nakano Ku, Tokyo 1648639, Japan; [Mackas, David L.] Fisheries &amp; Oceans Canada, Inst Ocean Sci, Sidney, BC V8L 4B2, Canada; [Maury, Olivier] Ctr Rech Halieut Mediterraneennes &amp; Trop, Inst Rech Dev, F-34203 Sete, France; [Murphy, Eugene J.] British Antarctic Survey, NERC, Cambridge CB3 0ET, England; [Peterson, William T.] NOAA Fisheries Serv, NW Fisheries Sci Ctr, Newport, OR 97365 USA; [Runge, Jeffrey A.] Univ Maine, Sch Marine Sci, Gulf Maine Res Inst, Portland, ME 04101 USA; [Tadokoro, Kazuaki] Tohoku Natl Fisheries Res Inst, Shiogama, Miyagi 9850001, Japan</t>
  </si>
  <si>
    <t>University of Cape Town; University of Cape Town; University of Tokyo; Fisheries &amp; Oceans Canada; Institut de Recherche pour le Developpement (IRD); UK Research &amp; Innovation (UKRI); Natural Environment Research Council (NERC); NERC British Antarctic Survey; National Oceanic Atmospheric Admin (NOAA) - USA; University of Maine System; University of Maine Orono; Gulf of Maine Research Institute; Japan Fisheries Research &amp; Education Agency (FRA)</t>
  </si>
  <si>
    <t>Moloney, CL (corresponding author), Univ Cape Town, Dept Zool, Private Bag X3, ZA-7701 Rondebosch, South Africa.</t>
  </si>
  <si>
    <t>murphy, eugene/GZL-1620-2022; Kimura, Shingo/AAI-2209-2020; Jarre, Astrid/HLW-5867-2023; Moloney, Coleen/B-4363-2009</t>
  </si>
  <si>
    <t>Jarre, Astrid/0000-0002-0690-6183; Moloney, Coleen/0000-0001-6663-8814</t>
  </si>
  <si>
    <t>WOS:000355183500010</t>
  </si>
  <si>
    <t>Childerhouse, SJ; Dawson, SM; Slooten, E; Fletcher, DJ; Wilkinson, IS</t>
  </si>
  <si>
    <t>Childerhouse, Simon J.; Dawson, Stephen M.; Slooten, Elisabeth; Fletcher, David J.; Wilkinson, Ian S.</t>
  </si>
  <si>
    <t>Age distribution of lactating New Zealand sea lions: Interannual and intersite variation</t>
  </si>
  <si>
    <t>New Zealand sea lion; Phocarctos hookeri; lactating; age distribution; age structure; interpopulation variation; ageing</t>
  </si>
  <si>
    <t>ANTARCTIC FUR SEALS; PHOCARCTOS-HOOKERI; DEMOGRAPHIC PARAMETERS; ZALOPHUS-CALIFORNIANUS; FEMALE; GROWTH; POPULATION; REPRODUCTION; MORTALITY; ABUNDANCE</t>
  </si>
  <si>
    <t>P&gt;The age distribution of 865 lactating New Zealand sea lions (NZSLs; Phocarctos hookeri) was investigated over 3 yr (1999-2001) at two breeding colonies, Sandy Bay and Dundas Island, New Zealand. Lactating females were aged between 3 and 26 yr with a maximum observed age of 28 yr. The mean age of lactating females was 11.1 (SE = 0.16) yr. Age distributions peaked at ages 8 and 9 with a strong skew toward younger females, likely indicative of maximum recruitment into the breeding population by this age. There were significant intersite differences in age structure and also significant interannual differences in age distributions at Sandy Bay, but not at Dundas Island. Given that the two colonies are less than 10 km apart, have some interchange, and share foraging areas, these differences are surprising. However, the colony at Dundas Island is almost four times larger than Sandy Bay and may therefore be less sensitive to demographic or environmental stochasticity. That age distributions of NZSLs vary significantly over small temporal and spatial scales has important implications for the extrapolation of data from one site or year to the population level, and hence for their management and conservation.</t>
  </si>
  <si>
    <t>[Childerhouse, Simon J.; Wilkinson, Ian S.] Dept Conservat, Marine Conservat Unit, Wellington, New Zealand; [Childerhouse, Simon J.; Dawson, Stephen M.] Univ Otago, Dept Marine Sci, Dunedin, New Zealand; [Slooten, Elisabeth] Univ Otago, Dept Zool, Dunedin, New Zealand; [Fletcher, David J.] Univ Otago, Dept Math &amp; Stat, Dunedin, New Zealand; [Wilkinson, Ian S.] Dept Environm &amp; Climate Change, Coffs Harbour, NSW, Australia</t>
  </si>
  <si>
    <t>Childerhouse, SJ (corresponding author), Dept Conservat, Marine Conservat Unit, POB 10-420, Wellington, New Zealand.</t>
  </si>
  <si>
    <t>simon.childerhouse@aad.gov.au</t>
  </si>
  <si>
    <t>Wilkinson, Ian S/ABG-2772-2020; Wilkinson, Ian/F-2291-2010; Fletcher, David/AAT-2308-2020; Slooten, Elisabeth/E-7425-2014</t>
  </si>
  <si>
    <t>Fletcher, David/0000-0003-1988-5796; Dawson, Stephen/0000-0003-3182-0186; Slooten, Elisabeth/0000-0001-5384-511X</t>
  </si>
  <si>
    <t>Department of Conservation (DOC)</t>
  </si>
  <si>
    <t>This research was partly funded by the Department of Conservation (DOC), with part of the costs recovered through Conservation Services Levies on the New Zealand fishing industry. The work was conducted with Animal Ethics and Marine Mammal Research Permits from DOC. SC is grateful to members of DOC NZSL research team over the period of the study for their assistance in the field in especially challenging conditions, in particular Ian Wilkinson, Wally Hockly, and Padraig Duignan. Thanks to Nick Gales, Ian West, and Louise Chilvers for useful discussions in developing this study and providing excellent feedback and support. We are grateful to Rebecca McIntosh and Louise Chilvers for permission to use unpublished data. Louise Chilvers, Lesley Douglas, Sharon Melin, and two anonymous reviewers provided useful comments on an earlier draft of this article.</t>
  </si>
  <si>
    <t>10.1111/j.1748-7692.2009.00330.x</t>
  </si>
  <si>
    <t>538EO</t>
  </si>
  <si>
    <t>WOS:000273167300008</t>
  </si>
  <si>
    <t>González, JG</t>
  </si>
  <si>
    <t>Galvez Gonzalez, Javier</t>
  </si>
  <si>
    <t>EXPLORATION OR SPORT: COMPARISION BETWEEN BRITSH AND NORWEGIAN MODELS IN THE RACE TO REACH THE SOUTH POLE</t>
  </si>
  <si>
    <t>MATERIALES PARA LA HISTORIA DEL DEPORTE</t>
  </si>
  <si>
    <t>Exploration; sport model; Antarctic</t>
  </si>
  <si>
    <t>This paper examines the race between Roald Amundsen and Robert F. Scott to reach the South Pole between 1911 and 1912, based on a Sports approach to organize the exploration. Amundsen's expedition was considered as modern to implement existing developments to be the first to get to 90 degrees south. Scott's expedition was organized, however, according to British military traditions. In the end, the Norwegian won, demonstrating a more suitable choice of the technical, tactical, biological and psychological factors.</t>
  </si>
  <si>
    <t>[Galvez Gonzalez, Javier] Univ Pablo Olavide, Seville, Spain</t>
  </si>
  <si>
    <t>Universidad Pablo de Olavide</t>
  </si>
  <si>
    <t>González, JG (corresponding author), Univ Pablo Olavide, Seville, Spain.</t>
  </si>
  <si>
    <t>Gálvez-González, Javier/B-3122-2012</t>
  </si>
  <si>
    <t>Gálvez-González, Javier/0000-0003-4059-7326</t>
  </si>
  <si>
    <t>UNIV PABLO OLAVIDE</t>
  </si>
  <si>
    <t>SEVILLE</t>
  </si>
  <si>
    <t>CARRETERA UTREA KM 1, SEVILLE, 41013, SPAIN</t>
  </si>
  <si>
    <t>2340-7166</t>
  </si>
  <si>
    <t>MATER HIST DEPORT</t>
  </si>
  <si>
    <t>Mater. Hist. Deport.</t>
  </si>
  <si>
    <t>V34XN</t>
  </si>
  <si>
    <t>WOS:000215865800003</t>
  </si>
  <si>
    <t>Ganda, SC; Midya, SK</t>
  </si>
  <si>
    <t>Ganda, S. C.; Midya, S. K.</t>
  </si>
  <si>
    <t>Short term stratospheric ozone trend over Dumdum and its relation with Flare Index of northern hemisphere</t>
  </si>
  <si>
    <t>MAUSAM</t>
  </si>
  <si>
    <t>Ozone concentration; Flare index; Solar activities</t>
  </si>
  <si>
    <t>ANTARCTIC O-3 DEPLETION</t>
  </si>
  <si>
    <t>This paper presents an analysis of the effect of flare index (Q) on the stratospheric ozone concentration over Dumdum station, Kolkata for the period 1979-95. As Dumdum is situated in northern hemisphere we have considered the flare index values for the northern hemisphere only.</t>
  </si>
  <si>
    <t>[Ganda, S. C.; Midya, S. K.] Univ Calcutta, Dept Atmospher Sci, Kolkata, India</t>
  </si>
  <si>
    <t>Ganda, SC (corresponding author), Univ Calcutta, Dept Atmospher Sci, Kolkata, India.</t>
  </si>
  <si>
    <t>sadhab.ganda@epcos.com</t>
  </si>
  <si>
    <t>INDIA METEOROLOGICAL DEPT</t>
  </si>
  <si>
    <t>MAUSAM BHAWAN, LODI RD, NEW DELHI, 110 003, INDIA</t>
  </si>
  <si>
    <t>0252-9416</t>
  </si>
  <si>
    <t>Mausam</t>
  </si>
  <si>
    <t>572EC</t>
  </si>
  <si>
    <t>WOS:000275809200012</t>
  </si>
  <si>
    <t>Petrescu-Mag, IV; Petrescu-Mag, RM</t>
  </si>
  <si>
    <t>Petrescu-Mag, Ioan Valentin; Petrescu-Mag, Ruxandra Malina</t>
  </si>
  <si>
    <t>HEAVY METAL AND THERMAL STRESS IN FISHES: THE IMPLICATIONS OF HSP IN ADAPTING AND ACCLIMATION TO DIFFERENT ENVIRONMENTS</t>
  </si>
  <si>
    <t>METALURGIA INTERNATIONAL</t>
  </si>
  <si>
    <t>pollutants; heavy metal stress; heat shock proteins; fish species; genes of resistance</t>
  </si>
  <si>
    <t>GUPPY POECILIA-RETICULATA; SHOCK-PROTEIN EXPRESSION; HEPATIC HEAT-SHOCK-PROTEIN-70; MOLECULAR CHAPERONES; FUNCTIONAL-SIGNIFICANCE; GENE-EXPRESSION; ANTARCTIC FISH; MESSENGER-RNA; CLONING; TEMPERATURE</t>
  </si>
  <si>
    <t>The paper reviews a series of results on heavy metal and thermal stress in fishes, published in a large number of papers, most of them being important in the context of conservation, animal production, human and veterinary medicine, pharmaceutics, environmental engineering, or fundamental research (including biochemistry, cell biology, molecular biology, heredity, ethology, ecology, evolution). Understanding the genetic bases of tolerance in living organisms (in this particular case, fishes) to various stressors and continuously changing environments is key to implementing many practical applications.</t>
  </si>
  <si>
    <t>[Petrescu-Mag, Ioan Valentin] Univ Agr Sci &amp; Vet Med, Cluj Napoca, Romania; [Petrescu-Mag, Ioan Valentin] SC Bioflux SRL, Cluj Napoca, Romania</t>
  </si>
  <si>
    <t>University of Agricultural Sciences &amp; Veterinary Medicine Cluj Napoca</t>
  </si>
  <si>
    <t>Petrescu-Mag, IV (corresponding author), Univ Agr Sci &amp; Vet Med, Cluj Napoca, Romania.</t>
  </si>
  <si>
    <t>zoobiomag2004@yahoo.com</t>
  </si>
  <si>
    <t>Petrescu-Mag, Ruxandra Malina/Z-1391-2018; Petrescu-Mag, Ioan Valentin/B-9351-2012</t>
  </si>
  <si>
    <t>Petrescu-Mag, Ruxandra Malina/0000-0001-7048-4598; Petrescu-Mag, Ioan Valentin/0000-0002-9109-3833</t>
  </si>
  <si>
    <t>National Authority for Scientific Research from Romania [51056/2007]; CNMP (National Center of Programs Management)</t>
  </si>
  <si>
    <t>National Authority for Scientific Research from Romania; CNMP (National Center of Programs Management)</t>
  </si>
  <si>
    <t>The present work was funded by National Authority for Scientific Research from Romania (PN II, Project 51056/2007. We thank our research monitors from CNMP (National Center of Programs Management) for their generous support in the period 2007-2010.</t>
  </si>
  <si>
    <t>EDITURA STIINTIFICA FMR</t>
  </si>
  <si>
    <t>CALEA GRIVITEI, NR 83, SECTOR 1, O P 12, BUCHAREST, 010705, ROMANIA</t>
  </si>
  <si>
    <t>1582-2214</t>
  </si>
  <si>
    <t>METAL INT</t>
  </si>
  <si>
    <t>Metal. Int.</t>
  </si>
  <si>
    <t>610JT</t>
  </si>
  <si>
    <t>WOS:000278729300022</t>
  </si>
  <si>
    <t>Imae, N; Ikeda, Y</t>
  </si>
  <si>
    <t>Imae, Naoya; Ikeda, Yukio</t>
  </si>
  <si>
    <t>High-pressure polymorphs of magnesian orthopyroxene from a shock vein in the Yamato-000047 lherzolitic shergottite</t>
  </si>
  <si>
    <t>INDUCED MELT VEINS; L6 CHONDRITE; GARNET TRANSFORMATION; PEROVSKITE; CONSTRAINTS; ENSTATITE; PHASES; METAMORPHISM; TRANSITION; AKIMOTOITE</t>
  </si>
  <si>
    <t>We found a simple thin shock vein, less than or equal to about 60 pm in width and 1.8 mm in length, in the poikilitic area in the Yamato (Y-) 000047 lherzolitic shergottite. The shock vein occurs only in magnesian Ca-poor clinopyroxene, which may have transformed from orthopyroxene during the pressure increase at the shock event. The shock vein consists of (Mg-0.8,Fe-0.2)SiO3 pyroxene polymorphs, such as columnar akimotoite, two kinds of pyroxene glasses, dendritic akimotoite, and framboidal pyroxene glass, in the order from the periphery to the center. The compositions and textures suggest that columnar akimotoite in the periphery of the shock vein crystallized from solid-state phase transition of clinopyoroxene during the cooling of the vein, and the remains in the shock vein solidified from shock-produced melt. The glass includes two kinds of massive glass in the vein and framboidal glass in the vein center. The framboidal glass is the most magnesian and may have been vitrified from perovskite crystallized from high-pressure melt produced at high temperature &gt;= 3000 degrees C and high-pressure 23-40 GPa. Dendritic akimotoites in the vein center metastably crystallized from residual shock melt. The formation sequences of the constituent phases in the shock vein happen in the following order: columnar akimotoites, rim glass, center glass, framboidal glass, and dendritic akimotoites. The increase of the Raman intensity of 660-670 cm(-1) in the order of rim glass, center glass, and framboidal glass suggests that the formation of the pyroxene chain proceeds faster in the vein center than in the vein rim due to its slower cooling. The finding of the shock vein consisting merely of high-pressure polymorphs of pyroxene, akimotoite, and framboidal glass (vitrified perovskite) is the first reported among all Martian meteorites.</t>
  </si>
  <si>
    <t>[Imae, Naoya] Natl Inst Polar Res, Antarctic Meteorite Res Ctr, Tokyo 1908518, Japan; [Imae, Naoya] Grad Univ Adv Studies, Tokyo 1908518, Japan; [Ikeda, Yukio] Ibaraki Univ, Dept Biol &amp; Mat Sci, Mito, Ibaraki 3108512, Japan</t>
  </si>
  <si>
    <t>Research Organization of Information &amp; Systems (ROIS); National Institute of Polar Research (NIPR) - Japan; Graduate University for Advanced Studies - Japan; Ibaraki University</t>
  </si>
  <si>
    <t>Imae, N (corresponding author), Natl Inst Polar Res, Antarctic Meteorite Res Ctr, 10-3 Midori Cho, Tokyo 1908518, Japan.</t>
  </si>
  <si>
    <t>imae@nipr.ac.jp</t>
  </si>
  <si>
    <t>NIPR [P-8]</t>
  </si>
  <si>
    <t>We are grateful to Prof. M. Kimura at Ibaraki University for the identification of pyroxene glasses from Raman spectra. The study was much improved by constructive reviews of Drs. A. H. Treiman and N. Tomioka, and an anonymous referee. This research is partly supported by the NIPR research project, P-8 (Evolution of the Early Solar System Materials).</t>
  </si>
  <si>
    <t>10.1111/j.1945-5100.2009.01004.x</t>
  </si>
  <si>
    <t>591TE</t>
  </si>
  <si>
    <t>WOS:000277326500005</t>
  </si>
  <si>
    <t>Newsham, KK; Pearce, DA; Bridge, PD</t>
  </si>
  <si>
    <t>Newsham, Kevin K.; Pearce, David A.; Bridge, Paul D.</t>
  </si>
  <si>
    <t>Minimal influence of water and nutrient content on the bacterial community composition of a maritime Antarctic soil</t>
  </si>
  <si>
    <t>MICROBIOLOGICAL RESEARCH</t>
  </si>
  <si>
    <t>Antarctica; Bacterial community composition; Leptolyngbya Cyanobacteria); delta-Proteobacteria; Soil water and chemistry</t>
  </si>
  <si>
    <t>16S RIBOSOMAL-RNA; DIVERSITY; ENVIRONMENT; TUNDRA; GENES</t>
  </si>
  <si>
    <t>Bacterial community composition was determined by culture-independent PCR-based methods in two soils differing markedly in their water, C, N and P contents sampled from Mars Oasis on Alexander Island, western Antarctic Peninsula. 16S rRNA sequences of the phyla Actinobacteria, Cyanobacteria, alpha-Proteobacteria and Acidobacteria were commonly (&gt;8% frequency) obtained from soil. Those of beta-, gamma- and delta-Proteobacteria, Chloroflexi, Bacteroidetes, Verrucomicrobia, Planctomycetes, Gemmatimonadetes and Firmicutes were less frequent. Comparisons of slopes of collector's curves and the Shannon-Weiner diversity index indicated no difference in overall bacterial diversity between the two soils, although sequences of delta-Proteobacteria and the cyanobacterial genus Leptolyngbya were more commonly derived from the soil with the higher water and nutrient content. The data suggest that different levels of soil water, C, N and P have only a minor effect on the bacterial community composition of maritime Antarctic soils. (C) 2009 Elsevier GmbH. All rights reserved.</t>
  </si>
  <si>
    <t>[Newsham, Kevin K.; Pearce, David A.; Bridge, Paul D.] British Antarctic Survey, NERC, Cambridge CB3 0ET, England</t>
  </si>
  <si>
    <t>Natural Environment Research Council; NERC [bas0100025] Funding Source: UKRI; Natural Environment Research Council [bas0100025] Funding Source: researchfish</t>
  </si>
  <si>
    <t>Funding was supplied by the Natural Environment Research Council through the British Antarctic Survey's Long Term Monitoring and Survey programme. Logistics support was provided by the BAS Air Unit. Etienne Yergeau gave valuable help and Helen Peat, Roger Worland and Paul Geissler supplied meteorological data. Peter Fretwell drew Fig. 1 and an anonymous referee supplied helpful comments. All are gratefully acknowledged.</t>
  </si>
  <si>
    <t>0944-5013</t>
  </si>
  <si>
    <t>MICROBIOL RES</t>
  </si>
  <si>
    <t>Microbiol. Res.</t>
  </si>
  <si>
    <t>10.1016/j.micres.2009.11.005</t>
  </si>
  <si>
    <t>661PL</t>
  </si>
  <si>
    <t>WOS:000282740100001</t>
  </si>
  <si>
    <t>Parrilli, E; Giuliani, M; Pezzella, C; Danchin, A; Marino, G; Tutino, ML</t>
  </si>
  <si>
    <t>Parrilli, Ermenegilda; Giuliani, Maria; Pezzella, Cinzia; Danchin, Antoine; Marino, Gennaro; Tutino, Maria Luisa</t>
  </si>
  <si>
    <t>PssA is required for α-amylase secretion in Antarctic Pseudoalteromonas haloplanktis</t>
  </si>
  <si>
    <t>RECOMBINANT PROTEIN SECRETION; MOLECULAR CHARACTERIZATION; ESCHERICHIA-COLI; EXPRESSION; MEMBRANE; SEQUENCE; PLASMID; PATHWAY; CLONING; SYSTEM</t>
  </si>
  <si>
    <t>Extracellular protein secretion is an essential feature in bacterial physiology. The ability to efficiently secrete diverse hydrolytic enzymes represents a key nutritional strategy for all bacteria, including micro-organisms living in extreme and hostile habitats, such as cold environments. However, little is known about protein secretion mechanisms in psychrophilic bacteria. In this study, the recombinant secretion of a cold-adapted a-amylase in the Antarctic Gram-negative Pseudoalteromonas haloplanktis TAC125 was investigated. By a combination of several molecular techniques, the function of the pssA gene was related to alpha-amylase secretion in this psychrophilic bacterium. Deletion of the pssA gene completely abolished amylase secretion without affecting the extracellular targeting of other substrates mediated by canonical secretion systems. The pssA gene product, PssA, is a multidomain lipoprotein, predicted to be localized in the bacterial outer membrane, and displaying three TPR (tetratricopeptide repeat) domains and two LysM modules. Based on functional annotation of these domains, combined with the experimental results reported herein, we suggest a role for PssA as a molecular adaptor, in charge of recruiting other cellular components required for specific a-amylase secretion. To the best of our knowledge, no proteins exhibiting the same domain organization have previously been linked to protein secretion.</t>
  </si>
  <si>
    <t>[Parrilli, Ermenegilda; Giuliani, Maria; Pezzella, Cinzia; Marino, Gennaro; Tutino, Maria Luisa] Univ Naples Federico II, Dipartimento Chim Organ &amp; Biochim, I-80126 Naples, Italy; [Parrilli, Ermenegilda; Marino, Gennaro; Tutino, Maria Luisa] Univ Naples Federico II, Fac Sci Biotecnol, I-80126 Naples, Italy; [Danchin, Antoine] Inst Pasteur, CNRS, Genet Genomes Bacteriens URA 2171, F-75724 Paris 15, France</t>
  </si>
  <si>
    <t>University of Naples Federico II; University of Naples Federico II; Pasteur Network; Universite Paris Cite; Institut Pasteur Paris; Centre National de la Recherche Scientifique (CNRS)</t>
  </si>
  <si>
    <t>Tutino, ML (corresponding author), Univ Naples Federico II, Dipartimento Chim Organ &amp; Biochim, Complesso Univ MS Angelo Via Cinthia 4, I-80126 Naples, Italy.</t>
  </si>
  <si>
    <t>Pezzella, Cinzia/AAF-8779-2020; parrilli, ermenegilda/K-4616-2016; Pezzella, Cinzia/L-2753-2014; TUTINO, MARIA LUISA/L-1834-2013; Danchin, Antoine/F-3745-2018; parrilli, ermenegilda/JAZ-0586-2023</t>
  </si>
  <si>
    <t>Pezzella, Cinzia/0000-0001-5694-472X; parrilli, ermenegilda/0000-0002-9002-5409; Danchin, Antoine/0000-0002-6350-5001; Tutino, Maria Luisa/0000-0002-4978-6839</t>
  </si>
  <si>
    <t>Ministero dell'Universita e della Ricerca Scientifica; Programma Nazionale di Ricerche in Antartide</t>
  </si>
  <si>
    <t>Ministero dell'Universita e della Ricerca Scientifica(Ministry of Education, Universities and Research (MIUR)); Programma Nazionale di Ricerche in Antartide(Ministry of Education, Universities and Research (MIUR))</t>
  </si>
  <si>
    <t>We are grateful to Dr Gerard Michel (LISM/IBSM CNRS 31 Chemin J. Aiguier, 13402 Marseille, France) for critical reading of the manuscript and very helpful discussions. We thank Rosaria Varlese for her excellent technical assistance. This work was supported by grants from the Ministero dell'Universita e della Ricerca Scientifica (Progetti di Rilevante Interesse Nazionale 2006) and the Programma Nazionale di Ricerche in Antartide 2004-2006.</t>
  </si>
  <si>
    <t>10.1099/mic.0.032342-0</t>
  </si>
  <si>
    <t>553LP</t>
  </si>
  <si>
    <t>WOS:000274368500024</t>
  </si>
  <si>
    <t>Filippini, JP; Ade, PAR; Amiri, M; Benton, SJ; Bihary, R; Bock, JJ; Bond, JR; Bonetti, JA; Bryan, SA; Burger, B; Chiang, HC; Contaldi, CR; Crill, BP; Doré, O; Farhang, M; Fissel, LM; Gandilo, NN; Golwala, SR; Gudmundsson, JE; Halpern, M; Hasselfield, M; Hilton, G; Holmes, W; Hristov, VV; Irwin, KD; Jones, WC; Kuo, CL; MacTavish, CJ; Mason, PV; Montroy, TE; Morford, TA; Netterfield, CB; O'Dea, DT; Rahlin, AS; Reintsema, CD; Ruhl, JE; Runyan, MC; Schenker, MA; Shariff, JA; Soler, JD; Trangsrud, A; Tucker, C; Tucker, RS; Turner, AD</t>
  </si>
  <si>
    <t>Holland, WS; Zmuidzinas, J</t>
  </si>
  <si>
    <t>Filippini, J. P.; Ade, P. A. R.; Amiri, M.; Benton, S. J.; Bihary, R.; Bock, J. J.; Bond, J. R.; Bonetti, J. A.; Bryan, S. A.; Burger, B.; Chiang, H. C.; Contaldi, C. R.; Crill, B. P.; Dore, O.; Farhang, M.; Fissel, L. M.; Gandilo, N. N.; Golwala, S. R.; Gudmundsson, J. E.; Halpern, M.; Hasselfield, M.; Hilton, G.; Holmes, W.; Hristov, V. V.; Irwin, K. D.; Jones, W. C.; Kuo, C. L.; MacTavish, C. J.; Mason, P. V.; Montroy, T. E.; Morford, T. A.; Netterfield, C. B.; O'Dea, D. T.; Rahlin, A. S.; Reintsema, C. D.; Ruhl, J. E.; Runyan, M. C.; Schenker, M. A.; Shariff, J. A.; Soler, J. D.; Trangsrud, A.; Tucker, C.; Tucker, R. S.; Turner, A. D.</t>
  </si>
  <si>
    <t>SPIDER: a balloon-borne CMB polarimeter for large angular scales</t>
  </si>
  <si>
    <t>MILLIMETER, SUBMILLIMETER, AND FAR-INFRARED DETECTORS AND INSTRUMENTATION FOR ASTRONOMY V</t>
  </si>
  <si>
    <t>Conference on Millimeter, Submillimeter, and Far-Infrared Detectors and Instrumentation for Astronomy V</t>
  </si>
  <si>
    <t>JUN 29-JUL 02, 2010</t>
  </si>
  <si>
    <t>SPIDER; cosmic microwave background; polarization; inflation; transition-edge sensor</t>
  </si>
  <si>
    <t>2003 FLIGHT; MICROWAVE; POLARIZATION; TEMPERATURE; TELESCOPE; WAVES</t>
  </si>
  <si>
    <t>We describe Spider, a balloon-borne instrument to map the polarization of the millimeter-wave sky with degree angular resolution. Spider consists of six monochromatic refracting telescopes, each illuminating a focal plane of large-format antenna-coupled bolometer arrays. A total of 2,624 superconducting transition-edge sensors are distributed among three observing bands centered at 90, 150, and 280 GHz. A cold half-wave plate at the aperture of each telescope modulates the polarization of incoming light to control systematics. Spider's first flight will be a 20-30-day Antarctic balloon campaign in December 2011. This flight will map similar to 8% of the sky to achieve unprecedented sensitivity to the polarization signature of the gravitational wave background predicted by inflationary cosmology. The Spider mission will also serve as a proving ground for these detector technologies in preparation for a future satellite mission.</t>
  </si>
  <si>
    <t>[Filippini, J. P.; Bock, J. J.; Crill, B. P.; Dore, O.; Golwala, S. R.; Hristov, V. V.; Mason, P. V.; Morford, T. A.; Runyan, M. C.; Schenker, M. A.; Trangsrud, A.; Tucker, R. S.] CALTECH, Div Phys Math &amp; Astron, Pasadena, CA 91125 USA; [Ade, P. A. R.; Tucker, C.] Cardiff Univ, Sch Phys &amp; Astron, Cardiff CF10 3XQ, England; [Amiri, M.; Burger, B.; Halpern, M.; Hasselfield, M.] Univ British Columbia, Dept Phys &amp; Astron, Vancouver, BC V6T 1Z4, Canada; [Benton, S. J.; Farhang, M.; Fissel, L. M.; Gandilo, N. N.; Netterfield, C. B.; Shariff, J. A.; Soler, J. D.] Univ Toronto, Dept Phys, Toronto, ON M5S 1A1, Canada; [Bryan, S. A.; Montroy, T. E.; Ruhl, J. E.] Case Western Reserve Univ, Dept Phys, Cleveland, OH 44106 USA; [Bock, J. J.; Bonetti, J. A.; Crill, B. P.; Dore, O.; Holmes, W.; Turner, A. D.] Jet Prop Lab, Pasadena, CA 91109 USA; [Bond, J. R.] Univ Toronto, Canadian Inst Theoret Astrophys, Toronto, ON M5S 1A1, Canada; [Chiang, H. C.; Gudmundsson, J. E.; Rahlin, A. S.] Princeton Univ, Dept Phys, Princeton, NJ 08544 USA; [Contaldi, C. R.; O'Dea, D. T.] Univ London, Imperial Coll, Dept Phys, London WC1E 7HU, England; [Hilton, G.; Irwin, K. D.; Reintsema, C. D.] NIST, Boulder, CO 80305 USA; [Kuo, C. L.] Stanford Univ, Dept Phys, Stanford, CA 94305 USA; [MacTavish, C. J.] Univ Cambridge, Kavli Inst Cosmol, Cambridge CB2 1TN, England</t>
  </si>
  <si>
    <t>California Institute of Technology; Cardiff University; University of British Columbia; University of Toronto; University System of Ohio; Case Western Reserve University; National Aeronautics &amp; Space Administration (NASA); NASA Jet Propulsion Laboratory (JPL); University of Toronto; Princeton University; Imperial College London; University of London; National Institute of Standards &amp; Technology (NIST) - USA; Stanford University; University of Cambridge</t>
  </si>
  <si>
    <t>Filippini, JP (corresponding author), CALTECH, Div Phys Math &amp; Astron, Pasadena, CA 91125 USA.</t>
  </si>
  <si>
    <t>jpf@caltech.edu</t>
  </si>
  <si>
    <t>Ruhl, John/HHS-2212-2022; jones, william C/AGJ-6132-2022; Bryan, Scott E/J-1297-2012</t>
  </si>
  <si>
    <t>Ruhl, John/0000-0001-5875-4751; jones, william C/0000-0002-3636-1241; Soler, Juan Diego/0000-0002-0294-4465; Crill, Brendan/0000-0002-4650-8518; Irwin, Kent/0000-0002-2998-9743; Tucker, Carole/0000-0002-1851-3918; Chiang, Hsin/0000-0002-4098-9533; Contaldi, Carlo/0000-0001-7285-0707; Bryan, Sean/0000-0003-4607-9562; Golwala, Sunil/0000-0002-1098-7174</t>
  </si>
  <si>
    <t>NASA [NNX07AL64G]; Moore Postdoctoral Fellowship in Experimental Physics.; STFC [ST/G002711/1] Funding Source: UKRI</t>
  </si>
  <si>
    <t>NASA(National Aeronautics &amp; Space Administration (NASA)); Moore Postdoctoral Fellowship in Experimental Physics.; STFC(UK Research &amp; Innovation (UKRI)Science &amp; Technology Facilities Council (STFC))</t>
  </si>
  <si>
    <t>The Spider collaboration gratefully acknowledges the support of NASA (grant number NNX07AL64G), the Gordon and Betty Moore Foundation, and NSERC. WCJ acknowledges the support of the Alfred P. Sloan Foundation. JPF is partially supported by a Moore Postdoctoral Fellowship in Experimental Physics.</t>
  </si>
  <si>
    <t>978-0-81948-231-0</t>
  </si>
  <si>
    <t>77411N</t>
  </si>
  <si>
    <t>10.1117/12.857720</t>
  </si>
  <si>
    <t>Astronomy &amp; Astrophysics; Optics</t>
  </si>
  <si>
    <t>BSU83</t>
  </si>
  <si>
    <t>WOS:000285838800046</t>
  </si>
  <si>
    <t>Ruegg, KC; Anderson, EC; Baker, CS; Vant, M; Jackson, JA; Palumbi, SR</t>
  </si>
  <si>
    <t>Ruegg, Kristen C.; Anderson, Eric C.; Baker, C. Scott; Vant, Murdoch; Jackson, Jennifer A.; Palumbi, Stephen R.</t>
  </si>
  <si>
    <t>Are Antarctic minke whales unusually abundant because of 20th century whaling?</t>
  </si>
  <si>
    <t>MOLECULAR ECOLOGY</t>
  </si>
  <si>
    <t>Antarctic marine ecosystem; Antarctic minke whale; coalescent modelling; competitive release; effective population size; krill surplus hypothesis</t>
  </si>
  <si>
    <t>SEA-ICE; POPULATION-SIZE; STATISTICAL-METHOD; TROPHIC CASCADES; CONTROL REGION; TOP-DOWN; DNA; ECOSYSTEM; KRILL; SAMPLES</t>
  </si>
  <si>
    <t>Severe declines in megafauna worldwide illuminate the role of top predators in ecosystem structure. In the Antarctic, the Krill Surplus Hypothesis posits that the killing of more than 2 million large whales led to competitive release for smaller krill-eating species like the Antarctic minke whale. If true, the current size of the Antarctic minke whale population may be unusually high as an indirect result of whaling. Here, we estimate the long-term population size of the Antarctic minke whale prior to whaling by sequencing 11 nuclear genetic markers from 52 modern samples purchased in Japanese meat markets. We use coalescent simulations to explore the potential influence of population substructure and find that even though our samples are drawn from a limited geographic area, our estimate reflects ocean-wide genetic diversity. Using Bayesian estimates of the mutation rate and coalescent-based analyses of genetic diversity across loci, we calculate the long-term population size of the Antarctic minke whale to be 670 000 individuals (95% confidence interval: 374 000-1 150 000). Our estimate of long-term abundance is similar to, or greater than, contemporary abundance estimates, suggesting that managing Antarctic ecosystems under the assumption that Antarctic minke whales are unusually abundant is not warranted.</t>
  </si>
  <si>
    <t>[Ruegg, Kristen C.; Palumbi, Stephen R.] Stanford Univ, Hopkins Marine Stn, Dept Biol, Pacific Grove, CA 93950 USA; [Anderson, Eric C.] SW Fisheries Sci Ctr, Natl Marine Fisheries Serv, Santa Cruz, CA 95060 USA; [Anderson, Eric C.] Univ Calif Santa Cruz, Dept Appl Math &amp; Stat, Santa Cruz, CA 95060 USA; [Baker, C. Scott; Jackson, Jennifer A.] Oregon State Univ, Marine Mammal Inst, Hatfield Marine Sci Ctr, Newport, OR 97365 USA; [Baker, C. Scott; Vant, Murdoch] Univ Auckland, Sch Biol Sci, Auckland 1, New Zealand</t>
  </si>
  <si>
    <t>Stanford University; National Oceanic Atmospheric Admin (NOAA) - USA; University of California System; University of California Santa Cruz; Oregon State University; University of Auckland</t>
  </si>
  <si>
    <t>Ruegg, KC (corresponding author), Stanford Univ, Hopkins Marine Stn, Dept Biol, 120 Oceanview Blvd, Pacific Grove, CA 93950 USA.</t>
  </si>
  <si>
    <t>kruegg@stanford.edu</t>
  </si>
  <si>
    <t>Jackson, Jennifer A/E-7997-2013</t>
  </si>
  <si>
    <t>Jackson, Jennifer/0000-0003-4158-1924</t>
  </si>
  <si>
    <t>New Zealand Royal Society [UOA309]; Lenfest Ocean Program [2004-001492-023]</t>
  </si>
  <si>
    <t>New Zealand Royal Society(Royal Society of New Zealand); Lenfest Ocean Program</t>
  </si>
  <si>
    <t>We thank E. Archer, E. Alter, T. Branch, B. Brownell, J. Cooke, D. Demaster, A. Lang, K. Martien, P. Morin, M. Pespeni, M. Pinsky, R. Waples, and J. Wiedenmann for comments on early versions of this manuscript. We thank N. Funahashi and the International Fund for Animal Welfare for market sample collection. This work was supported by a grant from the Marsden Fund of the New Zealand Royal Society (UOA309) and the Lenfest Ocean Program (#2004-001492-023).</t>
  </si>
  <si>
    <t>0962-1083</t>
  </si>
  <si>
    <t>1365-294X</t>
  </si>
  <si>
    <t>MOL ECOL</t>
  </si>
  <si>
    <t>Mol. Ecol.</t>
  </si>
  <si>
    <t>10.1111/j.1365-294X.2009.04447.x</t>
  </si>
  <si>
    <t>Biochemistry &amp; Molecular Biology; Ecology; Evolutionary Biology</t>
  </si>
  <si>
    <t>Biochemistry &amp; Molecular Biology; Environmental Sciences &amp; Ecology; Evolutionary Biology</t>
  </si>
  <si>
    <t>543DI</t>
  </si>
  <si>
    <t>WOS:000273550100007</t>
  </si>
  <si>
    <t>Maurer, G; Beck, N; Double, MC</t>
  </si>
  <si>
    <t>Maurer, Golo; Beck, Nadeena; Double, Michael C.</t>
  </si>
  <si>
    <t>A 'feather-trap' for collecting DNA samples from birds</t>
  </si>
  <si>
    <t>MOLECULAR ECOLOGY RESOURCES</t>
  </si>
  <si>
    <t>animal welfare; coucal; feather samples</t>
  </si>
  <si>
    <t>NONINVASIVE GENETIC-ANALYSIS; CUCKOO; SEX</t>
  </si>
  <si>
    <t>Genetic analyses of birds are usually based on DNA extracted from a blood sample. For some species, however, obtaining blood samples is difficult because they are sensitive to handling, pose a conservation or animal welfare concern, or evade capture. In such cases, feathers obtained from live birds in the wild can provide an alternative source of DNA. Here, we provide the first description and evaluation of a 'feather-trap', consisting of small strips of double-sided adhesive tape placed close to a nest with chicks, as a simple, inexpensive and minimally invasive method to collect feathers. The feather-trap was tested in tropical conditions on the Australian pheasant coucal (Centropus phasianinus). None of the 12 pairs of coucals on which the feather-trap was used abandoned the nest, and feeding rates did not differ from those of birds not exposed to a feather-trap. On average, 4.2 feathers were collected per trap over 2-5 days and, despite exposure to monsoonal rain, DNA was extracted from 71.4% of samples, albeit at low concentrations. The amount of genomic DNA extracted from each feather was sufficient to reliably genotype individuals at up to five microsatellite loci for parentage analysis. We show that a feather-trap can provide a reliable alternative for obtaining DNA in species where taking blood is difficult. It may also prove useful for collecting feather samples for other purposes, e.g. stable-isotope analysis.</t>
  </si>
  <si>
    <t>[Maurer, Golo; Beck, Nadeena; Double, Michael C.] Australian Natl Univ, Sch Bot &amp; Zool, Canberra, ACT 0200, Australia; [Maurer, Golo] Univ Birmingham, Ctr Ornithol, Birmingham B15 2TT, W Midlands, England; [Beck, Nadeena] Dept Environm Water Heritage &amp; Arts, Kingston, Tas 7050, Australia; [Double, Michael C.] Australian Antarctic Div, Kingston, Tas 7050, Australia</t>
  </si>
  <si>
    <t>Australian National University; University of Birmingham; Australian Antarctic Division</t>
  </si>
  <si>
    <t>Maurer, G (corresponding author), Australian Natl Univ, Sch Bot &amp; Zool, GPO Box 4, Canberra, ACT 0200, Australia.</t>
  </si>
  <si>
    <t>golo.maurer@anu.edu.au</t>
  </si>
  <si>
    <t>Stuart Leslie Bird Research Award; Cayley Memorial Scholarship; Ingram trust; Australian National University [F.BTZ.56.03]; Parks Northern Territory [16973]</t>
  </si>
  <si>
    <t>Stuart Leslie Bird Research Award; Cayley Memorial Scholarship; Ingram trust; Australian National University(Australian National University); Parks Northern Territory</t>
  </si>
  <si>
    <t>We would like to thank O. Milenkaya, C. Smith, S. Musgrave, A. Quellmalz, S. Quinlan, M. Starling and M. Susser for their help with the fieldwork, and R. D. Magrath for comments on an earlier draft of the manuscript. The work was funded by grants from the Stuart Leslie Bird Research Award, the Cayley Memorial Scholarship and the Ingram trust to GM. Ethics permits for the study were granted by the Australian National University (F.BTZ.56.03) and Parks Northern Territory (# 16973).</t>
  </si>
  <si>
    <t>1755-098X</t>
  </si>
  <si>
    <t>MOL ECOL RESOUR</t>
  </si>
  <si>
    <t>Mol. Ecol. Resour.</t>
  </si>
  <si>
    <t>10.1111/j.1755-0998.2009.02711.x</t>
  </si>
  <si>
    <t>533ZY</t>
  </si>
  <si>
    <t>WOS:000272866500012</t>
  </si>
  <si>
    <t>Lunt, DJ; Flecker, R; Clift, PD</t>
  </si>
  <si>
    <t>Clift, PD; Tada, R; Zheng, H</t>
  </si>
  <si>
    <t>Lunt, Daniel J.; Flecker, Rachel; Clift, Peter D.</t>
  </si>
  <si>
    <t>The impacts of Tibetan uplift on palaeoclimate proxies</t>
  </si>
  <si>
    <t>MONSOON EVOLUTION AND TECTONICS - CLIMATE LINKAGE IN ASIA</t>
  </si>
  <si>
    <t>LATE CENOZOIC UPLIFT; CLIMATE-CHANGE; COUPLED MODEL; BIOME RECONSTRUCTION; SOUTHERN ASIA; LATE MIOCENE; MONSOON; SENSITIVITY; EVOLUTION; SIMULATION</t>
  </si>
  <si>
    <t>Several palaeoclimate proxy records have been interpreted as representing the direct effects of Tibetan uplift on climate, and particularly the intensity of the Asian summer monsoon. However, there are other possible causes for the transitions and changes which have been observed, such as varying greenhouse gas concentrations, nodes or extremes in orbital forcing, and changing continental configurations. In this study we model the direct effects of Tibetan uplift on sea surface temperatures (SSTs), vegetation, and river discharge. We investigate whether these climatic effects of topographic uplift are likely to be detectable in proxy records, and also whether the proxies could be used to distinguish between different paradigms for the history of plateau uplift. We find that the SSTs in the western Pacific, South China Sea and Indian Ocean are generally insensitive to Tibetan uplift; however, vegetation in the region of the plateau itself, and river discharge from the Yangtze, Pearl, and in particular the Ganges/Brahmaputra, could provide a good test of our understanding of Tibetan uplift history.</t>
  </si>
  <si>
    <t>[Lunt, Daniel J.; Flecker, Rachel] Univ Bristol, Sch Geog Sci, BRIDGE, Bristol BS8 1SS, Avon, England; [Lunt, Daniel J.] British Antarctic Survey, Geol Sci Div, Cambridge CB3 0ET, England; [Clift, Peter D.] Univ Aberdeen, Kings Coll, Sch Geosci, Aberdeen AB24 3UE, Scotland</t>
  </si>
  <si>
    <t>University of Bristol; UK Research &amp; Innovation (UKRI); Natural Environment Research Council (NERC); NERC British Antarctic Survey; University of Aberdeen</t>
  </si>
  <si>
    <t>Lunt, DJ (corresponding author), Univ Bristol, Sch Geog Sci, BRIDGE, Univ Rd, Bristol BS8 1SS, Avon, England.</t>
  </si>
  <si>
    <t>d.j.lunt@bristol.ac.uk</t>
  </si>
  <si>
    <t>Clift, Peter D/A-8972-2012; Clift, Peter/JWO-3915-2024; Lunt, Daniel/G-9451-2011</t>
  </si>
  <si>
    <t>Lunt, Daniel/0000-0003-3585-6928; Flecker, Rachel/0000-0002-9369-5328</t>
  </si>
  <si>
    <t>978-1-86239-310-3</t>
  </si>
  <si>
    <t>10.1144/SP342.16</t>
  </si>
  <si>
    <t>Geochemistry &amp; Geophysics; Geology; Geosciences, Multidisciplinary</t>
  </si>
  <si>
    <t>BUB87</t>
  </si>
  <si>
    <t>WOS:000288753700016</t>
  </si>
  <si>
    <t>Rabassa, J</t>
  </si>
  <si>
    <t>Latrubesse, EM</t>
  </si>
  <si>
    <t>Rabassa, Jorge</t>
  </si>
  <si>
    <t>IMPACT OF GLOBAL CLIMATE CHANGE ON GLACIERS AND PERMAFROST OF SOUTH AMERICA, WITH EMPHASIS ON PATAGONIA, TIERRA DEL FUEGO, AND THE ANTARCTIC PENINSULA</t>
  </si>
  <si>
    <t>NATURAL HAZARDS AND HUMAN-EXACERBATED DISASTERS IN LATIN AMERICA: SPECIAL VOLUMES OF GEOMORPHOLOGY</t>
  </si>
  <si>
    <t>Developments in Earth Surface Processes</t>
  </si>
  <si>
    <t>[Rabassa, Jorge] CADIC CONICET, RA-9410 Ushuaia, Tierra Del Fueg, Argentina; [Rabassa, Jorge] Univ Nacl Patagonia San Juan Bosco, RA-9410 Ushuaia, Tierra Del Fueg, Argentina</t>
  </si>
  <si>
    <t>Consejo Nacional de Investigaciones Cientificas y Tecnicas (CONICET); Universidad Nacional de la Patagonia San Juan Bosco</t>
  </si>
  <si>
    <t>Rabassa, J (corresponding author), CADIC CONICET, CC 92, RA-9410 Ushuaia, Tierra Del Fueg, Argentina.</t>
  </si>
  <si>
    <t>0928-2025</t>
  </si>
  <si>
    <t>978-0-08-093218-7</t>
  </si>
  <si>
    <t>DEV EARTH S</t>
  </si>
  <si>
    <t>10.1016/S0928-2025(08)10019-0</t>
  </si>
  <si>
    <t>BCQ90</t>
  </si>
  <si>
    <t>WOS:000311046100022</t>
  </si>
  <si>
    <t>Muratli, JM; Chase, Z; Mix, AC; McManus, J</t>
  </si>
  <si>
    <t>Muratli, J. M.; Chase, Z.; Mix, A. C.; McManus, J.</t>
  </si>
  <si>
    <t>Increased glacial-age ventilation of the Chilean margin by Antarctic Intermediate Water</t>
  </si>
  <si>
    <t>SOUTHERN-OCEAN; CLIMATE VARIABILITY; SEDIMENTS; CARBON; RADIOCARBON; CIRCULATION; NITROGEN</t>
  </si>
  <si>
    <t>Antarctic Intermediate Water is, at present, a water mass that brings oxygen to intermediate depths throughout the Southern Hemisphere oceans. Models have suggested that intermediate waters had higher concentrations of oxygen during the last glacial period(1,2), consistent with globally reduced denitrification(3) and increased production of Antarctic Intermediate Water(4). However, some palaeoceanographic reconstructions(5,6) have indicated that production decreased in the southeast Pacific Ocean at this time. Here we analyse the concentrations of Re and Mn, the sedimentary concentrations of which are controlled by the amount of dissolved oxygen at the sea floor, from three sediment cores located along the Chilean margin for the past 30,000 years. Our results from the cores, which bracket the present-day water-column extent of Antarctic Intermediate Water, show that the depth range of well-oxygenated Antarctic Intermediate Water increased off Chile during the Last Glacial Maximum. Dissolved oxygen content began to decrease approximately 17,000 years ago, coincident with rapid Antarctic warming and a poleward shift of the southern westerly winds(7). Our estimates of productivity from accumulation rates of organic carbon and opal do not co-vary with the seafloor oxygen variations, ruling out local control of seafloor oxygenation. We conclude that the data are best explained by a combination of increased oxygenation and increased flux of Antarctic Intermediate Water during the Last Glacial Maximum.</t>
  </si>
  <si>
    <t>[Muratli, J. M.; Chase, Z.; Mix, A. C.; McManus, J.] Oregon State Univ, Coll Ocean &amp; Atmospher Sci, Corvallis, OR 97331 USA</t>
  </si>
  <si>
    <t>Oregon State University</t>
  </si>
  <si>
    <t>Muratli, JM (corresponding author), Oregon State Univ, Coll Ocean &amp; Atmospher Sci, 104 COAS Adm Bldg, Corvallis, OR 97331 USA.</t>
  </si>
  <si>
    <t>jmuratli@coas.oregonstate.edu</t>
  </si>
  <si>
    <t>McManus, James/GSM-7165-2022; Chase, Zanna/E-9232-2013</t>
  </si>
  <si>
    <t>Chase, Zanna/0000-0001-5060-779X</t>
  </si>
  <si>
    <t>National Science Foundation [OCE-0526278, OCE-0753487]; Gordon &amp; Betty Moore Foundation</t>
  </si>
  <si>
    <t>National Science Foundation(National Science Foundation (NSF)); Gordon &amp; Betty Moore Foundation(Gordon and Betty Moore Foundation)</t>
  </si>
  <si>
    <t>B. Gentry, T. Schell, A. Ungerer and J. Jennings all assisted in the laboratory. Samples used in this work were provided by the Ocean Drilling Program. This research was financially supported by the National Science Foundation (OCE-0526278 and OCE-0753487). Extra financial support was provided by the Gordon &amp; Betty Moore Foundation. Any opinion, finding, and conclusions or recommendations expressed in this material are those of the authors and do not necessarily reflect the views of the National Science Foundation.</t>
  </si>
  <si>
    <t>10.1038/NGEO715</t>
  </si>
  <si>
    <t>535NM</t>
  </si>
  <si>
    <t>WOS:000272976200011</t>
  </si>
  <si>
    <t>Lunt, DJ; Haywood, AM; Schmidt, GA; Salzmann, U; Valdes, PJ; Dowsett, HJ</t>
  </si>
  <si>
    <t>Lunt, Daniel J.; Haywood, Alan M.; Schmidt, Gavin A.; Salzmann, Ulrich; Valdes, Paul J.; Dowsett, Harry J.</t>
  </si>
  <si>
    <t>Earth system sensitivity inferred from Pliocene modelling and data</t>
  </si>
  <si>
    <t>GREENLAND ICE-SHEET; COUPLED MODEL; CLIMATE-CHANGE; SURFACE MELT; CO2; VEGETATION</t>
  </si>
  <si>
    <t>Quantifying the equilibrium response of global temperatures to an increase in atmospheric carbon dioxide concentrations is one of the cornerstones of climate research. Components of the Earth's climate system that vary over long timescales, such as ice sheets and vegetation, could have an important effect on this temperature sensitivity, but have often been neglected. Here we use a coupled atmosphere-ocean general circulation model to simulate the climate of the mid-Pliocene warm period (about three million years ago), and analyse the forcings and feedbacks that contributed to the relatively warm temperatures. Furthermore, we compare our simulation with proxy records of mid-Pliocene sea surface temperature. Taking these lines of evidence together, we estimate that the response of the Earth system to elevated atmospheric carbon dioxide concentrations is 30-50% greater than the response based on those fast-adjusting components of the climate system that are used traditionally to estimate climate sensitivity. We conclude that targets for the long-term stabilization of atmospheric greenhouse-gas concentrations aimed at preventing a dangerous human interference with the climate system should take into account this higher sensitivity of the Earth system.</t>
  </si>
  <si>
    <t>[Lunt, Daniel J.; Valdes, Paul J.] Univ Bristol, BRIDGE, Sch Geog Sci, Bristol BS8 1SS, Avon, England; [Lunt, Daniel J.; Salzmann, Ulrich] British Antarctic Survey, Cambridge CB3 0ET, England; [Haywood, Alan M.] Univ Leeds, Sch Earth &amp; Environm, Leeds LS2 9JT, W Yorkshire, England; [Schmidt, Gavin A.] NASA, Goddard Inst Space Studies, New York, NY 10025 USA; [Salzmann, Ulrich] Northumbria Univ, Sch Appl Sci, Newcastle Upon Tyne NE1 8ST, Tyne &amp; Wear, England; [Dowsett, Harry J.] US Geol Survey, Reston, VA 20192 USA</t>
  </si>
  <si>
    <t>University of Bristol; UK Research &amp; Innovation (UKRI); Natural Environment Research Council (NERC); NERC British Antarctic Survey; University of Leeds; National Aeronautics &amp; Space Administration (NASA); NASA Goddard Space Flight Center; Goddard Institute for Space Studies; Northumbria University; United States Department of the Interior; United States Geological Survey</t>
  </si>
  <si>
    <t>Lunt, DJ (corresponding author), Univ Bristol, BRIDGE, Sch Geog Sci, Univ Rd, Bristol BS8 1SS, Avon, England.</t>
  </si>
  <si>
    <t>Valdes, Paul J/C-4129-2013; Valdes, Paul/T-2004-2019; Schmidt, Gavin/D-4427-2012; Salzmann, Ulrich/H-9929-2017; Lunt, Daniel/G-9451-2011</t>
  </si>
  <si>
    <t>Valdes, Paul/0000-0002-1902-3283; Schmidt, Gavin/0000-0002-2258-0486; Salzmann, Ulrich/0000-0001-5598-5327; Lunt, Daniel/0000-0003-3585-6928; Dowsett, Harry/0000-0003-1983-7524</t>
  </si>
  <si>
    <t>BAS; RCUK; NERC [bas010019] Funding Source: UKRI; Natural Environment Research Council [ncas10009, bas010019] Funding Source: researchfish</t>
  </si>
  <si>
    <t>BAS; RCUK(UK Research &amp; Innovation (UKRI)); NERC(UK Research &amp; Innovation (UKRI)Natural Environment Research Council (NERC)); Natural Environment Research Council(UK Research &amp; Innovation (UKRI)Natural Environment Research Council (NERC))</t>
  </si>
  <si>
    <t>This work was carried out in the framework of the British Antarctic Survey (BAS) Greenhouse to ice-house: Evolution of the Antarctic Cryosphere And Palaeoenvironment (GEACEP) programme. D.J.L. is financially supported by BAS and RCUK fellowhips.</t>
  </si>
  <si>
    <t>10.1038/NGEO706</t>
  </si>
  <si>
    <t>WOS:000272976200018</t>
  </si>
  <si>
    <t>Vélez-Sainz, J</t>
  </si>
  <si>
    <t>Velez-Sainz, Julio</t>
  </si>
  <si>
    <t>The translation and translationes: the founding of a literati at the Academy Antarctic of Diego Mexia and Clarinda.</t>
  </si>
  <si>
    <t>NEOPHILOLOGUS</t>
  </si>
  <si>
    <t>Univ Complutense Madrid, Dept Filol Espanola Literatura Espanola 2, Fac Filol, E-28040 Madrid, Spain</t>
  </si>
  <si>
    <t>Complutense University of Madrid</t>
  </si>
  <si>
    <t>Vélez-Sainz, J (corresponding author), Univ Complutense Madrid, Dept Filol Espanola Literatura Espanola 2, Fac Filol, Edif D,Desp 01-309,Ciudad Univ, E-28040 Madrid, Spain.</t>
  </si>
  <si>
    <t>jjvelez@filol.ucm.es</t>
  </si>
  <si>
    <t>Vélez-sainz, Julio/AAF-7074-2021</t>
  </si>
  <si>
    <t>Vélez-sainz, Julio/0000-0002-0573-5052</t>
  </si>
  <si>
    <t>0028-2677</t>
  </si>
  <si>
    <t>1572-8668</t>
  </si>
  <si>
    <t>Neophilologus</t>
  </si>
  <si>
    <t>10.1007/s11061-009-9170-z</t>
  </si>
  <si>
    <t>Language &amp; Linguistics; Literature</t>
  </si>
  <si>
    <t>576JI</t>
  </si>
  <si>
    <t>WOS:000276140200005</t>
  </si>
  <si>
    <t>Massom, R</t>
  </si>
  <si>
    <t>Kajiwara, K; Muramatsu, K; Soyama, N; Endo, T; Ono, A; Akatsuka, S</t>
  </si>
  <si>
    <t>Massom, R.</t>
  </si>
  <si>
    <t>RECENT ICE SHELF DISINTEGRATION EVENTS IN THE ANTARCTIC PENINSULA - POSSIBLE LINKS TO CHANGING SEA ICE CONDITIONS</t>
  </si>
  <si>
    <t>NETWORKING THE WORLD WITH REMOTE SENSING</t>
  </si>
  <si>
    <t>8th Symposium on Networking the World with Remote Sensing of ISPRS-Technical-Commission</t>
  </si>
  <si>
    <t>AUG 09-12, 2010</t>
  </si>
  <si>
    <t>Kyoto, JAPAN</t>
  </si>
  <si>
    <t>BB2NN</t>
  </si>
  <si>
    <t>WOS:000341930000225</t>
  </si>
  <si>
    <t>Nihashi, S</t>
  </si>
  <si>
    <t>Nihashi, S.</t>
  </si>
  <si>
    <t>DEVELOPMENT OF AMSR-E THIN ICE ALGORITHM IN THE ARCTIC AND ANTARCTIC OCEANS, AND THE OKHOTSK SEA</t>
  </si>
  <si>
    <t>WOS:000341930000227</t>
  </si>
  <si>
    <t>Bellingham, PJ; Towns, DR; Cameron, EK; Davis, JJ; Wardle, DA; Wilmshurst, JM; Mulder, CPH</t>
  </si>
  <si>
    <t>Bellingham, Peter J.; Towns, David R.; Cameron, Ewen K.; Davis, Joe J.; Wardle, David A.; Wilmshurst, Janet M.; Mulder, Christa P. H.</t>
  </si>
  <si>
    <t>New Zealand island restoration: seabirds, predators, and the importance of history</t>
  </si>
  <si>
    <t>NEW ZEALAND JOURNAL OF ECOLOGY</t>
  </si>
  <si>
    <t>behavioural ecology; biological invasion; ecosystem function; eradication; flora; matauranga Maori; nitrogen; pollen; phosphorus; rat; seabird; shearwater; succession; translocation</t>
  </si>
  <si>
    <t>NORTHERN OFFSHORE ISLANDS; ANTARCTIC CAMPBELL ISLAND; RATTUS-EXULANS PEALE; BARRIER-ISLAND; PEMBROKESHIRE ISLANDS; INTRODUCED PREDATORS; HOLOCENE VEGETATION; BURROWING SEABIRDS; GENETIC-VARIATION; SPECIES RICHNESS</t>
  </si>
  <si>
    <t>New Zealand's offshore and outlying islands have long been a focus of conservation biology as sites of local endemism and as last refuges for many species. During the c. 730 years since New Zealand has been settled by people, mammalian predators have invaded many islands and caused local and global extinctions. New Zealand has led international efforts in island restoration. By the late 1980s, translocations of threatened birds to predator-free islands were well under way to safeguard against extinction. Non-native herbivores and predators, such as goats and cats, had been eradicated from some islands. A significant development in island restoration in the mid-1980s was the eradication of rats from small forested islands. This eradication technology has been refined and currently at least 65 islands, including large and remote Campbell (11216 ha) and Raoul (2938 ha) Islands, have been successfully cleared of rats. Many of New Zealand's offshore islands, especially those without predatory mammals, are home to large numbers of breeding seabirds. Seabirds influence ecosystem processes on islands by enhancing soil fertility and through soil disturbance by burrowing. Predators, especially rats, alter ecosystem processes and cause population reductions or extinctions of native animals and plants. Islands have been promoted as touchstones of a primaeval New Zealand, but we are now increasingly aware that most islands have been substantially modified since human settlement of New Zealand. Archaeological and palaeoecological investigations, together with the acknowledgement that many islands have been important mahinga kai (sources of food) for Maori, have all led to a better understanding of how people have modified these islands. Restoration technology may have vaulted ahead of our ability to predict the ecosystem consequences of its application on islands. However, research is now being directed to help make better decisions about restoration and management of islands, decisions that take account of island history and key drivers of island ecosystem functioning.</t>
  </si>
  <si>
    <t>[Bellingham, Peter J.; Wardle, David A.; Wilmshurst, Janet M.] Landcare Res, Lincoln 7640, New Zealand; [Towns, David R.] Dept Conservat, Auckland, New Zealand; [Cameron, Ewen K.] Auckland Museum, Auckland, New Zealand; [Davis, Joe J.] Ngati Hei Trust, Whitianga, New Zealand; [Wardle, David A.] Swedish Univ Agr Sci, Dept Forest Vegetat Ecol, S-90183 Umea, Sweden; [Mulder, Christa P. H.] Univ Alaska Fairbanks, Dept Biol &amp; Wildlife, Fairbanks, AK 99775 USA; [Mulder, Christa P. H.] Univ Alaska Fairbanks, Inst Arctic Biol, Fairbanks, AK 99775 USA</t>
  </si>
  <si>
    <t>Landcare Research - New Zealand; Swedish University of Agricultural Sciences; University of Alaska System; University of Alaska Fairbanks; University of Alaska System; University of Alaska Fairbanks</t>
  </si>
  <si>
    <t>Bellingham, PJ (corresponding author), Landcare Res, POB 40, Lincoln 7640, New Zealand.</t>
  </si>
  <si>
    <t>bellinghamp@landcareresearch.co.nz</t>
  </si>
  <si>
    <t>Bellingham, Peter/AAP-4302-2020; Wilmshurst, Janet/O-8611-2019; Wardle, David A./F-6031-2011</t>
  </si>
  <si>
    <t>Wilmshurst, Janet/0000-0002-4474-8569; Wardle, David A./0000-0002-0476-7335; Mulder, Christa/0000-0003-1095-9031</t>
  </si>
  <si>
    <t>Marsden Fund; Foundation for Research, Science, and Technology; US National Science Foundation; Department of Conservation; Australasian branch ofthe Society for Conservation Biology</t>
  </si>
  <si>
    <t>Marsden Fund(Royal Society of New ZealandMarsden Fund (NZ)); Foundation for Research, Science, and Technology(New Zealand Foundation for Research, Science and Technology); US National Science Foundation(National Science Foundation (NSF)); Department of Conservation; Australasian branch ofthe Society for Conservation Biology</t>
  </si>
  <si>
    <t>We received funding from the Marsden Fund, the Foundation for Research, Science, and Technology (Sustaining and Restoring Biodiversity Outcome-based Investment), the US National Science Foundation and the Department of Conservation. The contribution by DRT includes part of a plenary address to the Biodiversity Extinction Crisis Conference, Sydney, Australia (July 2007), supported by the Australasian branch ofthe Society for Conservation Biology. For access to islands we thank the Ngatiwai Trust; Ngati Rehua, Ngati Manuhiri; Ngati Paoa; Ngati Hei;Ngati Hako; Ngati Puu; Ngamotuaroha Islands Trust, Rumahua(Aldermen) IslandsTrust, theNcureuter family, Oho Nicolls, and the Department of Conservation. We thank Phil Lyver and John Parkes for input. Dave Kelly, Bill Lee and an anonymous referee provided valuable review comments. We thank the Department of Conservation and Landcare Research for sponsoring the publication of this special journal issue.</t>
  </si>
  <si>
    <t>NEW ZEALAND ECOL SOC</t>
  </si>
  <si>
    <t>CHRISTCHURCH</t>
  </si>
  <si>
    <t>PO BOX 25178, CHRISTCHURCH, NEW ZEALAND</t>
  </si>
  <si>
    <t>0110-6465</t>
  </si>
  <si>
    <t>1177-7788</t>
  </si>
  <si>
    <t>NEW ZEAL J ECOL</t>
  </si>
  <si>
    <t>N. Z. J. Ecol.</t>
  </si>
  <si>
    <t>542TR</t>
  </si>
  <si>
    <t>WOS:000273519300007</t>
  </si>
  <si>
    <t>Di Rico, G; Ragni, M; Dolci, M; Straniero, O; Valentini, A; Valentini, G; Di Cianno, A; Giuliani, C; Bonoli, C; Bortoletto, F; D'Alessandro, M; Magrin, D; Corcione, L; Riva, A; Abia, C; Mancini, A; Busso, M; Tosti, G</t>
  </si>
  <si>
    <t>Silva, DR; Peck, AB; Soifer, BT</t>
  </si>
  <si>
    <t>Di Rico, Gianluca; Ragni, Maurizio; Dolci, Mauro; Straniero, Oscar; Valentini, Angelo; Valentini, Gaetano; Di Cianno, Amico; Giuliani, Croce; Bonoli, Carlotta; Bortoletto, Favio; D'Alessandro, Maurizio; Magrin, Demetrio; Corcione, Leonardo; Riva, Alberto; Abia, Carlos; Mancini, Alberto; Busso, Maurizio; Tosti, Gino</t>
  </si>
  <si>
    <t>Autonomous operations in extreme environments: the AMICA case</t>
  </si>
  <si>
    <t>OBSERVATORY OPERATIONS: STRATEGIES, PROCESSES, AND SYSTEMS III</t>
  </si>
  <si>
    <t>Conference on Observatory Operations: Strategies, Processes, and Systems III</t>
  </si>
  <si>
    <t>JUN 30-JUL 02, 2010</t>
  </si>
  <si>
    <t>infrared imaging; robotics; software; Antarctica</t>
  </si>
  <si>
    <t>DOME-C; TELESCOPE; ASTRONOMY; IRAIT</t>
  </si>
  <si>
    <t>An autonomous observatory is being installed at Dome C in Antarctica. It will be constituted by the International Robotic Antarctic Infrared Telescope (IRAIT) and the Antarctic Multiband Infrared CAmera (AMICA). Because of the extreme environment, the whole system has been developed to operate robotically, paying particular attention to the environmental conditions and the subsystems activity monitoring. A detailed description of the IRAIT/AMICA data acquisition process and management will be shown, focusing on automated procedures and solutions against safety risks.</t>
  </si>
  <si>
    <t>[Di Rico, Gianluca; Ragni, Maurizio; Dolci, Mauro; Straniero, Oscar; Valentini, Angelo; Valentini, Gaetano; Di Cianno, Amico; Giuliani, Croce] INAF OA Teramo, Via M Maggini Snc, I-64100 Teramo, Italy; [Bonoli, Carlotta; Bortoletto, Favio; D'Alessandro, Maurizio; Magrin, Demetrio] INAF OA Padova, I-35122 Padua, Italy; [Corcione, Leonardo; Riva, Alberto] INAF OA Torino, I-10025 Pino Torinese, Italy; [Abia, Carlos] UGR, Dept Fis Teor &amp; Cosmos, ES-18071 Granada, Spain; [Mancini, Alberto; Busso, Maurizio; Tosti, Gino] Univ Perugia, Dipartimento Fis, I-06123 Perugia, Italy</t>
  </si>
  <si>
    <t>Istituto Nazionale Astrofisica (INAF); Istituto Nazionale Astrofisica (INAF); University of Granada; University of Perugia</t>
  </si>
  <si>
    <t>Di Rico, G (corresponding author), INAF OA Teramo, Via M Maggini Snc, I-64100 Teramo, Italy.</t>
  </si>
  <si>
    <t>Tosti, Gino/0000-0002-0839-4126; corcione, leonardo/0000-0002-6497-5881; d'alessandro, maurizio/0000-0002-8318-0988; Di Rico, Gianluca/0000-0002-5213-8269; Busso, Maurizio Maria/0000-0001-8944-5820; Magrin, Demetrio/0000-0003-0312-313X; Abia Ladron De Guevara, Carlos Antonio/0000-0002-5665-2716; Dolci, Mauro/0000-0001-8000-5642; Riva, Alberto/0000-0002-6928-8589; Straniero, Oscar/0000-0002-5514-6125</t>
  </si>
  <si>
    <t>Italian Ministero dell'Istruzione, dell'Universita e della Ricerca (MIUR), through the Italian National Institute for Astrophysics (INAF)</t>
  </si>
  <si>
    <t>AMICA is fully supported by the Italian Ministero dellIstruzione, dellUniversita e della Ricerca (MIUR), through the Italian National Institute for Astrophysics (INAF). Four observatories, all belonging to INAF, participate to this collaboration, namely: Milano, Padova, Teramo and Torino</t>
  </si>
  <si>
    <t>978-0-81948-227-3</t>
  </si>
  <si>
    <t>10.1117/12.856857</t>
  </si>
  <si>
    <t>BSU48</t>
  </si>
  <si>
    <t>WOS:000285827700055</t>
  </si>
  <si>
    <t>Hamzah, BA</t>
  </si>
  <si>
    <t>Hamzah, B. A.</t>
  </si>
  <si>
    <t>Malaysia and the Southern Ocean: Revisiting the Question of Antarctica</t>
  </si>
  <si>
    <t>OCEAN DEVELOPMENT AND INTERNATIONAL LAW</t>
  </si>
  <si>
    <t>Malaysia; Antarctica; Southern Ocean; Question of Antarctica; Antarctic Treaty</t>
  </si>
  <si>
    <t>This article examines the development of Malaysia's policy toward the Southern Ocean since 1983. Malaysia appears set to sign the 1959 Antarctic Treaty. The signing of the Treaty will close a chapter in the North-South divide on the question of Antarctica at the United Nations. It will also signal a new face or orientation in Malaysia's foreign policy toward the Southern Ocean under the new regime led by Prime Minister Dato Seri Najib Razak.</t>
  </si>
  <si>
    <t>[Hamzah, B. A.] Univ Malaya, Kuala Lumpur, Malaysia</t>
  </si>
  <si>
    <t>Hamzah, BA (corresponding author), 26 Jalan 2-2,Taman TAR, Ampang 68000, Selangor, Malaysia.</t>
  </si>
  <si>
    <t>bahamzah@pd.jaring.my</t>
  </si>
  <si>
    <t>0090-8320</t>
  </si>
  <si>
    <t>OCEAN DEV INT LAW</t>
  </si>
  <si>
    <t>Ocean Dev. Int. Law</t>
  </si>
  <si>
    <t>10.1080/00908321003733147</t>
  </si>
  <si>
    <t>International Relations; Law</t>
  </si>
  <si>
    <t>606JB</t>
  </si>
  <si>
    <t>WOS:000278419700004</t>
  </si>
  <si>
    <t>Hogg, AM; Griffiths, RW</t>
  </si>
  <si>
    <t>Hogg, Andrew McC.; Griffiths, Ross W.</t>
  </si>
  <si>
    <t>A coupled ocean-atmosphere laboratory model of the Antarctic Circumpolar Current</t>
  </si>
  <si>
    <t>OCEAN MODELLING</t>
  </si>
  <si>
    <t>Antarctic Circumpolar Current; Baroclinic instability; Rotating annulus</t>
  </si>
  <si>
    <t>THERMAL-CONVECTION; TRANSPORT; CHANNEL; BALANCE; EDDIES</t>
  </si>
  <si>
    <t>A thermally-driven rotating annulus with two immiscible fluid layers is used as a laboratory analogue for ocean-atmosphere coupling in the Southern Ocean region. The laboratory facility can be tuned to produce a separation in scales between the two layers, and flow in each layer qualitatively resembles observed parameter regimes. The model effectively allows the lower (ocean) layer to be driven by both thermal and momentum forcing, and these two components can be independently varied to investigate the dynamics of the system. The results show that it is plausible to drive a strong circumpolar ocean flow with thermal forcing alone. The addition of momentum forcing increases the circumpolar transport, but only up to a limit, consistent with existing eddy-resolving simulations of the Antarctic Circumpolar Current. Thus it is demonstrated that laboratory models of coupled ocean-atmosphere flows can contribute to the range of tools available to understand climate-scale phenomena. (C) 2010 Elsevier Ltd. All rights reserved.</t>
  </si>
  <si>
    <t>[Hogg, Andrew McC.; Griffiths, Ross W.] Australian Natl Univ, Res Sch Earth Sci, Canberra, ACT 0200, Australia</t>
  </si>
  <si>
    <t>Australian National University</t>
  </si>
  <si>
    <t>Andy.Hogg@anu.edu.au</t>
  </si>
  <si>
    <t>Hogg, Andy McC./A-7553-2011; Hogg, Andy/AAZ-8733-2021; griffiths, ross/E-6121-2010</t>
  </si>
  <si>
    <t>Hogg, Andy McC./0000-0001-5898-7635; Hogg, Andy/0000-0001-5898-7635; griffiths, ross/0000-0002-5291-1178</t>
  </si>
  <si>
    <t>Australian Research Council [DP0449851, DP0877824]; Australian Research Council [DP0877824, DP0449851] Funding Source: Australian Research Council</t>
  </si>
  <si>
    <t>Australian Research Council(Australian Research Council); Australian Research Council(Australian Research Council)</t>
  </si>
  <si>
    <t>Our thanks to Chris Morgan who built the tank used for these experiments, and Tony Beasley and Daniel Hunt who helped to maintain the facility. Many of these experiments were undertaken by Nicola Maher. Roger Nokes supplied the Fluid Stream software to undertake the PTV analysis, while Vince Craig advised on the treatment of particles to enable visualisation. A.M.H. was supported by an Australian Research Council Postdoctoral Fellowship (DP0449851) during this work, and DP0877824.</t>
  </si>
  <si>
    <t>1463-5003</t>
  </si>
  <si>
    <t>1463-5011</t>
  </si>
  <si>
    <t>OCEAN MODEL</t>
  </si>
  <si>
    <t>Ocean Model.</t>
  </si>
  <si>
    <t>10.1016/j.ocemod.2010.06.004</t>
  </si>
  <si>
    <t>645OR</t>
  </si>
  <si>
    <t>WOS:000281472700005</t>
  </si>
  <si>
    <t>Mathiot, P; Barnier, B; Gallée, H; Molines, JM; Le Sommer, J; Juza, M; Penduff, T</t>
  </si>
  <si>
    <t>Mathiot, Pierre; Barnier, Bernard; Gallee, Hubert; Molines, Jean Marc; Le Sommer, Julien; Juza, Melanie; Penduff, Thierry</t>
  </si>
  <si>
    <t>Introducing katabatic winds in global ERA40 fields to simulate their impacts on the Southern Ocean and sea-ice</t>
  </si>
  <si>
    <t>Katabatic winds; Sea-ice; Polynya; Antarctic; Reanalysis ERA40; Overturning</t>
  </si>
  <si>
    <t>TERRA-NOVA BAY; WATER MASSES; MODEL; REPRESENTATION; CIRCULATION; POLYNYAS</t>
  </si>
  <si>
    <t>A medium resolution (10-20 km around Antarctica) global ocean/sea-ice model is used to evaluate the impact of katabatic winds on sea-ice and hydrography. A correction is developed to compensate for the drastic underestimation of these katabatic winds in the ERA40 reanalysis. This correction derives from a comparison over 1980-1989 between wind stress in ERA40 and those downscaled from ERA40 by the MAR regional atmospheric model. The representation in MAR of the continental orography surrounding the ocean, like the Transantarctic Mountains, and a specific parameterisation of roughness length in the planetary boundary layer yield a major improvement in the representation of katabatic winds along the coast of Antarctica. Wind stress directions at the first ocean point are remarkably similar in ERA40 and MAR, but MAR wind stress amplitudes are much greater. From this comparison, a scale factor constant in time (i.e. no seasonal variation) but spatially varying (decreasing off-shore over a distance of about 150 km) is created for the meridional and zonal wind stress components and adapted to the wind vector. The correction thus consists of a local amplification of the amplitude of the 6-hourly ERA40 wind vector components at ocean points near the coast. The impact of katabatic wind correction is investigated in 40-year long twin simulations of a global ocean/sea-ice model. The wind stress over polynyas is increased by a factor of 2, and amplitudes of sensible and latent air-sea heat exchanges are increased by 28% and 18%, respectively. Sea-ice thickness and ice-fraction near the coast of Antarctica show a marked decrease. The amplified katabatic winds also increase the extent of coastal polynyas by 24% (i.e. the total polynya area is augmented by 60,000 km(3) around Antarctica), and the winter sea-ice production in polynyas is greater by 42%. Outside polynyas, the impact is a reduction of sea-ice production in the Southern Ocean sea-ice pack. Impacts on the ocean circulation are also marked. Katabatic wind amplification strengthens the local overturning in coastal polynyas with a more intense transformation of Antarctic Surface Waters into colder and denser shelf waters (in total over all polynyas around Antarctica, the overturning reaches 4.7 Sv in annual mean, an increase of 1.8 Sv, and peaks to 6 Sv in winter). The modification of shelf water properties and of the zonal surface winds yields an increase of the amplitude of the seasonal cycle of the Antarctic Coastal Current. (C) 2010 Elsevier Ltd. All rights reserved.</t>
  </si>
  <si>
    <t>[Mathiot, Pierre] Catholic Univ Louvain, Georges Lemaitre Ctr Earth &amp; Climate Res, Earth &amp; Life Inst, TECLIM, B-1348 Louvain, Belgium; [Mathiot, Pierre; Barnier, Bernard; Molines, Jean Marc; Le Sommer, Julien; Juza, Melanie; Penduff, Thierry] UJF, CNRS, LEGI UMR5519, Grenoble, France; [Gallee, Hubert] UJF, CNRS, LGGE UMR5183, Grenoble, France; [Penduff, Thierry] Florida State Univ, Dept Oceanog, Tallahassee, FL 32306 USA</t>
  </si>
  <si>
    <t>Universite Catholique Louvain; Communaute Universite Grenoble Alpes; Universite Grenoble Alpes (UGA); Centre National de la Recherche Scientifique (CNRS); CNRS - Institute for Engineering &amp; Systems Sciences (INSIS); Centre National de la Recherche Scientifique (CNRS); Communaute Universite Grenoble Alpes; Universite Grenoble Alpes (UGA); State University System of Florida; Florida State University</t>
  </si>
  <si>
    <t>Mathiot, P (corresponding author), Catholic Univ Louvain, Georges Lemaitre Ctr Earth &amp; Climate Res, Earth &amp; Life Inst, TECLIM, 2 Chemin Cyclotron, B-1348 Louvain, Belgium.</t>
  </si>
  <si>
    <t>pierre.mathiot@uclouvain.be</t>
  </si>
  <si>
    <t>Le Sommer, Julien/ABG-8801-2021; Barnier, Bernard/F-2400-2016; Penduff, Thierry/AAH-6554-2021</t>
  </si>
  <si>
    <t>Le Sommer, Julien/0000-0002-6882-2938; Penduff, Thierry/0000-0002-0407-8564; Mathiot, Pierre/0000-0002-2001-0762</t>
  </si>
  <si>
    <t>Ministere de l'Education Nationale et de la Recherche; Centre National de la Recherche Scientifique (CNRS); Centre National d'Etudes Spatiales (CNES) through the OST/ST; European Commission [SIP3-CT-2003-502885]; GMMC; LEFE; [PICS2475]</t>
  </si>
  <si>
    <t>Ministere de l'Education Nationale et de la Recherche; Centre National de la Recherche Scientifique (CNRS)(Centre National de la Recherche Scientifique (CNRS)); Centre National d'Etudes Spatiales (CNES) through the OST/ST(Centre National D'etudes Spatiales); European Commission(European Union (EU)European Commission Joint Research Centre); GMMC; LEFE;</t>
  </si>
  <si>
    <t>The authors acknowledge support from Ministere de l'Education Nationale et de la Recherche and from Centre National de la Recherche Scientifique (CNRS). This work is a contribution of the DRAKKAR project. Support to DRAKKAR comes from various grants and programs listed hereafter: French national programs GMMC, LEFE, and PICS2475. The contribution of Institut National des Sciences de l'Univers (INSU) to these programmes is particularly acknowledged. DRAKKAR acknowledge the support from the Centre National d'Etudes Spatiales (CNES) through the OST/ST. Computations presented in this study were performed at Institut du Developpement et des Ressources en Informatique Scientifique (IDRIS). Partial support from the European Commission under Contract SIP3-CT-2003-502885 (MERSEA project) is gratefully acknowledged. The authors are also grateful to the members of the DRAKKAR group for their lively discussions and comments during the annual DRAKKAR meeting. Josiane Brasseur is thanked for her continuous support. The authors acknowledge the very constructive and precise comments of two anonymous reviewers.</t>
  </si>
  <si>
    <t>10.1016/j.ocemod.2010.07.001</t>
  </si>
  <si>
    <t>670VK</t>
  </si>
  <si>
    <t>WOS:000283455200003</t>
  </si>
  <si>
    <t>Hunke, EC</t>
  </si>
  <si>
    <t>Hunke, Elizabeth C.</t>
  </si>
  <si>
    <t>Thickness sensitivities in the CICE sea ice model</t>
  </si>
  <si>
    <t>Sea ice thickness; Albedo; Conductivity; Ridging; Modeling; Arctic; Antarctic</t>
  </si>
  <si>
    <t>PACK ICE; OCEAN; DEFORMATION; SURFACE; ALBEDO; COVER</t>
  </si>
  <si>
    <t>Passive microwave satellite observations of ice extent and concentration form the foundation of sea ice model evaluations, due to their wide spatial coverage and decades-long availability. Observations related to other model quantities are somewhat more limited but increasing as interest in high-latitude processes intensifies. Sea ice thickness, long judged a critical quantity in the physical system, is now being scrutinized more closely in sea ice model simulations as more expansive measurements become available. While albedo is often the first parameter chosen by modelers to adjust simulated ice thickness, this paper explores a set of less prominent parameters to which thickness is also quite sensitive. These include parameters associated with sea ice conductivity, mechanical redistribution, oceanic heat flux, and ice-ocean dynamic stress, in addition to shortwave radiation. Multiple combinations of parameter values can produce the same mean ice thickness using the Los Alamos Sea Ice Model, CICE. One of these tuned simulations is compared with a variety of observational data sets in both hemispheres. While deformed ice area compares well with the limited observations available for ridged ice, thickness measurements differ such that the model cannot agree with all of them simultaneously. Albedo and ice-ocean dynamic parameters that affect the turning of the ice relative to the ocean currents have the largest effect on ice thickness, of the parameters tested here. That is, sea ice thickness is highly sensitive to changes in external forcing by the atmosphere or ocean, and therefore serves as a sensitive diagnostic for high-latitude change. (C) 2010 Elsevier Ltd. All rights reserved.</t>
  </si>
  <si>
    <t>Los Alamos Natl Lab, Los Alamos, NM 87545 USA</t>
  </si>
  <si>
    <t>United States Department of Energy (DOE); Los Alamos National Laboratory</t>
  </si>
  <si>
    <t>Hunke, EC (corresponding author), Los Alamos Natl Lab, MS B216, Los Alamos, NM 87545 USA.</t>
  </si>
  <si>
    <t>eclare@lanl.gov</t>
  </si>
  <si>
    <t>Biological and Environmental Research division of the US Department of Energy Office of Science; US Department of Energy [DE-AC52-06NA25396]</t>
  </si>
  <si>
    <t>Biological and Environmental Research division of the US Department of Energy Office of Science(United States Department of Energy (DOE)); US Department of Energy(United States Department of Energy (DOE))</t>
  </si>
  <si>
    <t>I sincerely thank Dr. William Lipscomb for helpful discussions regarding this paper and for his numerous contributions to the CICE model itself. I am also grateful for Dr. Adrian Turner's careful reading and suggestions for improvement of the manuscript. This work was performed within the Climate, Ocean and Sea Ice Modeling (COSIM) project at Los Alamos National Laboratory, whose funding from the Biological and Environmental Research division of the US Department of Energy Office of Science is gratefully acknowledged. Los Alamos National Laboratory is operated by the National Nuclear Security Administration of the US Department of Energy under Contract No. DE-AC52-06NA25396.</t>
  </si>
  <si>
    <t>10.1016/j.ocemod.2010.05.004</t>
  </si>
  <si>
    <t>634JV</t>
  </si>
  <si>
    <t>WOS:000280578000006</t>
  </si>
  <si>
    <t>Viebahn, J; Eden, C</t>
  </si>
  <si>
    <t>Viebahn, Jan; Eden, Carsten</t>
  </si>
  <si>
    <t>Towards the impact of eddies on the response of the Southern Ocean to climate change</t>
  </si>
  <si>
    <t>Meso-scale eddies; Eddy parameterisations; Meridional overturning circulation; Southern Ocean; Antarctic Circumpolar Current; Climate change</t>
  </si>
  <si>
    <t>ANTARCTIC CIRCUMPOLAR CURRENT; GENERALIZED ELIASSEN-PALM; EDDY TRANSFER; CIRCULATION; TRANSPORT; STRATIFICATION; DYNAMICS; MOMENTUM; MODELS; WAVES</t>
  </si>
  <si>
    <t>The sensitivity of the meridional overturning circulation (MOC) of the Southern Ocean (SO) to wind stress changes is discussed. Using an idealised SO model in both non- and eddy-permitting configurations, we assess the effects of both, coarsening the horizontal resolution and implementing different parameterisations for the lateral eddy diffusivity appropriate to the Gent and McWilliams (1990) parameterisation, K. We find that the MOC is characterised by an eddy-driven part which generally opposes the wind-driven part and that the increase of the MOC diminishes with amplifying winds, with the possibility that the MOC in the SO may become completely insensitive to wind stress changes. However, for moderate wind stress, the MOC is still significantly increasing in our configuration. The diagnosed lateral eddy diffusivity K in the eddy-permitting version shows strong spatial variability and is increasing with increasing wind stress. Similar to the MOC (but in contrast to psi(center dot)) the increase of K diminishes with amplifying winds. It turns out that a small increase in the isopycnal slopes is also relevant in order to capture the correct sensitivity of psi* on wind stress. This relation also holds in model configurations with coarser but still eddy-permitting horizontal resolution: decreasing the horizontal resolution decreases K. but increases the isopycnal slopes such that the strength of the MOC including its sensitivity to wind stress is almost unchanged. The parameterisations are able to reproduce the MOC for certain wind stresses, but all parameterisations underestimate the sensitivity of K and thus overestimate the sensitivity of the MOC on wind stress. Our results show that it is indispensable to incorporate the correct sensitivity of K into climate models in order to reproduce the correct sensitivity of the MOC to wind stress and that up-to-date parameterisations for K are only partially successful. (C) 2010 Elsevier Ltd. All rights reserved.</t>
  </si>
  <si>
    <t>[Viebahn, Jan] IFM GEOMAR, D-24105 Kiel, Germany; [Eden, Carsten] Univ Hamburg, D-20146 Hamburg, Germany</t>
  </si>
  <si>
    <t>Helmholtz Association; GEOMAR Helmholtz Center for Ocean Research Kiel; University of Hamburg</t>
  </si>
  <si>
    <t>Viebahn, J (corresponding author), IFM GEOMAR, Dusternbrooker Weg 20, D-24105 Kiel, Germany.</t>
  </si>
  <si>
    <t>jviebahn@ifm-geomar.de</t>
  </si>
  <si>
    <t>10.1016/j.ocemod.2010.05.005</t>
  </si>
  <si>
    <t>WOS:000280578000007</t>
  </si>
  <si>
    <t>Losch, M; Menemenlis, D; Campin, JM; Heimbach, P; Hill, C</t>
  </si>
  <si>
    <t>Losch, Martin; Menemenlis, Dimitris; Campin, Jean-Michel; Heimbach, Patick; Hill, Chris</t>
  </si>
  <si>
    <t>On the formulation of sea-ice models. Part 1: Effects of different solver implementations and parameterizations</t>
  </si>
  <si>
    <t>Numerical sea ice modeling; Viscous-plastic rheology; EVP; Coupled ocean and sea ice model; State estimation; Adjoint modeling; Canadian arctic archipelago; Sea-ice export; Sensitivities</t>
  </si>
  <si>
    <t>GENERAL-CIRCULATION MODEL; NUMERICAL INVESTIGATIONS; OCEAN CIRCULATION; WEDDELL SEA; DYNAMICS; CLIMATE; WATER; REPRESENTATION; TOPOGRAPHY; THICKNESS</t>
  </si>
  <si>
    <t>This paper describes the sea ice component of the Massachusetts Institute of Technology general circulation model (MITgcm); it presents example Arctic and Antarctic results from a realistic, eddy-admitting, global ocean and sea ice configuration; and it compares B-grid anti C-grid dynamic solvers and other numerical details of the parameterized dynamics and thermodynamics in a regional Arctic configuration. Ice mechanics follow a viscous-plastic rheology and the ice momentum equations are solved numerically using either line-successive-over-relaxation (LSOR) or elastic-viscous-plastic (EVP) dynamic models. Ice thermodynamics are represented using either a zero-heat-capacity formulation or a two-layer formulation that conserves enthalpy. The model includes prognostic variables for snow thickness and for sea ice salinity. The above sea ice model components were borrowed from current generation climate models but they were reformulated on an Arakawa C grid in order to match the MITgcm oceanic grid and they were modified in many ways to permit efficient and accurate automatic differentiation. Both stress tensor divergence and advective terms are discretized with the finite-volume method. The choice of the dynamic solver has a considerable effect on the solution; this effect can be larger than, for example, the choice of lateral boundary conditions, of ice rheology, and of ice-ocean stress coupling. The solutions obtained with different dynamic solvers typically differ by a few cm s(-1) in ice drift speeds, 50 cm in ice thickness, and order 200 km(3) yr(-1) in freshwater (ice and snow) export out of the Arctic. (C) 2010 Elsevier Ltd. All rights reserved.</t>
  </si>
  <si>
    <t>[Losch, Martin] Alfred Wegener Inst Polar &amp; Marine Res, D-27515 Bremerhaven, Germany; [Menemenlis, Dimitris] CALTECH, Jet Prop Lab, Pasadena, CA 91109 USA; [Campin, Jean-Michel; Heimbach, Patick; Hill, Chris] MIT, Dept Earth Atmospher &amp; Planetary Sci, Cambridge, MA 02139 USA</t>
  </si>
  <si>
    <t>Helmholtz Association; Alfred Wegener Institute, Helmholtz Centre for Polar &amp; Marine Research; California Institute of Technology; National Aeronautics &amp; Space Administration (NASA); NASA Jet Propulsion Laboratory (JPL); Massachusetts Institute of Technology (MIT)</t>
  </si>
  <si>
    <t>Losch, M (corresponding author), Alfred Wegener Inst Polar &amp; Marine Res, Postfach 120161, D-27515 Bremerhaven, Germany.</t>
  </si>
  <si>
    <t>Martin.Losch@awi.de</t>
  </si>
  <si>
    <t>Menemenlis, Dimitris/G-8091-2017; Heimbach, Patrick/K-3530-2013; Losch, Martin/S-5896-2016</t>
  </si>
  <si>
    <t>Menemenlis, Dimitris/0000-0001-9940-8409; Heimbach, Patrick/0000-0003-3925-6161; Losch, Martin/0000-0002-3824-5244</t>
  </si>
  <si>
    <t>NSF [ARC-0804150]; DOE [DE-FG02-08ER64592]; NASA [NNGO6GG98G]; National Oceanographic Partnership Program (NOPP); Directorate For Geosciences; Office of Polar Programs (OPP) [0804150] Funding Source: National Science Foundation</t>
  </si>
  <si>
    <t>NSF(National Science Foundation (NSF)); DOE(United States Department of Energy (DOE)); NASA(National Aeronautics &amp; Space Administration (NASA)); National Oceanographic Partnership Program (NOPP); Directorate For Geosciences; Office of Polar Programs (OPP)(National Science Foundation (NSF)NSF - Directorate for Geosciences (GEO))</t>
  </si>
  <si>
    <t>We thank Jinlun Zhang for providing the original B-grid code and for many helpful discussions. M.L. thanks Elizabeth Hunke for multiple explanations and Sergey Danilov and Rudiger Gerdes for comments on the manuscript. This work was supported by NSF award ARC-0804150, DOE award DE-FG02-08ER64592, and NASA award NNGO6GG98G. It is a contribution to the ECCO2 project sponsored by the NASA Modeling Analysis and Prediction (MAP) program and to the ECCO-GODAE project sponsored by the National Oceanographic Partnership Program (NOPP). Computing resources were provided by NASA/ARC, NCAR/CSL, and JPL/SVF.</t>
  </si>
  <si>
    <t>10.1016/j.ocemod.2009.12.008</t>
  </si>
  <si>
    <t>587JG</t>
  </si>
  <si>
    <t>WOS:000276986700010</t>
  </si>
  <si>
    <t>McDougall, TJ; Klocker, A</t>
  </si>
  <si>
    <t>McDougall, Trevor J.; Klocker, Andreas</t>
  </si>
  <si>
    <t>An approximate geostrophic streamfunction for use in density surfaces</t>
  </si>
  <si>
    <t>Mixing; Thermobaric; Circulation; Geostrophy; Streamfunction; Layered ocean models</t>
  </si>
  <si>
    <t>BERNOULLI INVERSE; OCEAN; THERMOBARICITY; CIRCULATION; FLUX</t>
  </si>
  <si>
    <t>An approximate expression is derived for the geostrophic streamfunction in approximately neutral surfaces, phi(n), namely phi(n) = 1/2 Delta p (delta) over tilde - 1/12 T-b(Theta)/rho Delta Theta(Delta p)(2) - integral(p)(0)(delta) over tilde dp'. This expression involves the specific volume anomaly 3 defined with respect to a reference point ((S) over tilde (A), (Theta) over tilde, (p) over tilde) on the surface, Delta p and Delta Theta are the differences in pressure and Conservative Temperature with respect to p and Theta, respectively, and T-b(Theta) the thermobaric coefficient. This geostrophic streamfunction is shown to be more accurate than previously available choices of geostrophic streamfunction such as the Montgomery streamfunction. Also, by writing expressions for the horizontal differences on a regular horizontal grid of a localized form of the above geostrophic streamfunction, an over-determined set of equations is developed and solved to numerically obtain a very accurate geostrophic streamfunction on an approximately neutral surface; the remaining error in this streamfunction is caused only by neutral helicity. Crown Copyright (C) 2009 Published by Elsevier Ltd. All rights reserved.</t>
  </si>
  <si>
    <t>[McDougall, Trevor J.] Ctr Australian Weather &amp; Climate Res, Hobart, Tas, Australia; [Klocker, Andreas] CSIRO Marine &amp; Atmospher Res, Castray Esplanade, Tas 7000, Australia; [Klocker, Andreas] CSIRO, Antarctic Climate &amp; Ecosyst Cooperat Res Ctr, Hobart, Tas 7001, Australia; [Klocker, Andreas] Univ Tasmania, Inst Antarctic &amp; So Ocean Studies, Hobart, Tas 7001, Australia</t>
  </si>
  <si>
    <t>Commonwealth Scientific &amp; Industrial Research Organisation (CSIRO); Commonwealth Scientific &amp; Industrial Research Organisation (CSIRO); Antarctic Climate &amp; Ecosystems Cooperative Research Centre (ACE CRC); Commonwealth Scientific &amp; Industrial Research Organisation (CSIRO); University of Tasmania</t>
  </si>
  <si>
    <t>McDougall, TJ (corresponding author), Ctr Australian Weather &amp; Climate Res, Hobart, Tas, Australia.</t>
  </si>
  <si>
    <t>Trevor.McDougall@csiro.au</t>
  </si>
  <si>
    <t>McDougall, Trevor J/A-6770-2013; Klocker, Andreas/E-4632-2011</t>
  </si>
  <si>
    <t>Klocker, Andreas/0000-0002-2038-7922</t>
  </si>
  <si>
    <t>10.1016/j.ocemod.2009.10.006</t>
  </si>
  <si>
    <t>586UZ</t>
  </si>
  <si>
    <t>WOS:000276940500001</t>
  </si>
  <si>
    <t>Tsubouchi, T; Suga, T; Hanawa, K</t>
  </si>
  <si>
    <t>Tsubouchi, T.; Suga, T.; Hanawa, K.</t>
  </si>
  <si>
    <t>Indian Ocean Subtropical Mode Water: its water characteristics and spatial distribution</t>
  </si>
  <si>
    <t>OCEAN SCIENCE</t>
  </si>
  <si>
    <t>ANTARCTIC CIRCUMPOLAR CURRENT; NORTH PACIFIC; INTERMEDIATE WATER; INTERPOLATION; VARIABILITY; CIRCULATION</t>
  </si>
  <si>
    <t>We have improved a basic description (water characteristics and spatial distribution) of the Indian Ocean Subtropical Mode Water (IOSTMW) using an isopycnally averaged three-dimensional hydrographic dataset. Two mode waters and corresponding wintertime mixed layer depth maxima were observed north of the subtropical front (STF) in the South Indian Ocean: IOSTMW (within 25.8-26.2 sigma(theta)) in the region of 28-45 degrees E and another subtropical mode water in the subtropical gyre (within 26.4-26.7 sigma(theta)) in the 60-80 degrees E longitudinal band. Through careful examination of the spatial distribution and water characteristics of a core in the layer of minimum vertical temperature gradient (LMVTG), we identified that a mass of LMVTG corresponds to IOSTMW. The average water characteristics of the IOSTMW during approximately 1960-2004 were 16.54 +/- 0.49 degrees C, 35.51 +/- 0.04 psu and 26.0 +/- 0.1 sigma(theta). The IOSTMW distribution area was estimated to be 25-50 degrees E, 27-38 degrees S. The formation region and approximate water characteristics of the second subtropical mode water were also estimated. Its probable formation region was 37-42 degrees S, 60-80 degrees E and north of the STF, with approximate water characteristics of 12.84 +/- 0.57 degrees C, 35.17 +/- 0.11 psu and 26.57 +/- 0.04 sigma(theta).</t>
  </si>
  <si>
    <t>[Tsubouchi, T.; Suga, T.; Hanawa, K.] Tohoku Univ, Dept Geophys, Sendai, Miyagi 980, Japan</t>
  </si>
  <si>
    <t>Tohoku University</t>
  </si>
  <si>
    <t>Tsubouchi, T (corresponding author), Tohoku Univ, Dept Geophys, Sendai, Miyagi 980, Japan.</t>
  </si>
  <si>
    <t>tt2r07@noc.soton.ac.uk</t>
  </si>
  <si>
    <t>Suga, Toshio/C-2708-2009</t>
  </si>
  <si>
    <t>Suga, Toshio/0000-0003-4219-6155</t>
  </si>
  <si>
    <t>Natural Environment Research Council [noc010012] Funding Source: researchfish</t>
  </si>
  <si>
    <t>1812-0784</t>
  </si>
  <si>
    <t>OCEAN SCI</t>
  </si>
  <si>
    <t>Ocean Sci.</t>
  </si>
  <si>
    <t>10.5194/os-6-41-2010</t>
  </si>
  <si>
    <t>576UU</t>
  </si>
  <si>
    <t>Green Submitted, Green Accepted, gold</t>
  </si>
  <si>
    <t>WOS:000276175700004</t>
  </si>
  <si>
    <t>Chmel, A; Smirnov, VN; Sheikin, IB</t>
  </si>
  <si>
    <t>Chmel, A.; Smirnov, V. N.; Sheikin, I. B.</t>
  </si>
  <si>
    <t>Variability of scaling time series in the Arctic sea-ice drift dynamics</t>
  </si>
  <si>
    <t>ART. NO. 178501; EARTHQUAKES; BEHAVIOR; FRACTURE; COVER</t>
  </si>
  <si>
    <t>The motion of an individual ice floe in the Arctic Ocean was monitored at the Russian research station North Pole 35 established on the ice pack in 2008. The ice floe speed (V) was found to be correlated with wind speed (v) in main features, such as the positions of maxima and minima of V and v However, the fine structure of the V-variation cannot be explained by the wind forcing alone. There were periods of time when the floe drift was affected by the interactions of ice floes between each other or by the periodical forcing due to either the Coriolis inertia effect or the tidal activity. These data were compared with the waiting times statistics that are the distributions of time intervals between subsequent, sufficiently strong changes in the kinetic energy of drifting ice floe. These distributions were measured in several time windows differing in the average wind speed and wind direction, and/or in the mechanical state of the ice pack. The distribution functions N(t &gt; tau), where N is the number of successive events of energy change separated by the time interval t that exceeds tau, constructed in different time windows demonstrate fractal or a multifractal nature of the time series during motion in the consolidated ice pack but were truly random when the ice floe drifted in the highly fragmented sea ice. The latter result shows the existence of a relationship between the long-range mechanical interactions in the pack and long-term memory (time scaling behaviour) of the sea-ice motion.</t>
  </si>
  <si>
    <t>[Chmel, A.] Russian Acad Sci, AF Ioffe Physicotech Inst, St Petersburg 194021, Russia; [Smirnov, V. N.; Sheikin, I. B.] Arctic &amp; Antarctic Res Inst, St Petersburg 199397, Russia</t>
  </si>
  <si>
    <t>Russian Academy of Sciences; St. Petersburg Scientific Centre of the Russian Academy of Sciences; Ioffe Physical Technical Institute; Arctic &amp; Antarctic Research Institute</t>
  </si>
  <si>
    <t>Chmel, A (corresponding author), Russian Acad Sci, AF Ioffe Physicotech Inst, St Petersburg 194021, Russia.</t>
  </si>
  <si>
    <t>chmel@mail.ioffe.ru</t>
  </si>
  <si>
    <t>10.5194/os-6-211-2010</t>
  </si>
  <si>
    <t>WOS:000276175700014</t>
  </si>
  <si>
    <t>Smedsrud, LH; Ingvaldsen, R; Nilsen, JEO; Skagseth, O</t>
  </si>
  <si>
    <t>Smedsrud, L. H.; Ingvaldsen, R.; Nilsen, J. E. O.; Skagseth, O.</t>
  </si>
  <si>
    <t>Heat in the Barents Sea: transport, storage, and surface fluxes</t>
  </si>
  <si>
    <t>ARCTIC-OCEAN; FRESH-WATER; ICE; VARIABILITY; MODEL; HALOCLINE; LAYER; MASS</t>
  </si>
  <si>
    <t>A column model is set up for the Barents Sea to explore sensitivity of surface fluxes and heat storage from varying ocean heat transport. Mean monthly ocean transport and atmospheric forcing are synthesised and force the simulations. Results show that by using updated ocean transports of heat and freshwater the vertical mean hydrographic seasonal cycle can be reproduced fairly well. Our results indicate that the similar to 70 TW of heat transported to the Barents Sea by ocean currents is lost in the southern Barents Sea as latent, sensible, and long wave radiation, each contributing 23-39 TW to the total heat loss. Solar radiation adds 26 TW in the south, as there is no significant ice production. The northern Barents Sea receives little ocean heat transport. This leads to a mixed layer at the freezing point during winter and significant ice production. There is little net surface heat loss annually in the north. The balance is achieved by a heat loss through long wave radiation all year, removing most of the summer solar heating. During the last decade the Barents Sea has experienced an atmospheric warming and an increased ocean heat transport. The Barents Sea responds to such large changes by adjusting temperature and heat loss. Decreasing the ocean heat transport below 50 TW starts a transition towards Arctic conditions. The heat loss in the Barents Sea depend on the effective area for cooling, and an increased heat transport leads to a spreading of warm water further north.</t>
  </si>
  <si>
    <t>[Smedsrud, L. H.; Ingvaldsen, R.; Nilsen, J. E. O.; Skagseth, O.] Bjerknes Ctr Climate Res, Bergen, Norway; [Ingvaldsen, R.; Skagseth, O.] Inst Marine Res, N-5024 Bergen, Norway; [Nilsen, J. E. O.] Nansen Environm &amp; Remote Sensing Ctr, Bergen, Norway</t>
  </si>
  <si>
    <t>Bjerknes Centre for Climate Research; Institute of Marine Research - Norway; Nansen Environmental &amp; Remote Sensing Center (NERSC)</t>
  </si>
  <si>
    <t>Smedsrud, LH (corresponding author), Bjerknes Ctr Climate Res, Bergen, Norway.</t>
  </si>
  <si>
    <t>lars.smedsrud@uni.no</t>
  </si>
  <si>
    <t>Nilsen, Jan Even/G-1868-2011</t>
  </si>
  <si>
    <t>Research Council of Norway</t>
  </si>
  <si>
    <t>Research Council of Norway(Research Council of Norway)</t>
  </si>
  <si>
    <t>This work was completed as a part of the Polar Climate and Heat Transport (Pocahontas) and the Bipolar Atlantic Thermohaline Circulation (BIAC) projects, both funded by the Research Council of Norway. The atmospheric forcing data was provided by Asgeir Sorteberg (Geophysical Institute, University of Bergen), but he was, unfortunately, to busy to join in at the writing stage. Thanks to Eva Falck for helpful language improvements, and to Bert Rudels, and two other anonymous reviewers, for important clarifications and good suggestions. The ocean temperature and salinity data were provided by: the Marine Research Institute, Iceland; Institute of Marine Research, Norway; the Faroese Fisheries Laboratory; the Arctic and Antarctic Research Institute, Russia, and Geophysical Institute, University of Bergen, Norway, through the NISE project. This is publication A237 from the Bjerknes Centre for Climate Research.</t>
  </si>
  <si>
    <t>10.5194/os-6-219-2010</t>
  </si>
  <si>
    <t>WOS:000276175700015</t>
  </si>
  <si>
    <t>Klinck, JM; Dinniman, MS</t>
  </si>
  <si>
    <t>Klinck, J. M.; Dinniman, M. S.</t>
  </si>
  <si>
    <t>Exchange across the shelf break at high southern latitudes</t>
  </si>
  <si>
    <t>ANTARCTIC CIRCUMPOLAR CURRENT; POLAR FRONT; DRAKE PASSAGE; ROSS SEA; MODEL; VARIABILITY; SURFACE; OCEAN; CIRCULATION; LOCATION</t>
  </si>
  <si>
    <t>Exchange of water across the Antarctic shelf break has considerable scientific and societal importance due to its effects on circulation and biology of the region, conversion of water masses as part of the global overturning circulation and basal melt of glacial ice and the consequent effect on sea level rise. The focus in this paper is the onshore transport of warm, oceanic Circumpolar Deep Water (CDW); export of dense water from these shelves is equally important, but has been the focus of other recent papers and will not be considered here. A variety of physical mechanisms are described which could play a role in this onshore flux. The relative importance of some processes are evaluated by simple calculations. A numerical model for the Ross Sea continental shelf is used as an example of a more comprehensive evaluation of the details of cross-shelf break exchange. In order for an ocean circulation model to simulate these processes at high southern latitudes, it needs to have high spatial resolution, realistic geometry and bathymetry. Grid spacing smaller than the first baroclinic radius of deformation (a few km) is required to adequately represent the circulation. Because of flow-topography interactions, bathymetry needs to be represented at these same small scales. Atmospheric conditions used to force these circulation models also need to be known at a similar small spatial resolution (a few km) in order to represent orographically controlled winds (coastal jets) and katabatic winds. Significantly, time variability of surface winds strongly influences the structure of the mixed layer. Daily, if not more frequent, surface fluxes must be imposed for a realistic surface mixed layer. Sea ice and ice shelves are important components of the coastal circulation. Ice isolates the ocean from exchange with the atmosphere, especially in the winter. Melting and freezing of both sea ice and glacial ice influence salinity and thereby the character of shelf water. These water mass conversions are known to have an important effect on export of dense water from many Antarctic coastal areas. An artificial dye, as well as temperature, is used to diagnose the flux of CDW onto the shelf. Model results for the Ross Sea show a vigorous onshore flux of oceanic water across the shelf break both at depth and at the surface as well as creation of dense water (High Salinity Shelf Water) created by coastal polynyas in the western Ross Sea.</t>
  </si>
  <si>
    <t>[Klinck, J. M.; Dinniman, M. S.] Old Dominion Univ, Ctr Coastal Phys Oceanog, Norfolk, VA 23529 USA</t>
  </si>
  <si>
    <t>Klinck, JM (corresponding author), Old Dominion Univ, Ctr Coastal Phys Oceanog, Norfolk, VA 23529 USA.</t>
  </si>
  <si>
    <t>klinck@ccpo.odu.edu</t>
  </si>
  <si>
    <t>Klinck, John/0000-0003-4312-5201; Dinniman, Michael/0000-0001-7519-9278</t>
  </si>
  <si>
    <t>US National Science Foundation [OPP-03-37247]; Ohio State University; University of Colorado; Commonwealth Center for Coastal Physical Oceanography; Directorate For Geosciences; Division Of Ocean Sciences [0927797] Funding Source: National Science Foundation</t>
  </si>
  <si>
    <t>US National Science Foundation(National Science Foundation (NSF)); Ohio State University(Ohio State University); University of Colorado; Commonwealth Center for Coastal Physical Oceanography; Directorate For Geosciences; Division Of Ocean Sciences(National Science Foundation (NSF)NSF - Directorate for Geosciences (GEO))</t>
  </si>
  <si>
    <t>The BEDMAP data was provided courtesy of the BEDMAP consortium (http://www.antarctica.ac.uk/bas_research/data/access/bedmap/). The AMPS data was provided by John Cassano and AMPS is supported by US National Science Foundation support to NCAR, Ohio State University and the University of Colorado. Computer facilities and support were provided by the Commonwealth Center for Coastal Physical Oceanography. This work was supported by the US National Science Foundation grant OPP-03-37247.</t>
  </si>
  <si>
    <t>10.5194/os-6-513-2010</t>
  </si>
  <si>
    <t>618XS</t>
  </si>
  <si>
    <t>WOS:000279390000007</t>
  </si>
  <si>
    <t>Valentine, RC; Valentine, DL</t>
  </si>
  <si>
    <t>Valentine, Raymond C.; Valentine, David L.</t>
  </si>
  <si>
    <t>DHA/EPA Chains as Powerful Membrane Antifreeze</t>
  </si>
  <si>
    <t>OMEGA-3 FATTY ACIDS AND THE DHA PRINCIPLE</t>
  </si>
  <si>
    <t>FATTY-ACID-COMPOSITION; ESCHERICHIA-COLI; LIPID RAFTS; MEGANYCTIPHANES-NORVEGICA; CAENORHABDITIS-ELEGANS; EUPHAUSIA-SUPERBA; PHASE-TRANSITIONS; ANTARCTIC KRILL; PHOSPHOLIPIDS; TEMPERATURES</t>
  </si>
  <si>
    <t>[Valentine, Raymond C.] Calgene Inc, Davis, CA USA; [Valentine, David L.] Univ Calif Santa Barbara, Inst Marine Sci, Santa Barbara, CA 93106 USA</t>
  </si>
  <si>
    <t>University of California System; University of California Santa Barbara</t>
  </si>
  <si>
    <t>Valentine, RC (corresponding author), Univ Calif Davis, Davis, CA 95616 USA.</t>
  </si>
  <si>
    <t>Valentine, David L/E-5594-2012</t>
  </si>
  <si>
    <t>978-1-4398-1300-3; 978-1-4398-1299-0</t>
  </si>
  <si>
    <t>BD5YG</t>
  </si>
  <si>
    <t>WOS:000361893800011</t>
  </si>
  <si>
    <t>Pieretti, G; Carillo, S; Nicolaus, B; Poli, A; Lanzetta, R; Parrilli, M; Corsaro, MM</t>
  </si>
  <si>
    <t>Pieretti, Giuseppina; Carillo, Sara; Nicolaus, Barbara; Poli, Annarita; Lanzetta, Rosa; Parrilli, Michelangelo; Corsaro, Maria Michela</t>
  </si>
  <si>
    <t>Structural characterization of the core region from the lipopolysaccharide of the haloalkaliphilic bacterium Halomonas alkaliantarctica strain CRSS</t>
  </si>
  <si>
    <t>ORGANIC &amp; BIOMOLECULAR CHEMISTRY</t>
  </si>
  <si>
    <t>OLIGOSACCHARIDE COMPONENT; SP NOV.; STRESS; INNER; EXTREMOPHILES; CHAIN</t>
  </si>
  <si>
    <t>Halophilic and halotolerant Gram-negative bacteria are microorganisms which thrive in high salt environments. LPS are the major components of their outer leaflet, nevertheless very little is known about the role of this molecules in the adaptation mechanisms of extremophiles. Recently we determined the O-chain repeating unit structure of the LPS from Halomonas alkaliantarctica strain CRSS, an haloalkaliphilic Gram-negative bacterium isolated from salt sediments of a saline lake in Cape Russell in Antarctic continent. The polysaccharide is constituted of the trisaccharidic repeating unit: -&gt; 3)-beta-L-Rhap-(1 -&gt; 4)-alpha-L-Rhap-(1 -&gt; 3)-alpha-L-Rhap-(1 -&gt;. In this paper we report the complete core LPS structure from this bacterium. The LPS was hydrolyzed both under mild acid and strong alkaline conditions. The MALDI spectra showed the presence of two glycoforms. The most abundant was recovered after HPAEC purification of the alkaline hydrolyzed product and was characterized by means of 2D-NMR spectroscopy. A comparison of the MALDI-PSD spectra of the two glycoforms suggested that the branched heptose was not stoichiometrically substituted.</t>
  </si>
  <si>
    <t>[Pieretti, Giuseppina; Carillo, Sara; Lanzetta, Rosa; Parrilli, Michelangelo; Corsaro, Maria Michela] Complesso Univ Monte S Angelo, Univ Napoli Federico II, Dipartimento Chim Organ &amp; Biochim, I-80126 Naples, Italy; [Nicolaus, Barbara; Poli, Annarita] Ist Chim Biomol ICB CNR, I-80078 Pozzuoli, Italy</t>
  </si>
  <si>
    <t>University of Naples Federico II; Consiglio Nazionale delle Ricerche (CNR); Istituto di Chimica Biomolecolare (ICB-CNR)</t>
  </si>
  <si>
    <t>Corsaro, MM (corresponding author), Complesso Univ Monte S Angelo, Univ Napoli Federico II, Dipartimento Chim Organ &amp; Biochim, Via Cinthia 4, I-80126 Naples, Italy.</t>
  </si>
  <si>
    <t>corsaro@unina.it</t>
  </si>
  <si>
    <t>Carillo, Sara/IYS-3306-2023; Corsaro, Maria Michela/T-6190-2019</t>
  </si>
  <si>
    <t>Corsaro, Maria Michela/0000-0002-6834-8682; Carillo, Sara/0000-0002-5943-8993; LANZETTA, Rosa/0000-0002-1472-5825; Parrilli, Michelangelo/0000-0001-8858-3623</t>
  </si>
  <si>
    <t>ROYAL SOC CHEMISTRY</t>
  </si>
  <si>
    <t>THOMAS GRAHAM HOUSE, SCIENCE PARK, MILTON RD, CAMBRIDGE CB4 0WF, CAMBS, ENGLAND</t>
  </si>
  <si>
    <t>1477-0520</t>
  </si>
  <si>
    <t>1477-0539</t>
  </si>
  <si>
    <t>ORG BIOMOL CHEM</t>
  </si>
  <si>
    <t>Org. Biomol. Chem.</t>
  </si>
  <si>
    <t>10.1039/c0ob00516a</t>
  </si>
  <si>
    <t>678HP</t>
  </si>
  <si>
    <t>WOS:000284065000019</t>
  </si>
  <si>
    <t>Ratcliffe, N; Bell, M; Pelembe, T; Boyle, D; Benjamin, R; White, R; Godley, B; Stevenson, J; Sanders, S</t>
  </si>
  <si>
    <t>Ratcliffe, Norman; Bell, Mike; Pelembe, Tara; Boyle, Dave; Benjamin, Raymond; White, Richard; Godley, Brendan; Stevenson, Jim; Sanders, Sarah</t>
  </si>
  <si>
    <t>The eradication of feral cats from Ascension Island and its subsequent recolonization by seabirds</t>
  </si>
  <si>
    <t>ORYX</t>
  </si>
  <si>
    <t>Ascension Island; cat eradication; invasive species; island restoration; recolonization; tropical seabirds</t>
  </si>
  <si>
    <t>NEST-SITE SELECTION; BREEDING BIOLOGY; PHAETHON-LEPTURUS; BROWN NODDIES; ARIDE ISLAND; TROPIC-BIRDS; SOOTY TERNS; SUCCESS; POPULATION; PERFORMANCE</t>
  </si>
  <si>
    <t>The introduction of mammal predators to islands often results in rapid declines in the number and range of seabirds. On Ascension Island the introduction of cats in 1815 resulted in extirpation of large seabird colonies from the main island, with relict populations of most species persisting only in cat-inaccessible locations. We describe the eradication of feral cats from this large and populated island. The campaign had to minimize risk to humans and maintain domestic animals in a state that prevented them reestablishing a feral population. Feral cat numbers declined rapidly in response to the strategic deployment of poisoning and live trapping, and cats were eradicated from the island within 2 years. During the project 38% of domestic cats were killed accidentally, which caused public consternation; we make recommendations for reducing such problems in future eradications. Since the completion of the eradication campaign cat predation of adult seabirds has ceased and five seabird species have recolonized the mainland in small but increasing numbers. Breeding success of seabirds at Ascension was low compared to that of conspecifics elsewhere, and the roles of food availability, inexperience of parent birds and black rat predation in causing this warrant further investigation. It is likely that the low breeding success will result in the rate of increase in seabird populations being slow.</t>
  </si>
  <si>
    <t>[Ratcliffe, Norman; White, Richard; Stevenson, Jim; Sanders, Sarah] RSPB, Sandy, Beds, England; [Bell, Mike; Boyle, Dave] Wildlife Management Int Ltd, Blenheim, New Zealand; [Godley, Brendan] Univ Exeter, Ctr Ecol &amp; Conservat, Penryn, England</t>
  </si>
  <si>
    <t>Royal Society for Protection of Birds; University of Exeter</t>
  </si>
  <si>
    <t>Ratcliffe, N (corresponding author), British Antarctic Survey, Nat Environm Res Council, Madingley Rd, Cambridge CB4 0ET, England.</t>
  </si>
  <si>
    <t>Godley, Brendan J/A-6139-2009</t>
  </si>
  <si>
    <t>Godley, Brendan J/0000-0003-3845-0034</t>
  </si>
  <si>
    <t>RSPB; Ascension Island Government Conservation Department; Foreign and Commonwealth Office (FCO); Natural Environment Research Council [bas0100025] Funding Source: researchfish; NERC [bas0100025] Funding Source: UKRI</t>
  </si>
  <si>
    <t>RSPB; Ascension Island Government Conservation Department; Foreign and Commonwealth Office (FCO); Natural Environment Research Council(UK Research &amp; Innovation (UKRI)Natural Environment Research Council (NERC)); NERC(UK Research &amp; Innovation (UKRI)Natural Environment Research Council (NERC))</t>
  </si>
  <si>
    <t>The Ascension Island Seabird Restoration Project was led by RSPB and the Ascension Island Government Conservation Department and funded by the Foreign and Commonwealth Office (FCO). We thank Stedson Stroud, Darrin Roberts, Kevin Williams, Gregg Lawrence, Natasha Williams, Simon Emson, Ian Close, Nathan Fowler, Anselmo Pelembe and Christopher Yon (Ascension Island Government) and Robin Seymour, Kenny Dix, Quintin Horler, Phil Bell, Richard Bell, Lou Bell and Tony Henry (Wildlife Management International Ltd) for their work on the project. Caroline Yon (AISPCA) neutered and microchipped all the domestic cats. lain Orr of FCO and the Island Administrators, Roger Huxley, Geoffrey Fairhurst, Andrew Kettlewell and Michael Hill, provided political and logistical support for the restoration programme. We thank the Ascension Island Government, the RAF and their contractors, VT Merlin, Combined Signals Organisation, Solomon's Shop, the Ascension Island Police, staff at the Islander Newspaper, the Ascension Island Turtle Group and the Army Ornithological Society for their assistance. Robbie McDonald, Karen Varnham, Kerry Brown and two anonymous referees provided valuable comments on a draft of this article.</t>
  </si>
  <si>
    <t>0030-6053</t>
  </si>
  <si>
    <t>1365-3008</t>
  </si>
  <si>
    <t>Oryx</t>
  </si>
  <si>
    <t>10.1017/S003060530999069X</t>
  </si>
  <si>
    <t>558TO</t>
  </si>
  <si>
    <t>WOS:000274770200007</t>
  </si>
  <si>
    <t>González, C; Dupont, LM</t>
  </si>
  <si>
    <t>Gonzalez, Catalina; Dupont, Lydie M.</t>
  </si>
  <si>
    <t>Tropical vegetation evidence for rapid sea level changes associated with Heinrich Events</t>
  </si>
  <si>
    <t>PAGES 1ST YOUNG SCIENTISTS MEETING (YSM) - RETROSPECTIVE VIEWS ON OUR PLANET'S FUTURE</t>
  </si>
  <si>
    <t>PAGES 1st Young Scientists Meeting (YSM) - Retrospective Views on our Planet's Future</t>
  </si>
  <si>
    <t>JUL 06-07, 2009</t>
  </si>
  <si>
    <t>Corvallis, OR</t>
  </si>
  <si>
    <t>PAST 50,000 YEARS; CARIACO BASIN; CYCLE; VARIABILITY; ATLANTIC</t>
  </si>
  <si>
    <t>A Cariaco Basin pollen record shows the development of tropical salt marshes during marine isotope stage 3. Rapid and abrupt expansions of salt marsh vegetation in tropical South America are associated with north Atlantic Heinrich Events stadials (HE-stadials). Intervals of salt marsh expansion have an internal structure, which consists of a recurrent alternation of species that starts with pollen increments of Chenopodiaceae, that are followed by increments of grasses, and subsequently by increments of Cyperaceae. This pattern suggests a successional process that is determined by the close relationship between sea-level and plant community dynamics. The salt tolerant Chenopodiaceae, indicate hypersaline intertidal environments, which were most likely promoted by extremely dry atmospheric conditions. Rapid sea-level rise characterizes the onset of HE-stadials, causing the continued recruitment of pioneer species, which are the only ones tolerating rapid rates of disturbance. Once sea-level rise decelerates, marsh plants are able to trap and stabilize sediments, favouring the establishment of more competitive species. These results add to the scarce knowledge on the dynamics of tropical salt marsh ecosystems, and provide independent paleoclimatic evidence on sea-level changes following Antarctic climate variability.</t>
  </si>
  <si>
    <t>[Gonzalez, Catalina; Dupont, Lydie M.] Univ Bremen, MARUM Ctr Marine Environm Sci, D-28359 Bremen, Germany</t>
  </si>
  <si>
    <t>González, C (corresponding author), Univ Bremen, MARUM Ctr Marine Environm Sci, Leobener Str, D-28359 Bremen, Germany.</t>
  </si>
  <si>
    <t>catalina@uni-bremen.de; dupont@uni-bremen.de</t>
  </si>
  <si>
    <t>IPO, PAGES/JXY-7546-2024</t>
  </si>
  <si>
    <t>Gonzalez Arango, Catalina/0000-0003-1709-4405; Dupont, Lydie/0000-0001-9531-6793</t>
  </si>
  <si>
    <t>10.1088/1755-1315/9/1/012003</t>
  </si>
  <si>
    <t>BIA23</t>
  </si>
  <si>
    <t>WOS:000327134700003</t>
  </si>
  <si>
    <t>Urrutia, R; Lara, A; Peña, MP; Christie, DA</t>
  </si>
  <si>
    <t>Urrutia, R.; Lara, A.; Pena, M. P.; Christie, D. A.</t>
  </si>
  <si>
    <t>Water availability reconstructions using tree-rings in the Valdivian rainforest ecoregion, Chile</t>
  </si>
  <si>
    <t>STREAMFLOW; PRECIPITATION; VARIABILITY; RECORD</t>
  </si>
  <si>
    <t>Water availability can be considered as one of the main restrictions for future development in South-Central Chile, due to the reported decreasing trends in precipitation in the last decades and the increasing demand for this resource. This issue makes the study of past water availability fundamental for the understanding of present and future variations. This paper presents a comparison of two water availability reconstructions within the Valdivian rainforest ecoregion (35 degrees-48 degrees S), one corresponding to a precipitation (37 degrees-39.5 degrees S) and the other to a streamflow reconstruction (41 degrees S). This study shows that there are fundamental differences between them especially in the long term variability. However, there are also coincidences, mainly at higher frequency variations, such as at a bidecadal, decadal and annual scale. Another important finding is that these reconstructions show significant correlations with different climatic forcings in this area. The northern reconstruction presents a significant relationship with ENSO (El Nino Southern Oscillation), while the southern does the same with the AAO (Antarctic Oscillation Index).</t>
  </si>
  <si>
    <t>[Urrutia, R.; Lara, A.; Pena, M. P.; Christie, D. A.] Univ Austral Chile, Fac Ciencias Forestales, Inst Silvicultura, Lab Dendrocronol, Valdivia, Chile</t>
  </si>
  <si>
    <t>Urrutia, R (corresponding author), Univ Austral Chile, Fac Ciencias Forestales, Inst Silvicultura, Lab Dendrocronol, Casilla 567, Valdivia, Chile.</t>
  </si>
  <si>
    <t>rociourrutia@uach.cl</t>
  </si>
  <si>
    <t>Christie, Duncan A./Q-7114-2016; IPO, PAGES/JXY-7546-2024</t>
  </si>
  <si>
    <t>Christie, Duncan A./0000-0003-2540-0986;</t>
  </si>
  <si>
    <t>10.1088/1755-1315/9/1/012006</t>
  </si>
  <si>
    <t>WOS:000327134700006</t>
  </si>
  <si>
    <t>du Foresto, VC</t>
  </si>
  <si>
    <t>DuForesto, VC; Gelino, DM; Ribas, I</t>
  </si>
  <si>
    <t>du Foresto, V. Coude</t>
  </si>
  <si>
    <t>ALADDIN: An Antarctic-based Nulling Interferometer for Exozodi Characterization</t>
  </si>
  <si>
    <t>PATHWAYS TOWARDS HABITABLE PLANETS</t>
  </si>
  <si>
    <t>Barcelona Conference on Pathways Towards Habitable Planets</t>
  </si>
  <si>
    <t>SEP 14-18, 2009</t>
  </si>
  <si>
    <t>Barcelona, SPAIN</t>
  </si>
  <si>
    <t>ALADDIN is an infrared (L-band) nulling interferometer optimized for the study of exozodiacal dust. Although relatively modest in size (two 1-meter class telescopes on a maximum baseline of 32 m), it takes advantage of the privileged atmospheric conditions on the Antarctic plateau to achieve a sensitivity better than what can be obtained with a pair of 8m class telescopes on a temperate site. Beyond its main mission, the science potential of ALADDIN extends to the study of all kinds of faint circumstellar material (dust and/or molecules) around young, old, or main sequence stars.</t>
  </si>
  <si>
    <t>Observ Paris LESIA, Paris, France</t>
  </si>
  <si>
    <t>Sorbonne Universite; Universite Paris Cite; Universite PSL; Observatoire de Paris</t>
  </si>
  <si>
    <t>du Foresto, VC (corresponding author), Observ Paris LESIA, 5 Pl Jules Janssen, Paris, France.</t>
  </si>
  <si>
    <t>978-1-58381-740-7</t>
  </si>
  <si>
    <t>BTR16</t>
  </si>
  <si>
    <t>WOS:000287836800064</t>
  </si>
  <si>
    <t>Van de Vijver, B; Mataloni, G; Stanish, L; Spaulding, SA</t>
  </si>
  <si>
    <t>Van de Vijver, Bart; Mataloni, Gabriela; Stanish, Lee; Spaulding, Sarah A.</t>
  </si>
  <si>
    <t>New and interesting species of the genus Muelleria (Bacillariophyta) from the Antarctic region and South Africa</t>
  </si>
  <si>
    <t>PHYCOLOGIA</t>
  </si>
  <si>
    <t>SHETLAND ISLANDS; FRESH-WATER; COMPLEX BACILLARIOPHYCEAE; DECEPTION ISLAND; SP NOV.; DIATOM; BIOGEOGRAPHY; ULTRASTRUCTURE; COMMUNITIES; SELLAPHORA</t>
  </si>
  <si>
    <t>During a survey of the terrestrial diatom flora of some sub-Antarctic islands in the southern Indian and Atlantic Oceans and of the Antarctic continent, more than 15 taxa belonging to the genus Muelleria were observed. Nine of these taxa are described as new species using light and scanning electron microscopy. Comments are made on their systematic position and how they are distinguished from other species in the genus. Additionally, two previously unrecognized taxa within the genus were discovered in samples from South Africa. One of these, Muellcria taylorii Van de Vijver &amp; Cocquyt sp. nov., is new to science; the other, Muelleria vandermerwei (Cholnoky) Van de Vijver &amp; Cocquyt nov. comb., had been included in the genus Diploneis. The large number of new Muelleria taxa on the (sub)-Antarctic locations is not surprising. Species in Muelleria occur rarely in collections; in many habitats, it is unusual to Find more than 1-2 valves in any slide preparation. As a result, records are scarce. The practice of force-fitting (shochorning) specimens into descriptions from common taxonomic keys (and species drift) results in European species, such as M. gibbula and M. linearis, being applied to Antarctic forms in ecological studies. Finally, the typical terrestrial habitats of soils, mosses and ephemeral water bodies of most of these taxa have been poorly studied in the past.</t>
  </si>
  <si>
    <t>[Van de Vijver, Bart] Natl Bot Garden, Dept Bryophytes &amp; Thallophytes, B-1860 Domein Van Bouchout, Meise, Belgium; [Mataloni, Gabriela] Univ Buenos Aires, Fac Cs Exactas &amp; Nat, Dept Ecol Genet &amp; Evoluc, Lab Limnol, RA-1428 Buenos Aires, DF, Argentina; [Stanish, Lee] Univ Colorado, INSTAAR, Boulder, CO 80303 USA; [Spaulding, Sarah A.] Univ Colorado, US Geol Survey, Inst Arctic &amp; Alpine Res, Boulder, CO 80309 USA</t>
  </si>
  <si>
    <t>University of Buenos Aires; University of Colorado System; University of Colorado Boulder; University of Colorado System; University of Colorado Boulder; United States Department of the Interior; United States Geological Survey</t>
  </si>
  <si>
    <t>Van de Vijver, B (corresponding author), Natl Bot Garden, Dept Bryophytes &amp; Thallophytes, B-1860 Domein Van Bouchout, Meise, Belgium.</t>
  </si>
  <si>
    <t>Spaulding, Sarah Ann/AEZ-7757-2022</t>
  </si>
  <si>
    <t>Spaulding, Sarah Ann/0000-0002-9787-7743; Mataloni, Gabriela/0000-0002-6852-6143</t>
  </si>
  <si>
    <t>FWO [G.0533.07]; USGS Fort Collins Science Center</t>
  </si>
  <si>
    <t>FWO(FWO); USGS Fort Collins Science Center</t>
  </si>
  <si>
    <t>The authors wish to thank Prof. Dr Louis Beyens and Dr Niek Gremmen for the collection of samples on King George Island, Heard Island and the Prince Edward Islands. Sampling on Crozet and Kerguelen has been made possible thanks to the logistic and Financial support of the French Polar Institute-Paul-Emile Victor in the Framework of the terrestrial program 136 (Ir. Marc Lebouvier &amp; Dr. Yves Frenot). Part of the Study was financed by the FWO project G.0533.07. Mrs Myriam de Haan and Mr Marcel Verhaegen are thanked for their technical assistance with the SEM. Thank YOU to the USGS Fort Collins Science Center for support for S.A. Spaulding for this project. Any use of trade, product, or firm names is for descriptive purposes only and does not imply endorsement by the US government. Dr David M. Williams and two anonymous referees are thanked for their comments that greatly improved the manuscript.</t>
  </si>
  <si>
    <t>INT PHYCOLOGICAL SOC</t>
  </si>
  <si>
    <t>NEW BUSINESS OFFICE, PO BOX 1897, LAWRENCE, KS 66044-8897 USA</t>
  </si>
  <si>
    <t>0031-8884</t>
  </si>
  <si>
    <t>Phycologia</t>
  </si>
  <si>
    <t>10.2216/09-27.1</t>
  </si>
  <si>
    <t>542SU</t>
  </si>
  <si>
    <t>WOS:000273516300002</t>
  </si>
  <si>
    <t>Davidsen, J</t>
  </si>
  <si>
    <t>Davidsen, Joern</t>
  </si>
  <si>
    <t>Volatility of unevenly sampled fractional Brownian motion: An application to ice core records</t>
  </si>
  <si>
    <t>PHYSICAL REVIEW E</t>
  </si>
  <si>
    <t>LONG-RANGE CORRELATIONS; PAST 420,000 YEARS; SPECTRAL-ANALYSIS; TIME-SERIES; ATMOSPHERIC-TEMPERATURE; CLIMATE; MEMORY; MILANKOVITCH; PERSISTENCE; CYCLES</t>
  </si>
  <si>
    <t>The analysis of many natural time series and especially those related to ice core records often suffers from uneven sampling intervals. For fractional Brownian motion, we show that standard estimates of the volatility can be strongly biased due to uneven sampling. Taking these limitations into account, we study high-resolution records of temperature proxies obtained from Antarctic ice cores. We find that the volatility properties reveal a strong nonlinear component in the temperature time series for time scales of 5-200 kyr extending earlier results. These findings suggest in particular that temperature increments over these time scales appear in clusters of big and small increments-a big (positive or negative) change is most likely followed by a big (positive or negative) change and a small change is most likely followed by a small change.</t>
  </si>
  <si>
    <t>[Davidsen, Joern] Univ Calgary, Dept Phys &amp; Astron, Complex Sci Grp, Calgary, AB T2N 1N4, Canada; [Davidsen, Joern] British Antarctic Survey, Cambridge CB3 0ET, England</t>
  </si>
  <si>
    <t>University of Calgary; UK Research &amp; Innovation (UKRI); Natural Environment Research Council (NERC); NERC British Antarctic Survey</t>
  </si>
  <si>
    <t>Davidsen, J (corresponding author), Univ Calgary, Dept Phys &amp; Astron, Complex Sci Grp, Calgary, AB T2N 1N4, Canada.</t>
  </si>
  <si>
    <t>davidsen@phas.ucalgary.ca</t>
  </si>
  <si>
    <t>Griffin, James/0000-0002-9114-2455</t>
  </si>
  <si>
    <t>Natural Environment Research Council [bas0100026] Funding Source: researchfish; NERC [bas0100026] Funding Source: UKRI</t>
  </si>
  <si>
    <t>AMER PHYSICAL SOC</t>
  </si>
  <si>
    <t>COLLEGE PK</t>
  </si>
  <si>
    <t>ONE PHYSICS ELLIPSE, COLLEGE PK, MD 20740-3844 USA</t>
  </si>
  <si>
    <t>1539-3755</t>
  </si>
  <si>
    <t>1550-2376</t>
  </si>
  <si>
    <t>PHYS REV E</t>
  </si>
  <si>
    <t>Phys. Rev. E</t>
  </si>
  <si>
    <t>10.1103/PhysRevE.81.016107</t>
  </si>
  <si>
    <t>Physics, Fluids &amp; Plasmas; Physics, Mathematical</t>
  </si>
  <si>
    <t>548XP</t>
  </si>
  <si>
    <t>WOS:000274003500012</t>
  </si>
  <si>
    <t>Reusch, DB</t>
  </si>
  <si>
    <t>Reusch, David B.</t>
  </si>
  <si>
    <t>Nonlinear climatology and paleoclimatology: Capturing patterns of variability and change with Self-Organizing Maps</t>
  </si>
  <si>
    <t>PHYSICS AND CHEMISTRY OF THE EARTH</t>
  </si>
  <si>
    <t>Antarctica; Atmospheric circulation; Self-Organizing Maps; Nonlinear; Polar climate; Meteorology</t>
  </si>
  <si>
    <t>SYNOPTIC WEATHER PATTERNS; ANTARCTIC CLIMATE; POLAR-REGIONS; PRECIPITATION; 20TH-CENTURY; 21ST-CENTURY</t>
  </si>
  <si>
    <t>Self-Organizing Maps (SUMS) provide a powerful, nonlinear technique to optimally summarize complex geophysical datasets using a user-selected number of icons or SUM states, allowing rapid identification of preferred patterns, predictability of transitions, rates of transitions, and hysteresis/asymmetry in cycles. For example, SUM-based patterns concisely capture the spatial and temporal variability in atmospheric circulation datasets. SOMs and the SUM-based methodology are reviewed here at a practical level so as to encourage more-widespread usage of this powerful technique in the atmospheric sciences. Usage is introduced with a simple Antarctic ice core-based dataset to show analysis of multiple variables at a single point in space. Subsequent examples utilize a 24-year dataset (1979-2002) of daily Antarctic meteorological variables and demonstrate usage with 2-D, gridded data, for single and multiple variable scenarios. These examples readily show how SOMs capture nonlinearity in time series data, concisely summarize voluminous spatial data, and help us understand spatial and temporal change through, for example, pattern frequency analysis and identification of preferred pattern transitions. (C) 2009 Elsevier Ltd. All rights reserved.</t>
  </si>
  <si>
    <t>Penn State Univ, EMS Earth &amp; Environm Syst Inst, University Pk, PA 16802 USA</t>
  </si>
  <si>
    <t>Reusch, DB (corresponding author), Penn State Univ, EMS Earth &amp; Environm Syst Inst, University Pk, PA 16802 USA.</t>
  </si>
  <si>
    <t>dbr120@psu.edu</t>
  </si>
  <si>
    <t>Reusch, David/0000-0002-7582-363X</t>
  </si>
  <si>
    <t>National Science Foundation (NSF) [ANT 06-36618, ANT 05-38064, ARC 05-31211]; G. Comer Foundation; Center for Remote Sensing of Ice Sheets (NSF) [NSF 04-24589]; Directorate For Geosciences; Office of Polar Programs (OPP) [1066348] Funding Source: National Science Foundation</t>
  </si>
  <si>
    <t>National Science Foundation (NSF)(National Science Foundation (NSF)); G. Comer Foundation; Center for Remote Sensing of Ice Sheets (NSF); Directorate For Geosciences; Office of Polar Programs (OPP)(National Science Foundation (NSF)NSF - Directorate for Geosciences (GEO))</t>
  </si>
  <si>
    <t>This work supported by National Science Foundation (NSF) grants to the author including ANT 06-36618, ANT 05-38064 and ARC 05-31211. We also acknowledge partial support from the G. Comer Foundation and the Center for Remote Sensing of Ice Sheets (NSF 04-24589).</t>
  </si>
  <si>
    <t>1474-7065</t>
  </si>
  <si>
    <t>1873-5193</t>
  </si>
  <si>
    <t>PHYS CHEM EARTH</t>
  </si>
  <si>
    <t>Phys. Chem. Earth</t>
  </si>
  <si>
    <t>9-12</t>
  </si>
  <si>
    <t>10.1016/j.pce.2009.09.001</t>
  </si>
  <si>
    <t>Geosciences, Multidisciplinary; Meteorology &amp; Atmospheric Sciences; Water Resources</t>
  </si>
  <si>
    <t>Geology; Meteorology &amp; Atmospheric Sciences; Water Resources</t>
  </si>
  <si>
    <t>637LM</t>
  </si>
  <si>
    <t>WOS:000280819200004</t>
  </si>
  <si>
    <t>Hill, JV; Egginton, S</t>
  </si>
  <si>
    <t>Hill, Jonathan V.; Egginton, Stuart</t>
  </si>
  <si>
    <t>Control of Branchial Artery Tone in Fish: Effects of Environmental Temperature and Phylogeny</t>
  </si>
  <si>
    <t>TROUT ONCORHYNCHUS-MYKISS; RAINBOW-TROUT; ANTARCTIC FISHES; BLOOD-FLOW; GADUS-MORHUA; ATLANTIC COD; PAGOTHENIA-BORCHGREVINKI; ADRENERGIC-INNERVATION; NERVOUS CONTROL; SEROTONIN</t>
  </si>
  <si>
    <t>Branchial artery vasoreactivity and nerve density were measured in teleosts of different phylogenetic relatedness from cold (-1.86 degrees to -1 degrees C) and temperate (similar to 13 degrees C) environments. Polar Notothenia coriiceps and temperate Paranotothenia angustata are closely related Southern Hemisphere nototheniids, and polar Boreogadus saida and temperate Myoxocephalus scorpius are Northern Hemisphere species that are phylogenetically distant from each other and the nototheniids. Rainbow trout Oncorhynchus mykiss was used as a temperate comparison of different activity patterns. Cumulative dose-response curves for efferent branchial arteries (EBAs) revealed a lack of alpha-adrenergic (noradrenaline [NOR]) vasoactivity in M. scorpius and a lack of cholinergic (carbachol [CARB]) vasoactivity in B. saida, while responses in N. coriiceps and P. angustata were irregular. Oncorhynchus mykiss vessels were responsive to both constrictors, suggesting either receptor absence or spatial heterogeneity among species. The sensitivity (pEC(50)) of NOR or 5-hydroxytryptamine (5-HT) vasoconstriction showed little interspecific variation, while maximal tension varied among species for NOR but not 5-HT. Acute cooling did not affect agonist-independent vascular contraction induced by KCl or in response to NOR or 5-HT. The CARB sensitivity of EBAs increased with cooling in P. angustata alone. Each species possessed a unique pattern of innervation on both branchial arteries, distal and proximal to their respective aortas, that partially differentiated between nototheniids and nonnototheniids. We conclude there is little evidence for cold adaptation of branchial artery contractility, and mechanisms of vascular control likely reflect phylogeny rather than thermal history.</t>
  </si>
  <si>
    <t>[Hill, Jonathan V.; Egginton, Stuart] Univ Birmingham, Dept Physiol, Birmingham B15 2TT, W Midlands, England</t>
  </si>
  <si>
    <t>University of Birmingham</t>
  </si>
  <si>
    <t>Egginton, S (corresponding author), Univ Birmingham, Dept Physiol, Birmingham B15 2TT, W Midlands, England.</t>
  </si>
  <si>
    <t>s.egginton@bham.ac.uk</t>
  </si>
  <si>
    <t>Hill, Jonathan V/B-6261-2009</t>
  </si>
  <si>
    <t>Egginton, Stuart/0000-0002-3084-9692; , Jonathan V. Hill/0009-0009-0270-6270</t>
  </si>
  <si>
    <t>Natural Environment Research Council UK [GR3/11773, NER/S/A/2006/14055]; Leverhulme Trust</t>
  </si>
  <si>
    <t>Natural Environment Research Council UK(UK Research &amp; Innovation (UKRI)Natural Environment Research Council (NERC)); Leverhulme Trust(Leverhulme Trust)</t>
  </si>
  <si>
    <t>This project was both geographically and logistically challenging. We gratefully acknowledge the help and support of the following groups and individuals (in chronological order): Lloyd Peck and personnel at the British Antarctic Survey (BAS) Rothera Station; Suzanne Holmgren, Michael Axelsson, and Anna Holmberg of the Department of Zoophysiology, Goteborg, Sweden; Ian Johnston and Iain Johnston of the University of St. Andrews, Scotland; Bill Davison and the staff of the Zoology Department, University of Canterbury, New Zealand; Antarctica New Zealand and the summer staff of Scott Base; Julian Metcalfe of the Centre for Environment, Fisheries and Aquaculture Science, Lowestoft, United Kingdom; and Jorgen Schou Christiansen of the Norwegian Fisheries Research Institute, Tromso, Norway. This project was funded by the Natural Environment Research Council UK (GR3/11773 and NER/S/A/2006/14055), with additional support from the Leverhulme Trust.</t>
  </si>
  <si>
    <t>1537-5293</t>
  </si>
  <si>
    <t>JAN-FEB</t>
  </si>
  <si>
    <t>10.1086/648469</t>
  </si>
  <si>
    <t>533SR</t>
  </si>
  <si>
    <t>WOS:000272845800003</t>
  </si>
  <si>
    <t>Zidarova, R; Van de Vijver, B; Quesada, A; de Haan, M</t>
  </si>
  <si>
    <t>Zidarova, Ralitsa; Van de Vijver, Bart; Quesada, Antonio; de Haan, Myriam</t>
  </si>
  <si>
    <t>Revision of the genus Hantzschia (Bacillariophyceae) on Livingston Island (South Shetland Islands, Southern Atlantic Ocean)</t>
  </si>
  <si>
    <t>PLANT ECOLOGY AND EVOLUTION</t>
  </si>
  <si>
    <t>Antarctica; diatoms; Hantzschia; morphology; new species</t>
  </si>
  <si>
    <t>FRESH-WATER; DIATOMS; ECOLOGY</t>
  </si>
  <si>
    <t>Background and aims - The non-marine diatom flora of Livingston Island (South Shetland Islands, Maritime Antarctic Region) is currently under revision. One of the genera that still needed a revision is the genus Hantzschia, quite common in terrestrial habitats of the Antarctic Region. Methods - Using both Light Microscopical and Scanning Electron Microscopical techniques, the morphology of all Hantzschia taxa, present in the samples from Livingston Island, has been analysed. Each taxon is compared with all other possible similar Hantzschia taxa, known worldwide. Key results - Apart from the already known Hantzschia abundans and H. amphioxys f. muelleri, five new Hantzschia species are described: Hantzschia acuticapitata Zidarova &amp; Van de Vijver sp. nov., H. confusa Van de Vijver &amp; Zidarova sp. nov., H. hyperaustralis Van de Vijver &amp; Zidarova sp. nov., H. constricta Van de Vijver &amp; Zidarova sp. nov. and H. incognita Zidarova &amp; Van de Vijver sp. nov. Conclusions - The obtained results confirm the presence of a typical and highly specific non-marine diatom flora in the Antarctic Region and contradict the generally accepted idea about the cosmopolitanism of diatoms.</t>
  </si>
  <si>
    <t>[Van de Vijver, Bart; de Haan, Myriam] Natl Bot Garden Belgium, Dept Bryophyta &amp; Thallophyta, BE-1860 Meise, Belgium; [Zidarova, Ralitsa] BASc, Cent Lab Gen Ecol, BG-1113 Sofia, Bulgaria; [Quesada, Antonio] Univ Autonoma Madrid, Dept Biol, ES-28049 Madrid, Spain</t>
  </si>
  <si>
    <t>Bulgarian Academy of Sciences; Autonomous University of Madrid</t>
  </si>
  <si>
    <t>Van de Vijver, B (corresponding author), Natl Bot Garden Belgium, Dept Bryophyta &amp; Thallophyta, BE-1860 Meise, Belgium.</t>
  </si>
  <si>
    <t>Zidarova, Ralitsa/I-3793-2017; Quesada, Antonio/L-2430-2013</t>
  </si>
  <si>
    <t>Zidarova, Ralitsa/0000-0002-6451-0099; Quesada, Antonio/0000-0002-8913-5993</t>
  </si>
  <si>
    <t>FWO [G.0533.07]; EU; Ministerio de Ciencia y Tecnologia, Spain [POL2006-06635]</t>
  </si>
  <si>
    <t>FWO(FWO); EU(European Union (EU)); Ministerio de Ciencia y Tecnologia, Spain(Spanish Government)</t>
  </si>
  <si>
    <t>The authors would like to thank Mr. Pierre Compere for stimulating discussions and corrections of the Latin diagnoses. The sampling campaigns on Hurd Peninsula were made possible thanks to the support of the Bulgarian Antarctic Institute. Part of this research was funded within the FWO project G.0533.07 and by the EU-funded project SYN-THESYS. Samples were taken in the framework of the IPY-Limnopolar Project POL2006-06635 (Ministerio de Ciencia y Tecnologia, Spain). The comments of two referees greatly improved the paper.</t>
  </si>
  <si>
    <t>SOC ROYAL BOTAN BELGIQUE</t>
  </si>
  <si>
    <t>MEISE</t>
  </si>
  <si>
    <t>NIEUWELAAN 38, B-1860 MEISE, BELGIUM</t>
  </si>
  <si>
    <t>2032-3913</t>
  </si>
  <si>
    <t>2032-3921</t>
  </si>
  <si>
    <t>PLANT ECOL EVOL</t>
  </si>
  <si>
    <t>Plant Ecol. Evol.</t>
  </si>
  <si>
    <t>10.5091/plecevo.2010.402</t>
  </si>
  <si>
    <t>712FF</t>
  </si>
  <si>
    <t>WOS:000286649400008</t>
  </si>
  <si>
    <t>Bomfleur, B; Krings, M; Kerp, H</t>
  </si>
  <si>
    <t>Bomfleur, Benjamin; Krings, Michael; Kerp, Hans</t>
  </si>
  <si>
    <t>Thalloid organisms and the fossil record New perspectives from the Transantarctic Mountains</t>
  </si>
  <si>
    <t>PLANT SIGNALING &amp; BEHAVIOR</t>
  </si>
  <si>
    <t>Litothallus; Hildenbrandia; cuticles; thallus; Triassic; preservation; liverworts</t>
  </si>
  <si>
    <t>Thalloid body plans occur in several groups of organisms, including bryophytes, lichens and algae. While many aspects of the biology and ecology of extant thalloid organisms are well understood today, knowledge about the evolutionary history, palaeobiology and palaeoecology of these life forms remains limited. The recently discovered thalloid fossil Litothallus ganovex from the Triassic of Antarctica consists of fused vertical cell filaments forming a pseudoparenchymatous crust-like body, and most likely represents a freshwater macroalga. Other cuticle fragments from Antarctica are tentatively interpreted as remains of thallose liverworts. These unexpected new finds indicate that thalloid organisms are more frequent in the fossil record than previously assumed, and contribute to a better understanding of the palaeobiodiversity of ancient non-marine ecosystems.</t>
  </si>
  <si>
    <t>[Bomfleur, Benjamin; Kerp, Hans] Westfal Wilhelms Univ Munster, Forsch Stelle Palaobot, Inst Geol &amp; Palaontol, Munster, Germany; [Krings, Michael] Ludwig Maximilians Univ Munchen, Dept Geo &amp; Umweltwissensch Palaontol &amp; Geobiol, Munich, Germany; [Krings, Michael] Bayer Staatssammlung Palaontol &amp; Geol, Munich, Germany</t>
  </si>
  <si>
    <t>University of Munster; University of Munich</t>
  </si>
  <si>
    <t>Bomfleur, B (corresponding author), Westfal Wilhelms Univ Munster, Forsch Stelle Palaobot, Inst Geol &amp; Palaontol, Munster, Germany.</t>
  </si>
  <si>
    <t>bennibomfleur@gmx.de</t>
  </si>
  <si>
    <t>Kerp, Hans/AAJ-1102-2020; Krings, Michael/AAM-6436-2020</t>
  </si>
  <si>
    <t>Bomfleur, Benjamin/0000-0002-2186-4970</t>
  </si>
  <si>
    <t>Deutsche Forschungsgemeinschaft [KE584/12-1 + 2, KE584/16-1]</t>
  </si>
  <si>
    <t>B.B. thanks the Bundesanstalt fur Geowissenschaften und Rohstoffe (BGR), Hannover, for the invitation to join the 9th German Antarctic North Victorialand Expedition (GANOVEX IX 2005/2006). Technical support by the Alfred-Wegener-Institut fur Meeres-und Polarforschung (AWI), Bremerhaven, is gratefully acknowledged. B.B. would also like to thank J. W. Schneider (Freiberg), R. Schner (Jena) and L. Viereck- Goette (Jena) for a fruitful and enjoyable collaboration in the field, and T. N. Taylor, E.L. Taylor and R. Serbet (Lawrence, KS, USA) for generously making the material from the Paleobotanical Collection of the University of Kansas available for study. This study was supported by the Deutsche Forschungsgemeinschaft (KE584/12-1 + 2 and KE584/16- 1).</t>
  </si>
  <si>
    <t>1559-2316</t>
  </si>
  <si>
    <t>1559-2324</t>
  </si>
  <si>
    <t>PLANT SIGNAL BEHAV</t>
  </si>
  <si>
    <t>Plant Signal. Behav.</t>
  </si>
  <si>
    <t>10.4161/psb.5.3.10736</t>
  </si>
  <si>
    <t>Biochemistry &amp; Molecular Biology; Plant Sciences</t>
  </si>
  <si>
    <t>V06NK</t>
  </si>
  <si>
    <t>WOS:000213946700021</t>
  </si>
  <si>
    <t>Park, S; Jung, G; Hwang, YS; Jin, E</t>
  </si>
  <si>
    <t>Park, Seunghye; Jung, Gyeongseo; Hwang, Yong-sic; Jin, EonSeon</t>
  </si>
  <si>
    <t>Dynamic response of the transcriptome of a psychrophilic diatom, Chaetoceros neogracile, to high irradiance</t>
  </si>
  <si>
    <t>PLANTA</t>
  </si>
  <si>
    <t>Transcriptome; Antarctic diatom; High irradiance; Xanthophyll cycle; Fucoxanthin chlorophyll a/c binding protein; NPQ (non-photochemical quenching)</t>
  </si>
  <si>
    <t>CYCLOTELLA-CRYPTICA BACILLARIOPHYCEAE; FUCOXANTHIN-CHLOROPHYLL PROTEINS; LIGHT-HARVESTING COMPLEX; PHOTOSYSTEM-II; DIADINOXANTHIN CYCLE; GENE-EXPRESSION; ENERGY-DISSIPATION; PROTON GRADIENT; ACCLIMATION; PHOTOPROTECTION</t>
  </si>
  <si>
    <t>Large-scale RNA profiling revealed that high irradiance differentially regulated 577 out of 1,439 non-redundant genes of the Antarctic marine diatom Chaetoceros neogracile, represented on a custom cDNA chip, during 6 h of treatment. Among genes that were up- or down-regulated more than twofold within 30 min of treatment (310/1,439), about half displayed an acclimatory response during 6 h under high light. Expression of the remaining non-acclimatory genes also rapidly returned to initial levels within 30 min following a shift to low irradiance. High light altered expression of most of the photosynthesis genes (48/70), in contrast to genes in other functional categories. In addition, opposite response patterns were provoked in genes encoding fucoxanthin chlorophyll a/c binding protein (FCP), the main component of the diatom light-harvesting complex; high irradiance caused a decrease in expression of most FCP genes, but drove the rapid and specific up-regulation of ten others. C. neogracile responded very promptly to a change in light intensity by rapidly adjusting the transcript levels of FCP genes up-regulated by high light, and these dynamic adjustments coincided well with diatoxanthin (Dtx) levels formed by the xanthophyll cycle under the same conditions. The observation that the non-photochemical quenching (NPQ) capacity of this polar diatom was highly dependent on Dtx, which could bind to FCP and trigger NPQ, suggests that the up-regulated FCP gene products may participate in a photoprotective process as Dtx-binding proteins.</t>
  </si>
  <si>
    <t>[Park, Seunghye; Jung, Gyeongseo; Jin, EonSeon] Hanyang Univ, Coll Nat Sci, Dept Life Sci, Seoul 133791, South Korea; [Hwang, Yong-sic] Konkuk Univ, Dept Biosci &amp; Biotechnol, Seoul 143701, South Korea</t>
  </si>
  <si>
    <t>Hanyang University; Konkuk University</t>
  </si>
  <si>
    <t>Jin, E (corresponding author), Hanyang Univ, Coll Nat Sci, Dept Life Sci, Seoul 133791, South Korea.</t>
  </si>
  <si>
    <t>yshwang@konkuk.ac.kr; esjin@hanyang.ac.kr</t>
  </si>
  <si>
    <t>Park, Seunghye/C-8147-2011; Jin, EonSeon/AAW-6839-2020</t>
  </si>
  <si>
    <t>Jin, EonSeon/0000-0001-5691-0124; Park, Seunghye/0000-0002-3276-6110; Hwang, Yong-sic/0000-0002-9064-8681</t>
  </si>
  <si>
    <t>Hanyang University [HY/2006/S]</t>
  </si>
  <si>
    <t>Hanyang University</t>
  </si>
  <si>
    <t>This work was supported by the Research Fund of Hanyang University (HY/2006/S).</t>
  </si>
  <si>
    <t>0032-0935</t>
  </si>
  <si>
    <t>1432-2048</t>
  </si>
  <si>
    <t>Planta</t>
  </si>
  <si>
    <t>10.1007/s00425-009-1044-x</t>
  </si>
  <si>
    <t>538HT</t>
  </si>
  <si>
    <t>WOS:000273175900012</t>
  </si>
  <si>
    <t>Annett, AL; Carson, DS; Crosta, X; Clarke, A; Ganeshram, RS</t>
  </si>
  <si>
    <t>Annett, Amber L.; Carson, Damien S.; Crosta, Xavier; Clarke, Andrew; Ganeshram, Raja S.</t>
  </si>
  <si>
    <t>Seasonal progression of diatom assemblages in surface waters of Ryder Bay, Antarctica</t>
  </si>
  <si>
    <t>Diatoms; Phytoplankton; Seasonality; Sea-ice; Coastal Antarctic; Proboscia inermis</t>
  </si>
  <si>
    <t>FRACTIONATED PHYTOPLANKTON BIOMASS; PENINSULA SOUTHERN-OCEAN; NORTHWESTERN WEDDELL SEA; BRANSFIELD STRAIT REGION; NORTHERN MARGUERITE BAY; INTERANNUAL VARIABILITY; EAST ANTARCTICA; ROSS SEA; SOUTHWESTERN ATLANTIC; ENVIRONMENTAL-FACTORS</t>
  </si>
  <si>
    <t>Phytoplankton assemblages from seasonally sea-ice covered Ryder Bay (Adelaide Island, Antarctica) were studied over three austral summers (2004-2007), to link sea-ice variability and environmental conditions with algal speciation. Typical of near-shore Antarctic waters, biomass was dominated by large diatoms, although the prymnesiophyte Phaeocystis antarctica was numerically dominant. Although there was considerable interannual variability between main diatom species, high biomass of certain species or species groups corresponded consistently to certain phases of seasonal progression. We present the first documentation of an extensive bloom of the late-season diatom Proboscia inermis in February 2006, accounting for over 90% of diatom biomass. At this time, water column stratification and nutrient drawdown were high relative to other periods of the study, although carbon export was relatively low. Melt water flux in this region promotes well-stratified surface waters and high chlorophyll levels, but not necessarily concurrent increases in export production relative to seasons with lower freshwater inputs.</t>
  </si>
  <si>
    <t>[Annett, Amber L.; Carson, Damien S.; Ganeshram, Raja S.] Univ Edinburgh, Grant Inst, Sch Geosci, Edinburgh EH9 3JW, Midlothian, Scotland; [Crosta, Xavier] Univ Bordeaux 1, CNRS, UMR 5805, EPOC, F-33405 Talence, France; [Clarke, Andrew] British Antarctic Survey, Cambridge CB3 0ET, England</t>
  </si>
  <si>
    <t>University of Edinburgh; Universite de Bordeaux; Centre National de la Recherche Scientifique (CNRS); CNRS - National Institute for Earth Sciences &amp; Astronomy (INSU); UK Research &amp; Innovation (UKRI); Natural Environment Research Council (NERC); NERC British Antarctic Survey</t>
  </si>
  <si>
    <t>Annett, AL (corresponding author), Univ Edinburgh, Grant Inst, Sch Geosci, Kings Bldg,W Mains Rd, Edinburgh EH9 3JW, Midlothian, Scotland.</t>
  </si>
  <si>
    <t>amber.annett@ed.ac.uk</t>
  </si>
  <si>
    <t>Ganeshram, Raja S/JPX-5314-2023</t>
  </si>
  <si>
    <t>Annett, Amber/0000-0002-3730-2438</t>
  </si>
  <si>
    <t>Natural Environment Research Council [bas010011] Funding Source: researchfish; NERC [bas010011] Funding Source: UKRI</t>
  </si>
  <si>
    <t>10.1007/s00300-009-0681-7</t>
  </si>
  <si>
    <t>522HK</t>
  </si>
  <si>
    <t>WOS:000271988300002</t>
  </si>
  <si>
    <t>Cantero, ALP; Sentandreu, V; Latorre, A</t>
  </si>
  <si>
    <t>Pena Cantero, Alvaro L.; Sentandreu, Vicente; Latorre, Amparo</t>
  </si>
  <si>
    <t>Phylogenetic relationships of the endemic Antarctic benthic hydroids (Cnidaria, Hydrozoa): what does the mitochondrial 16S rRNA tell us about it?</t>
  </si>
  <si>
    <t>Southern Ocean; Benthos; New family; Phylogeny; Monophyly</t>
  </si>
  <si>
    <t>MAXIMUM-LIKELIHOOD; OSWALDELLA STECHOW; MOLECULAR PHYLOGENETICS; STAUROTHECA ALLMAN; RV POLARSTERN; SEQUENCE DATA; RDNA DATA; N. SP; EVOLUTION; EXPEDITIONS</t>
  </si>
  <si>
    <t>Hydroidolinan hydrozoans are widely represented in the benthic Antarctic ecosystem, mainly by some endemic and putative monophyletic groups, never included in molecular phylogenetic analyses. 38 partial sequences of the mitochondrial 16S rRNA gene were obtained for 38 species belonging to 14 families (six anthoathecates and eight leptothecates) and 20 genera (7 anthoathecates and 13 leptothecates). These sequences were combined with 108 additional sequences retrieved from the GenBank to investigate both the hypothetical monophyletism and the phylogenetic relationships of those endemic Antarctic groups; the potential use of the marker for barcoding was also investigated. Our results uphold the monophyly of some important hydroidolinan groups, such as the superfamily Plumularioidea (together with all its families, including Schizotrichidae, fam. nov.) and the Aplanulata. Concerning the Antarctic endemic groups, most results as monophyletic (Oswaldella, Schizotricha and Staurotheca), some genera form part of the expectable groups (e.g. Abietinella, located into the monophyletic Zygophylacinae clade) and, finally, others have shown a surprising position (e.g. Stegella, closely related to Lafoeinae, or Billardia and Stegopoma, allied with Hebellidae). Finally, our study has shown the utility of the marker to recognize the Antarctic species considered, but the low genetic divergence in some of the most important Antarctic groups suggests being careful when using it for DNA barcoding in the case of the original Antarctic hydroid fauna.</t>
  </si>
  <si>
    <t>[Pena Cantero, Alvaro L.] Univ Valencia, Fdn Gen Univ Valencia, Inst Cavanilles Biodiversidad &amp; Biol Evolut, Valencia 46071, Spain</t>
  </si>
  <si>
    <t>University of Valencia</t>
  </si>
  <si>
    <t>Cantero, ALP (corresponding author), Univ Valencia, Fdn Gen Univ Valencia, Inst Cavanilles Biodiversidad &amp; Biol Evolut, Apdo Correos 22085, Valencia 46071, Spain.</t>
  </si>
  <si>
    <t>alvaro.l.pena@uv.es; vicente.Sentandreu@uv.es; amparo.latorre@uv.es</t>
  </si>
  <si>
    <t>Cantero, Álvaro Luis Peña/F-7888-2016; Sentandreu, Vicente/AAH-5972-2020; 赵, 鹏/B-8401-2009; Latorre, Amparo/E-4997-2015</t>
  </si>
  <si>
    <t>Pena Cantero, Alvaro/0000-0003-3056-6673; Latorre, Amparo/0000-0002-9146-7284</t>
  </si>
  <si>
    <t>Ministerio de Ciencia y Teconologia (MCYT) of Spain [REN2003- 01881/ANT, GLC2004- 01856/ANT]; New Zealand Ministry of Fisheries; Universitat de Valencia [UV-AE-20050207]</t>
  </si>
  <si>
    <t>Ministerio de Ciencia y Teconologia (MCYT) of Spain(Spanish Government); New Zealand Ministry of Fisheries; Universitat de Valencia</t>
  </si>
  <si>
    <t>We would like to thank those persons that in one way or another help us with this study, in particular Marc Ojeda, Andres Laguna, Regina Antoni and Araceli Lamelas. The studied material was collected during the Spanish Antarctic benthic campaigns Bentart 2003 and Bentart 2006 funded by the Ministerio de Ciencia y Teconologia (MCYT) of Spain (Ref. REN2003- 01881/ANT and GLC2004- 01856/ANT) and during a biodiversity survey of the western Ross Sea and Balleny Islands in 2004 undertaken by the National Institute of Water and Atmospheric Research and financed by the New Zealand Ministry of Fisheries. The study was partly funded by the Universitat de Valencia (Ref. UV-AE-20050207).</t>
  </si>
  <si>
    <t>10.1007/s00300-009-0683-5</t>
  </si>
  <si>
    <t>WOS:000271988300004</t>
  </si>
  <si>
    <t>McInnes, SJ</t>
  </si>
  <si>
    <t>McInnes, Sandra J.</t>
  </si>
  <si>
    <t>Echiniscus corrugicaudatus (Heterotardigrada; Echiniscidae) a new species from Ellsworth Land, Antarctica</t>
  </si>
  <si>
    <t>Tardigrada; Echiniscus arctomys-group; Ronne sector; Antarctic</t>
  </si>
  <si>
    <t>DRONNING-MAUD-LAND; LIMNO-TERRESTRIAL TARDIGRADA; EAST ANTARCTICA; BIGRANULATUS GROUP; SEXUAL-DIMORPHISM; BIOGEOGRAPHY; TERRITORIES; ISLANDS; ACARI; DIVERSITY</t>
  </si>
  <si>
    <t>Echiniscus corrugicaudatus sp. nov., (Heterotardigrada; Echiniscidae) was found in the limited vegetation from the inland nunataks of Ellsworth Land, West Antarctica. The tardigrade fauna of this a rarely explored region shows limited overlap with the fauna from the maritime or coastal continental Antarctic. This species is placed within the Echiniscus arctomys-group based on the characteristic of, a lack of body appendages other than cirrus A. It has less well-defined edges to the dorsal plates than other species within the group and distinct ridges on the caudal plate. Males were found in the population indicating gonochoristic reproduction, and a large number of juveniles suggesting an over-wintering strategy of eggs or a biennial population over-wintering as adults/sub-adults and eggs.</t>
  </si>
  <si>
    <t>McInnes, SJ (corresponding author), British Antarctic Survey, NERC, Madingley Rd, Cambridge CB3 0ET, England.</t>
  </si>
  <si>
    <t>s.mcinnes@bas.ac.uk</t>
  </si>
  <si>
    <t>McInnes, Sandra/AAN-4773-2020</t>
  </si>
  <si>
    <t>McInnes, Sandra/0000-0003-3403-9379</t>
  </si>
  <si>
    <t>NERC [bas010015] Funding Source: UKRI; Natural Environment Research Council [bas010015] Funding Source: researchfish</t>
  </si>
  <si>
    <t>10.1007/s00300-009-0684-4</t>
  </si>
  <si>
    <t>WOS:000271988300005</t>
  </si>
  <si>
    <t>Selbmann, L; Zucconi, L; Ruisi, S; Grube, M; Cardinale, M; Onofri, S</t>
  </si>
  <si>
    <t>Selbmann, Laura; Zucconi, Laura; Ruisi, Serena; Grube, Martin; Cardinale, Massimiliano; Onofri, Silvano</t>
  </si>
  <si>
    <t>Culturable bacteria associated with Antarctic lichens: affiliation and psychrotolerance</t>
  </si>
  <si>
    <t>Antarctica; Bacteria; Extreme conditions; Lichens; Microbial associations; SSU rDNA</t>
  </si>
  <si>
    <t>SP-NOV.; DEINOCOCCUS-RADIODURANS; IONIZING-RADIATION; GEN. NOV.; TEMPERATURE; DIVERSITY; RESISTANT; FUNGI; ENVIRONMENT; PHOSPHATE</t>
  </si>
  <si>
    <t>Antarctic habitats harbour yet unexplored niches for microbial communities. Among these, lichen symbioses are very long-living and stable microenvironments for bacterial colonization. In this work, we present a first assessment of the culturable fraction of bacteria associated with Antarctic lichens. A phylogenetic analysis based on 16S rRNA gene sequence of 30 bacterial strains isolated from five epilithic lichens belonging to four species (Lecanora fuscobrunnea, Umbilicaria decussata, Usnea antarctica, Xanthoria elegans) shows that these represent the main bacterial lineages Actinobacteria, Firmicutes, Proteobacteria and Deinococcus-Thermus. Within the Actinomycetales, two strains group in the genera Arthrobacter and Knoellia, respectively. Most of the other Actinobacteria form well-supported groups, but could be assigned with certainty only at the family level, and one is in isolated position in the Mycobacteriaceae. The strains in Firmicutes and Proteobacteria belong to the genera Paenibacillus, Bacillus and Pseudomonas, which were already reported from lichen thalli. Some genera such as Burkholderia and Azotobacter, reported in the literature as also associated with lichens, have not been detected in this study. One strain represents the first record of Deinococcus in epilithic lichens; it is related to the species Deinococcus alpinitundrae from Alpine environments and may represent a new species. Further separated and well-supported clades indicate the presence of possibly new entities. Some of the examined strains are related to known psychrophilic bacteria isolated from ice and other extreme environments, others with bacteria distributed worldwide even in temperate climates. Most of the strains tested were able to grow at low temperatures, but tolerated a wider range of temperature. Ecological and evolutionary implications of these lichen-associated bacteria are discussed.</t>
  </si>
  <si>
    <t>[Selbmann, Laura; Zucconi, Laura; Ruisi, Serena; Onofri, Silvano] Largo Univ, Univ Tuscia, DECOS, Viterbo, Italy; [Grube, Martin] Karl Franzens Univ Graz, Inst Plant Sci, A-8010 Graz, Austria; [Cardinale, Massimiliano] Graz Univ Technol, Inst Environm Biotechnol, A-8010 Graz, Austria</t>
  </si>
  <si>
    <t>Tuscia University; University of Graz; Graz University of Technology</t>
  </si>
  <si>
    <t>Zucconi, L (corresponding author), Largo Univ, Univ Tuscia, DECOS, Viterbo, Italy.</t>
  </si>
  <si>
    <t>zucconi@unitus.it</t>
  </si>
  <si>
    <t>Cardinale, Massimiliano/B-8269-2014; Selbmann, Laura/L-3056-2013; Zucconi, L./U-9781-2018</t>
  </si>
  <si>
    <t>Cardinale, Massimiliano/0000-0003-1421-722X; Selbmann, Laura/0000-0002-8967-3329; Zucconi, L./0000-0001-9793-2303; Grube, Martin/0000-0001-6940-5282; ONOFRI, Silvano/0000-0001-8872-1440</t>
  </si>
  <si>
    <t>Italian National Antarctic Museum Felice Ippolito</t>
  </si>
  <si>
    <t>The authors would like to thank PNRA (Italian National Program for Antarctic Research) for supporting sample collection and Italian National Antarctic Museum Felice Ippolito for supporting CCFEE (Culture Collection of Fungi From Extreme Environments).</t>
  </si>
  <si>
    <t>10.1007/s00300-009-0686-2</t>
  </si>
  <si>
    <t>WOS:000271988300006</t>
  </si>
  <si>
    <t>Tanabe, Y; Ohtani, S; Kasamatsu, N; Fukuchi, M; Kudoh, S</t>
  </si>
  <si>
    <t>Tanabe, Yukiko; Ohtani, Shuji; Kasamatsu, Nobue; Fukuchi, Mitsuo; Kudoh, Sakae</t>
  </si>
  <si>
    <t>Photophysiological responses of phytobenthic communities to the strong light and UV in Antarctic shallow lakes</t>
  </si>
  <si>
    <t>Phytobenthos; Antarctic lakes; Photosynthesis; Algae; Pigments</t>
  </si>
  <si>
    <t>FRESH-WATER; MICROBIAL MATS; THALASSIOSIRA-PSEUDONANA; PHOTOSYSTEM-II; BETA-CAROTENE; PHYTOPLANKTON; PIGMENT; PHOTOSYNTHESIS; RADIATION; CYANOBACTERIA</t>
  </si>
  <si>
    <t>Light environment, community structure, pigments, and photophysiological properties of mat-forming phytobenthos were studied in four shallow Antarctic lakes in 2007 at maximum water depths of 1.7-2.5 m. All lakes were oligotrophic, and water transparencies were high, enabling 45-60% of photosynthetically active radiation (PAR, 400-700 nm) and 20-40% of ultraviolet radiation (300-400 nm) to reach the lake beds. Phytobenthic mats were dominated by cyanobacteria and green algae. Little PAR(L) (500-700 nm) penetrated through the firm mat in the shallowest lake, while in the other lakes more (&gt; 20%) PAR(L) got through the mats to the subsurface mat layers. Photochemical activities indicated almost no photoinhibition but low photosynthetic efficiency in all mat surface layers. Non-photochemical quenching was rarely detected, suggesting excess energy dissipation may not be efficient in the UV-rich environment. There was a positive correlation between photo-protective substances and incident radiation in the mats, and an inverse correlation between such substances and photochemical efficiency, suggesting that the phytobenthos survive by changing a light-protection/utilization balance. The communities under strong UV-B and PAR had firm mat textures and were characterized by high UV/photo-protective substance ratios that make them less transparent. Maximum relative electron transportation rates (rETR(max)) and photochemical efficiencies, however, were low, possibly because the protective substances prevent efficient light usage. In contrast, communities under mild light were characterized by lower substance ratios and softer textures, while rETR(max) values and photochemical efficiencies were greater. The phytobenthic mat surface seems to act as a filter for strong and harmful light, typically penetrating through the clear water of Antarctic lakes, and produces a milder light environment for the subsurface mat organisms.</t>
  </si>
  <si>
    <t>[Tanabe, Yukiko; Kasamatsu, Nobue; Fukuchi, Mitsuo; Kudoh, Sakae] Natl Inst Polar Res, Tokyo 1908518, Japan; [Ohtani, Shuji] Shimane Univ, Fac Educ, Dept Biol, Matsue, Shimane 6908504, Japan; [Kasamatsu, Nobue; Fukuchi, Mitsuo; Kudoh, Sakae] Grad Univ Adv Sci, Dept Polar Sci, Tokyo 1908518, Japan</t>
  </si>
  <si>
    <t>Research Organization of Information &amp; Systems (ROIS); National Institute of Polar Research (NIPR) - Japan; Shimane University; Graduate University for Advanced Studies - Japan</t>
  </si>
  <si>
    <t>Tanabe, Y (corresponding author), Natl Inst Polar Res, 10-3 Midori Cho, Tokyo 1908518, Japan.</t>
  </si>
  <si>
    <t>ukko@nipr.ac.jp</t>
  </si>
  <si>
    <t>Studies on climate processes and ecosystem dynamics in polar region; Ecological studies on Antarctic terrestrial and lake environments</t>
  </si>
  <si>
    <t>We acknowledge all the members of the 48th Japanese Antarctic Research Expedition (JARE), especially its summer party leader Dr. T. Odate, for their support. We thank Ms A. Sugimoto, Dr T. Hoshino, and Dr D. Han for assistance with nutrient analysis and the field research. This study was carried out under the project named Studies on climate processes and ecosystem dynamics in polar region, sub-theme Ecological studies on Antarctic terrestrial and lake environments in the JARE-48th research projects.</t>
  </si>
  <si>
    <t>10.1007/s00300-009-0687-1</t>
  </si>
  <si>
    <t>WOS:000271988300007</t>
  </si>
  <si>
    <t>Buchholz, F; Buchholz, C; Weslawski, JM</t>
  </si>
  <si>
    <t>Buchholz, Friedrich; Buchholz, Cornelia; Weslawski, Jan Marcin</t>
  </si>
  <si>
    <t>Ten years after: krill as indicator of changes in the macro-zooplankton communities of two Arctic fjords</t>
  </si>
  <si>
    <t>Arctic fjords; Macro-zooplankton; Euphausiids; Krill; Moult; Lipids; Global warming</t>
  </si>
  <si>
    <t>MARGINAL ICE-ZONE; MEGANYCTIPHANES-NORVEGICA; EUPHAUSIA-SUPERBA; NORTHERN KRILL; ANTARCTIC KRILL; BARENTS SEA; MOLT CYCLE; KONGSFJORDEN; SVALBARD; SYSTEM</t>
  </si>
  <si>
    <t>A macro-zooplankton study from 1996 was repeated in 2006 and focused on euphausiid species as indicators of advection and warming effects in Kongsfjorden, West Spitsbergen, Svalbard. The influence of warmer Atlantic water in Kongsfjorden was indicated by the findings of three additional euphausiid species of typically Atlantic origin, relative to the previous study 10 years ago. The predominant presence of Thysanoessa inermis in Hornsund suggested persisting cold conditions in this more southerly, but more Arctic influenced fjord. In this species, moult stage analysis showed that trophic effects can override temperature forcing. Histology and lipid analysis suggest that reproductive activity should be monitored as an indication of warming and possibly a shift in food web composition.</t>
  </si>
  <si>
    <t>[Buchholz, Friedrich; Buchholz, Cornelia] Alfred Wegener Inst Polar &amp; Marine Res, D-27498 Helgoland, Germany; [Weslawski, Jan Marcin] Inst Oceanol PAS, PL-81712 Sopot, Poland</t>
  </si>
  <si>
    <t>Helmholtz Association; Alfred Wegener Institute, Helmholtz Centre for Polar &amp; Marine Research; Polish Academy of Sciences; Institute of Oceanology of the Polish Academy of Sciences</t>
  </si>
  <si>
    <t>Buchholz, F (corresponding author), Alfred Wegener Inst Polar &amp; Marine Res, Ostkaje 1118, D-27498 Helgoland, Germany.</t>
  </si>
  <si>
    <t>friedrich.buchholz@awi.de</t>
  </si>
  <si>
    <t>Weslawski, Jan M/F-4075-2012</t>
  </si>
  <si>
    <t>Buchholz, Cornelia/0000-0002-5055-1586; Weslawski, Jan-Marcin/0000-0001-8434-5927</t>
  </si>
  <si>
    <t>ArctEco Responsive Mode Project within the European Network of Excellence MarBEF</t>
  </si>
  <si>
    <t>We are grateful for many discussions and support of Drs. Monika Kedra, Slawek Kwasniewski, Josef Wiktor (chief scientist) of IOPAS, Sopot, Poland. The cruise with RV Oceania to the Spitsbergen fjords is unforgettable and the Polish hospitality and expert support by our friends and colleagues on board, Captain Marian Grzech and his crew was overwhelming. Professor Ralph Lucius and his team kindly provided histological expertise of the Anatomical Institute of the University of Kiel, Germany. The research was supported by the ArctEco Responsive Mode Project within the European Network of Excellence MarBEF (marine biodiversity and ecosystem functioning). The very constructive criticism of the reviewers is highly appreciated.</t>
  </si>
  <si>
    <t>10.1007/s00300-009-0688-0</t>
  </si>
  <si>
    <t>WOS:000271988300008</t>
  </si>
  <si>
    <t>Using a global positioning system to estimate precipitable water vapor in Antarctica</t>
  </si>
  <si>
    <t>POLAR GEOGRAPHY</t>
  </si>
  <si>
    <t>GPS METEOROLOGY</t>
  </si>
  <si>
    <t>The Global Positioning System (GPS) technology has become an essential tool in retrieving atmospheric precipitable water vapor (PWV) around the globe. This paper addressed the determination of GPS PWV in Antarctica and its response to atmospheric events. The GPS PWV result is then compared to the PWV determined from radiosonde (RS) and NCEP/NCAR Reanalysis. Time series comparisons of PWV between GPS and RS show strong linear correlation (R-2 =0.70, p &lt; 1%) with their different mean values bounded at +/- 3 mm and with an RMS of 1.41 mm. Moreover, the total annual GPS PWV content at Scott Base, Casey, and Syowa stations averaged over the period from 2006 to 2008 has been quantified below 30 mm during summer polar days (wet summer) and of about 15 mm in winter polar night (dry winter), and their variability has shown a seasonal cycle dependence. One of the most remarkable features of the PWV variability from these regions carried by transient weather systems was that they closely followed the temperature patterns and revealed U-distribution. The temperature and PWV patterns characterize a coreless winter phenomenon.</t>
  </si>
  <si>
    <t>[Suparta, Wayan] Univ Kebangsaan Malaysia, Inst Space Sci ANGKASA, Bangi 43600, Selangor Darul, Malaysia</t>
  </si>
  <si>
    <t>Universiti Kebangsaan Malaysia</t>
  </si>
  <si>
    <t>Suparta, W (corresponding author), Univ Kebangsaan Malaysia, Inst Space Sci ANGKASA, Bangi 43600, Selangor Darul, Malaysia.</t>
  </si>
  <si>
    <t>Academy of Sciences Malaysia through Ministry of Science, Technology and Innovation (MOSTI), Malaysia [ANZ K141B]; Institute of Space Science (ANGKASA), Universiti Kebangsaan Malaysia (UKM)</t>
  </si>
  <si>
    <t>Academy of Sciences Malaysia through Ministry of Science, Technology and Innovation (MOSTI), Malaysia; Institute of Space Science (ANGKASA), Universiti Kebangsaan Malaysia (UKM)</t>
  </si>
  <si>
    <t>The author greatly appreciates the very friendly and constructive attitude from the Antarctica New Zealand (ANZ) administration and staff. Paul Woodgate was very efficient in meeting our logistical needs at the Antarctic center, and Andrew R. Harper at the National Institute of Water and Atmospheric Research Ltd. (NIWA), New Zealand provided the Scott Base meteorological data. The author is indebted to Prof. Azizan Abu Samah for valuable comments and suggestions. The author is also grateful to the Scripps Orbit and Permanent Array Center (SOPAC) for their GPS data archives, the Australian Antarctic Data Center (AADC) and the British Antarctic Survey (BAS) for their meteorology data archives, and the Antarctic Meteorological Research Center (AMRC) at the Space Science and Engineering Center (SSEC), University of Wisconsin-Madison, for radiosonde supporting data. Finally, I would like to thank the Malaysian Antarctic Research Programme (MARP) and the Academy of Sciences Malaysia through Ministry of Science, Technology and Innovation (MOSTI), Malaysia for sponsoring this research under the ANZ K141B grant. This work was also supported by the Institute of Space Science (ANGKASA), Universiti Kebangsaan Malaysia (UKM). The author would also like to thank Mark Carper for invaluable editor's advice and two anonymous reviewers for their critical remarks.</t>
  </si>
  <si>
    <t>1088-937X</t>
  </si>
  <si>
    <t>1939-0513</t>
  </si>
  <si>
    <t>POLAR GEOGR</t>
  </si>
  <si>
    <t>Polar Geogr.</t>
  </si>
  <si>
    <t>10.1080/1088937X.2010.498683</t>
  </si>
  <si>
    <t>V64MI</t>
  </si>
  <si>
    <t>WOS:000211104700004</t>
  </si>
  <si>
    <t>Brigham, LW</t>
  </si>
  <si>
    <t>Brigham, Lawson</t>
  </si>
  <si>
    <t>A chronology of Antarctic exploration: a synopsis of events and activities from the earliest times until the international polar years, 2007-09</t>
  </si>
  <si>
    <t>[Brigham, Lawson] Univ Alaska Fairbanks, UA Geog Program, Fairbanks, AK 99775 USA</t>
  </si>
  <si>
    <t>Brigham, LW (corresponding author), Univ Alaska Fairbanks, UA Geog Program, Fairbanks, AK 99775 USA.</t>
  </si>
  <si>
    <t>lwbrigham@alaska.edu</t>
  </si>
  <si>
    <t>10.1080/1088937X.2010.496948</t>
  </si>
  <si>
    <t>WOS:000211104700006</t>
  </si>
  <si>
    <t>Cowan, DA; Khan, N; Heath, C; Mutondo, M</t>
  </si>
  <si>
    <t>Bej, AK; Aislabie, J; Atlas, RM</t>
  </si>
  <si>
    <t>Cowan, Donald A.; Khan, Nuraan; Heath, Caroline; Mutondo, Moola</t>
  </si>
  <si>
    <t>Microbiology of Antarctic Terrestrial Soils and Rocks</t>
  </si>
  <si>
    <t>POLAR MICROBIOLOGY: THE ECOLOGY, BIODIVERSITY AND BIOREMEDIATION POTENTIAL OF MICROORGANISMS IN EXTREMELY COLD ENVIRONMENTS</t>
  </si>
  <si>
    <t>MCMURDO DRY VALLEYS; CARBON-DIOXIDE FLUX; 16S RIBOSOMAL-RNA; BACTERIAL DIVERSITY; TAYLOR VALLEY; VICTORIA LAND; ORGANIC-MATTER; CYANOBACTERIAL DIVERSITY; COMMUNITY COMPOSITION; NEMATODE COMMUNITIES</t>
  </si>
  <si>
    <t>[Cowan, Donald A.; Khan, Nuraan; Heath, Caroline; Mutondo, Moola] Univ Western Cape, Dept Biotechnol, Inst Microbial Biotechnol &amp; Metagen, Cape Town, South Africa</t>
  </si>
  <si>
    <t>University of the Western Cape</t>
  </si>
  <si>
    <t>Cowan, DA (corresponding author), Univ Western Cape, Dept Biotechnol, Inst Microbial Biotechnol &amp; Metagen, Cape Town, South Africa.</t>
  </si>
  <si>
    <t>Cowan, David/AAG-2915-2021</t>
  </si>
  <si>
    <t>978-1-4200-8388-0; 978-1-4200-8384-2</t>
  </si>
  <si>
    <t>BC9MU</t>
  </si>
  <si>
    <t>WOS:000356624900002</t>
  </si>
  <si>
    <t>Aislabie, J; Bowman, JP</t>
  </si>
  <si>
    <t>Aislabie, Jackie; Bowman, John P.</t>
  </si>
  <si>
    <t>Archaeal Diversity in Antarctic Ecosystems</t>
  </si>
  <si>
    <t>MCMURDO DRY VALLEYS; SP-NOV; ACE LAKE; COMMUNITY STRUCTURE; PLANKTONIC ARCHAEA; OXIDIZING ARCHAEA; MARINE-SEDIMENTS; SKAN-BAY; SEA-ICE; PROKARYOTES</t>
  </si>
  <si>
    <t>[Aislabie, Jackie] Landcare Res, Hamilton, New Zealand; [Bowman, John P.] Univ Tasmania, Sch Agr Sci, Hobart, Tas, Australia</t>
  </si>
  <si>
    <t>Landcare Research - New Zealand; University of Tasmania</t>
  </si>
  <si>
    <t>Aislabie, J (corresponding author), Landcare Res, Hamilton, New Zealand.</t>
  </si>
  <si>
    <t>Bowman, John P./ABF-5108-2020; Bowman, John P/C-2414-2014</t>
  </si>
  <si>
    <t>Bowman, John P./0000-0002-4528-9333; Bowman, John P/0000-0002-4528-9333</t>
  </si>
  <si>
    <t>WOS:000356624900003</t>
  </si>
  <si>
    <t>Sattler, B; Storrie-Lombardi, MC</t>
  </si>
  <si>
    <t>Sattler, Birgit; Storrie-Lombardi, Michael C.</t>
  </si>
  <si>
    <t>LIFE in Antarctic Lakes</t>
  </si>
  <si>
    <t>MICROBIAL COMMUNITIES; CRYOCONITE HOLES; ICE CORES; BACTERIA; GLACIER; BIODEGRADATION; BIODIVERSITY; FLUORESCENCE; DEGRADATION; DIVERSITY</t>
  </si>
  <si>
    <t>[Sattler, Birgit] Univ Innsbruck, Inst Ecol, A-6020 Innsbruck, Austria; [Storrie-Lombardi, Michael C.] Kinohi Inst Inc, Pasadena, CA USA</t>
  </si>
  <si>
    <t>University of Innsbruck</t>
  </si>
  <si>
    <t>Sattler, B (corresponding author), Univ Innsbruck, Inst Ecol, A-6020 Innsbruck, Austria.</t>
  </si>
  <si>
    <t>WOS:000356624900005</t>
  </si>
  <si>
    <t>Bej, AK; Mojib, N</t>
  </si>
  <si>
    <t>Bej, Asim K.; Mojib, Nazia</t>
  </si>
  <si>
    <t>Cold Adaptation in Antarctic Biodegradative Microorganisms</t>
  </si>
  <si>
    <t>ICE-BINDING PROTEIN; PSYCHROTROPHIC BACTERIUM; ESCHERICHIA-COLI; ANTIFREEZE PROTEIN; CSPA-FAMILY; METHANOGENIUM-FRIGIDUM; ACCLIMATION PROTEINS; MEMBRANE-FLUIDITY; SHOCK PROTEINS; GENE</t>
  </si>
  <si>
    <t>[Bej, Asim K.; Mojib, Nazia] Univ Alabama Birmingham, Dept Biol, Birmingham, AL 35294 USA</t>
  </si>
  <si>
    <t>University of Alabama System; University of Alabama Birmingham</t>
  </si>
  <si>
    <t>Bej, AK (corresponding author), Univ Alabama Birmingham, Dept Biol, Birmingham, AL 35294 USA.</t>
  </si>
  <si>
    <t>MOJIB, NAZIA/0000-0003-4924-5538</t>
  </si>
  <si>
    <t>WOS:000356624900007</t>
  </si>
  <si>
    <t>Storrie-Lombardi, MC; Williamson, SJ</t>
  </si>
  <si>
    <t>Storrie-Lombardi, Michael C.; Williamson, Shannon J.</t>
  </si>
  <si>
    <t>Possible Role of Bacteriophage-Mediated Horizontal Gene Transfer on Microbial Adaptation to Environmental Stressors in Polar Ecosystems</t>
  </si>
  <si>
    <t>ULTRAVIOLET-B RADIATION; BINDING PROTEIN GENES; SOLUBLE CRUDE-OIL; ESCHERICHIA-COLI; METAGENOMIC CHARACTERIZATION; PHOTOSYNTHESIS GENES; GENOME SEQUENCE; OZONE DEPLETION; ANTARCTIC SOILS; DNA-DAMAGE</t>
  </si>
  <si>
    <t>[Storrie-Lombardi, Michael C.] Kinohi Inst Inc, Pasadena, CA 91101 USA; [Williamson, Shannon J.] J Craig Venter Inst, Dept Microbial &amp; Environm Genom, San Diego, CA USA</t>
  </si>
  <si>
    <t>J. Craig Venter Institute</t>
  </si>
  <si>
    <t>Storrie-Lombardi, MC (corresponding author), Kinohi Inst Inc, Pasadena, CA 91101 USA.</t>
  </si>
  <si>
    <t>WOS:000356624900008</t>
  </si>
  <si>
    <t>Aislabie, J; Foght, JM</t>
  </si>
  <si>
    <t>Aislabie, Jackie; Foght, Julia M.</t>
  </si>
  <si>
    <t>Response of Polar Soil Bacterial Communities to Fuel Spills</t>
  </si>
  <si>
    <t>HYDROCARBON-CONTAMINATED SOILS; ARCTIC TUNDRA SOILS; LOW-TEMPERATURE; PETROLEUM-HYDROCARBONS; ANTARCTIC SOIL; PSYCHROTOLERANT BACTERIA; MICROBIAL COMMUNITY; ORNITHOGENIC SOIL; BIODEGRADATION; DIVERSITY</t>
  </si>
  <si>
    <t>[Aislabie, Jackie] Landcare Res, Hamilton, New Zealand; [Foght, Julia M.] Univ Alberta, Dept Biol Sci, Edmonton, AB, Canada</t>
  </si>
  <si>
    <t>Landcare Research - New Zealand; University of Alberta</t>
  </si>
  <si>
    <t>Foght, Julia M./A-2638-2014</t>
  </si>
  <si>
    <t>WOS:000356624900010</t>
  </si>
  <si>
    <t>Lo Giudice, A; Bruni, V; Michaud, L</t>
  </si>
  <si>
    <t>Lo Giudice, Angelina; Bruni, Vivia; Michaud, Luigi</t>
  </si>
  <si>
    <t>Potential for Microbial Biodegradation of Polychlorinated Biphenyls in Polar Environments</t>
  </si>
  <si>
    <t>PERSISTENT ORGANIC POLLUTANTS; TERRA-NOVA BAY; POLYCYCLIC AROMATIC-HYDROCARBONS; WINTER QUARTERS BAY; ROSS SEA; LOW-TEMPERATURE; ORGANOCHLORINE POLLUTANTS; ANTARCTIC FISH; STRAIN LB400; REDUCTIVE DECHLORINATION</t>
  </si>
  <si>
    <t>[Lo Giudice, Angelina; Bruni, Vivia; Michaud, Luigi] Univ Messina, Italian Collect Antarctic Bacteria, Dept Anim Biol &amp; Marine Ecol, Messina, Italy</t>
  </si>
  <si>
    <t>University of Messina</t>
  </si>
  <si>
    <t>Lo Giudice, A (corresponding author), Univ Messina, Italian Collect Antarctic Bacteria, Dept Anim Biol &amp; Marine Ecol, Messina, Italy.</t>
  </si>
  <si>
    <t>WOS:000356624900012</t>
  </si>
  <si>
    <t>Hughes, KA; Bridge, P</t>
  </si>
  <si>
    <t>Hughes, Kevin A.; Bridge, Paul</t>
  </si>
  <si>
    <t>Tolerance of Antarctic Soil Fungi to Hydrocarbons and Their Potential Role in Soil Bioremediation</t>
  </si>
  <si>
    <t>POLYCYCLIC AROMATIC-HYDROCARBONS; OIL-CONTAMINATED SOIL; WHITE-ROT FUNGI; VESTFOLD HILLS; PSEUDOMONAS SP; DEGRADATION; BIODEGRADATION; DIVERSITY; MINERALIZATION; MARITIME</t>
  </si>
  <si>
    <t>[Hughes, Kevin A.; Bridge, Paul] British Antarctic Survey, NERC, Cambridge, England</t>
  </si>
  <si>
    <t>Hughes, KA (corresponding author), British Antarctic Survey, NERC, Cambridge, England.</t>
  </si>
  <si>
    <t>WOS:000356624900013</t>
  </si>
  <si>
    <t>Delille, D; Pelletier, E; Coulon, F</t>
  </si>
  <si>
    <t>Delille, Daniel; Pelletier, Emilien; Coulon, Frederic</t>
  </si>
  <si>
    <t>Do Fertilizers Help in Effective Bioremediation of Polycyclic Aromatic Hydrocarbons in Polar Soils?</t>
  </si>
  <si>
    <t>SPILLED PETROLEUM-HYDROCARBONS; COLD-ADAPTED MICROORGANISMS; ARCTIC TUNDRA SOILS; SUB-ANTARCTIC SOILS; DIESEL FUEL; CRUDE-OIL; MICROBIAL COMMUNITIES; DEGRADING BACTERIA; CONTAMINATED SOILS; IN-SITU</t>
  </si>
  <si>
    <t>[Delille, Daniel] Univ Paris 06, CNRS, UMR, Observ Oceanol Banyuls, Banyuls Sur Mer, France; [Pelletier, Emilien] Univ Quebec, Inst Sci Mer Rimouski, Rimouski, PQ G5L 3A1, Canada; [Coulon, Frederic] Cranfield Univ, Sch Appl Sci, Sustainable Syst Dept, Ctr Resource Management &amp; Efficiency, Cranfield MK43 0AL, Beds, England</t>
  </si>
  <si>
    <t>Sorbonne Universite; Centre National de la Recherche Scientifique (CNRS); University of Quebec; Cranfield University</t>
  </si>
  <si>
    <t>Delille, D (corresponding author), Univ Paris 06, CNRS, UMR, Observ Oceanol Banyuls, Banyuls Sur Mer, France.</t>
  </si>
  <si>
    <t>Coulon, Frederic/B-3227-2009; Daniel, Delille/S-9542-2019</t>
  </si>
  <si>
    <t>Coulon, Frederic/0000-0002-4384-3222;</t>
  </si>
  <si>
    <t>WOS:000356624900014</t>
  </si>
  <si>
    <t>Luz, AP; Kuhn, E; Pellizari, VH</t>
  </si>
  <si>
    <t>Luz, Adriana Philippi; Kuhn, Emanuele; Pellizari, Vivian Helena</t>
  </si>
  <si>
    <t>Occurrence, Distribution, and Nature of Hydrocarbon-Degrading Genes in Biodegradative Microorganisms from the Antarctic Environment</t>
  </si>
  <si>
    <t>VALDEZ OIL-SPILL; CATECHOL 2,3-DIOXYGENASE GENE; ALKANE HYDROXYLASE SYSTEMS; GRAM-POSITIVE STRAINS; PSEUDOMONAS-OLEOVORANS; NUCLEOTIDE-SEQUENCE; POLYCHLORINATED-BIPHENYLS; PETROLEUM-HYDROCARBONS; MICROBIAL-POPULATIONS; CONTAMINATED SOIL</t>
  </si>
  <si>
    <t>[Luz, Adriana Philippi] Environm Protect Agcy Santa Catarina, Florianopolis, SC, Brazil; [Kuhn, Emanuele; Pellizari, Vivian Helena] Univ Sao Paulo, Inst Biomed Sci, Dept Microbiol, Sao Paulo, Brazil</t>
  </si>
  <si>
    <t>Luz, AP (corresponding author), Environm Protect Agcy Santa Catarina, Florianopolis, SC, Brazil.</t>
  </si>
  <si>
    <t>Pellizari, Vivian/J-9153-2012</t>
  </si>
  <si>
    <t>WOS:000356624900016</t>
  </si>
  <si>
    <t>Powell, SM</t>
  </si>
  <si>
    <t>Powell, Shane M.</t>
  </si>
  <si>
    <t>Potential Use of Real-Time PCR to Assess Changes in the Microbial Population Structure and Function during Bioremediation of Polar Soils</t>
  </si>
  <si>
    <t>16S RIBOSOMAL-RNA; MONITORED NATURAL ATTENUATION; AMMONIA-OXIDIZING BACTERIA; ENVIRONMENTAL-SAMPLES; DEGRADING BACTERIA; ETHIDIUM MONOAZIDE; QUANTITATIVE PCR; REDUCTASE GENES; DNA EXTRACTION; TAQMAN PCR</t>
  </si>
  <si>
    <t>[Powell, Shane M.] Australian Antarctic Div, Dept Environm Water Heritage &amp; Arts, Kingston, Tas, Australia; [Powell, Shane M.] Univ Tasmania, Australia &amp; Tasmanian Inst Agr Res, Hobart, Tas, Australia</t>
  </si>
  <si>
    <t>Australian Antarctic Division; University of Tasmania</t>
  </si>
  <si>
    <t>Powell, SM (corresponding author), Australian Antarctic Div, Dept Environm Water Heritage &amp; Arts, Kingston, Tas, Australia.</t>
  </si>
  <si>
    <t>Powell, Shane M/C-2391-2014</t>
  </si>
  <si>
    <t>Powell, Shane/0000-0001-5082-1630</t>
  </si>
  <si>
    <t>WOS:000356624900017</t>
  </si>
  <si>
    <t>Atlas, RM</t>
  </si>
  <si>
    <t>Atlas, Ronald M.</t>
  </si>
  <si>
    <t>Microbial Bioremediation in Polar Environments: Current Status and Future Directions</t>
  </si>
  <si>
    <t>ARCTIC TUNDRA SOILS; SUB-ANTARCTIC SOILS; CRUDE-OIL; PETROLEUM-HYDROCARBONS; INTERTIDAL SEDIMENTS; SPILL BIOREMEDIATION; NATURAL ATTENUATION; DIESEL FUEL; BIODEGRADATION; CONTAMINATION</t>
  </si>
  <si>
    <t>Univ Louisville, Dept Biol, Louisville, KY 40292 USA</t>
  </si>
  <si>
    <t>University of Louisville</t>
  </si>
  <si>
    <t>Atlas, RM (corresponding author), Univ Louisville, Dept Biol, Louisville, KY 40292 USA.</t>
  </si>
  <si>
    <t>WOS:000356624900018</t>
  </si>
  <si>
    <t>Comiso, J</t>
  </si>
  <si>
    <t>Comiso, Josefino</t>
  </si>
  <si>
    <t>Fundamental Characteristics of the Polar Oceans and Their Sea Ice Cover</t>
  </si>
  <si>
    <t>POLAR OCEANS FROM SPACE</t>
  </si>
  <si>
    <t>Atmospheric and Oceanographic Sciences Library</t>
  </si>
  <si>
    <t>Peripheral seas; Ice drift; Ocean bathymetry; Dynamic topography</t>
  </si>
  <si>
    <t>SOUTHERN-OCEAN; WEDDELL SEA; PHYTOPLANKTON GROWTH; CIRCULATION; WATER; TEMPERATURE; VARIABILITY; HALOCLINE; SALINITY; EVOLUTION</t>
  </si>
  <si>
    <t>The physical, chemical, and biological characteristics of the oceans and their sea ice cover at high latitudes in both the northern and southern hemispheres are discussed in conjunction with the bathymetry, atmospheric and circulation patterns. The exchanges of intermediate to deep water with the World's oceans are quite limited in the Arctic region with the relatively narrow Fram Strait as the only possibility while the World's main oceans circulate freely from one ocean to another at all depths in the Southern Ocean through the Antarctic Circumpolar Current. The perennial sea ice is also located in deep water regions in the Arctic, while the perennial ice in the Antarctic is usually confined in shallow shelf areas. These and other environmental differences make the characteristics of Arctic Ocean very different from those of the Southern Ocean.</t>
  </si>
  <si>
    <t>NASA, Goddard Space Flight Ctr, Cryospher Sci Branch, Greenbelt, MD 20771 USA</t>
  </si>
  <si>
    <t>Comiso, J (corresponding author), NASA, Goddard Space Flight Ctr, Cryospher Sci Branch, Code 614-1, Greenbelt, MD 20771 USA.</t>
  </si>
  <si>
    <t>josefino.c.comiso@nasa.gov</t>
  </si>
  <si>
    <t>1383-8601</t>
  </si>
  <si>
    <t>978-0-387-36628-9</t>
  </si>
  <si>
    <t>ATMOS OCEAN SCI LIB</t>
  </si>
  <si>
    <t>10.1007/978-0-387-68300-3_2</t>
  </si>
  <si>
    <t>10.1007/978-0-387-68300-3</t>
  </si>
  <si>
    <t>BOJ84</t>
  </si>
  <si>
    <t>WOS:000276867200002</t>
  </si>
  <si>
    <t>Variability of Surface Pressure, Winds, and Clouds</t>
  </si>
  <si>
    <t>Sea level pressure; Hemisphere</t>
  </si>
  <si>
    <t>ANTARCTIC CIRCUMPOLAR WAVE; SEA-ICE; ANNULAR MODE; TEMPERATURE; OSCILLATION; OCEAN; TELECONNECTIONS; CIRCULATION; TRENDS</t>
  </si>
  <si>
    <t>The variability of sea level pressure and winds is studied using National Centers for Environmental Prediction (NCEP) reanalysis monthly-average data from 1979 to 2008. Results of analyses of monthly distributions of pressures and winds indicate that on average the seasonal patterns are consistent and coherent, but large interannual variabilities in the locations of lows and highs are observed. For a given month the interannual changes in wind circulation patterns can be very large and thereby could affect the spatial distribution of surface temperature and sea ice cover. Cloud frequency distributions as derived from AVHRR data also show large interannual variability and a slight decadal decline in both hemispheres</t>
  </si>
  <si>
    <t>10.1007/978-0-387-68300-3_5</t>
  </si>
  <si>
    <t>WOS:000276867200005</t>
  </si>
  <si>
    <t>Variability of Surface Temperature and Albedo</t>
  </si>
  <si>
    <t>Surface temperature; Arctic; Antarctic; Albedo</t>
  </si>
  <si>
    <t>ARCTIC SEA-ICE; SNOW EXTENT; IN-SITU; EVOLUTION; TRENDS; SOOT</t>
  </si>
  <si>
    <t>Results from the analysis of the spatial and temporal variability of surface temperature, including that of liquid water at high latitudes, are presented using mainly NOAA/AVHRR data from 1981 to 2008. The average surface temperature of the region north of the Arctic Circle is shown to be increasing at 0.7 degrees C/decade while that south of the Antarctic circle has been increasing much more moderately at 0.1 degrees C/decade. The trend in the Arctic represents about three times the global trend over the same period and is consistent with the expected effect of ice-albedo feedback. The trend of the Antarctic temperature is less than that inferred using global in situ and meteorological station data since 1981. Data from the same set of AVHRR sensors were used to study the spatial and temporal variability of narrow band albedo in the polar regions and results show the patterns of change that are consistent with warming and the changing snow and sea ice cover.</t>
  </si>
  <si>
    <t>10.1007/978-0-387-68300-3_6</t>
  </si>
  <si>
    <t>WOS:000276867200006</t>
  </si>
  <si>
    <t>Characteristics and Variability of the Sea Ice Cover</t>
  </si>
  <si>
    <t>Mesoscale characteristics; Ice types; Ice dynamics</t>
  </si>
  <si>
    <t>ANTARCTIC CIRCUMPOLAR WAVE; ROSS SEA; WEDDELL SEA; INTERANNUAL VARIABILITY; THICKNESS DISTRIBUTION; PHYSICAL PROCESSES; SATELLITE; OCEAN; MOTION; WIND</t>
  </si>
  <si>
    <t>Mesoscale and large scale characteristics and interannual variability of the Arctic and Antarctic sea ice cover are described and evaluated using geophysical data derived from visible, infrared, and microwave sensors. Thirty years of satellite data were used to assess global, hemispherical, and regional trends and to gain insights into the changing sea ice cover in the two hemispheres. The extent of the sea ice cover in the Arctic is shown to be declining at -4%/decade, whereas in the Antarctic, it has been increasing unexpectedly at 1 %/decade. The most intriguing result, however, is the rapid decline in the Arctic perennial ice cover area of about -13%/decade and possible connection with greenhouse gas warming. Equally intriguing is the relative stability of the Antarctic sea ice cover and associated effects of the ozone hole, the Southern Oscillation and the Antarctic Circumpolar Wave.</t>
  </si>
  <si>
    <t>10.1007/978-0-387-68300-3_7</t>
  </si>
  <si>
    <t>WOS:000276867200007</t>
  </si>
  <si>
    <t>Polynyas and Other Polar Phenomena</t>
  </si>
  <si>
    <t>Polynyas; Odden; Antarctic circumpolar wave; Polar outbreaks</t>
  </si>
  <si>
    <t>SOUTHERN-HEMISPHERE ATMOSPHERE; ANTARCTIC CIRCUMPOLAR WAVE; COLD-AIR OUTBREAKS; SEA-ICE; WEDDELL POLYNYA; INTERANNUAL VARIABILITY; SYNCHRONOUS VARIABILITY; NORTH WATER; SATELLITE; MODEL</t>
  </si>
  <si>
    <t>The important roles of sensible and latent heat polynyas, the Odden, the Antarctic Circumpolar Wave, polar outbreaks, icebergs, and other features and processes in the polar oceans are discussed in the context of their spatial distributions and frequency of occurrences as inferred from long term and synoptic observations by satellite sensors. Satellite data have provided valuable insights into how these special features could affect the thermohaline circulation and primary productivity of the oceans and cause deep vertical convection, ocean ventilation, storminess, and horizontal transport of salt in the polar oceans. It is apparent that large changes are occurring, including frequency of occurrence of the Odden and the character of the Antarctic Circumpolar Wave. Many questions remain, but some answers are possible through concurrent use of satellite data, in situ data and numerical models.</t>
  </si>
  <si>
    <t>10.1007/978-0-387-68300-3_8</t>
  </si>
  <si>
    <t>WOS:000276867200008</t>
  </si>
  <si>
    <t>Dodds, KJ</t>
  </si>
  <si>
    <t>Dodds, K. J.</t>
  </si>
  <si>
    <t>Amongst the palm trees: ruminations on the 1959 Antarctic Treaty</t>
  </si>
  <si>
    <t>Univ London, Dept Geog, Egham TW20 0EX, Surrey, England</t>
  </si>
  <si>
    <t>University of London; Royal Holloway University London</t>
  </si>
  <si>
    <t>Dodds, KJ (corresponding author), Univ London, Dept Geog, Egham TW20 0EX, Surrey, England.</t>
  </si>
  <si>
    <t>K.Dodds@rhul.ac.uk</t>
  </si>
  <si>
    <t>10.1017/S0032247409990167</t>
  </si>
  <si>
    <t>535OI</t>
  </si>
  <si>
    <t>WOS:000272979700001</t>
  </si>
  <si>
    <t>Baker, FWG</t>
  </si>
  <si>
    <t>Baker, F. W. G.</t>
  </si>
  <si>
    <t>Some reflections on the Antarctic Treaty</t>
  </si>
  <si>
    <t>La Combe de Sauve, F-26110 Venterol, France</t>
  </si>
  <si>
    <t>Baker, FWG (corresponding author), La Combe de Sauve, F-26110 Venterol, France.</t>
  </si>
  <si>
    <t>mike.baker@wanadoo.fr</t>
  </si>
  <si>
    <t>10.1017/S0032247409990209</t>
  </si>
  <si>
    <t>WOS:000272979700002</t>
  </si>
  <si>
    <t>Beck, PJ</t>
  </si>
  <si>
    <t>Beck, Peter J.</t>
  </si>
  <si>
    <t>Fifty years on: putting the Antarctic Treaty into the history books</t>
  </si>
  <si>
    <t>Kingston Univ, Fac Arts &amp; Social Sci, Kingston upon Thames KT1 2EE, Surrey, England</t>
  </si>
  <si>
    <t>Kingston University</t>
  </si>
  <si>
    <t>Beck, PJ (corresponding author), Kingston Univ, Fac Arts &amp; Social Sci, Kingston upon Thames KT1 2EE, Surrey, England.</t>
  </si>
  <si>
    <t>P.Beck@kingston.ac.uk</t>
  </si>
  <si>
    <t>10.1017/S0032247409990210</t>
  </si>
  <si>
    <t>WOS:000272979700003</t>
  </si>
  <si>
    <t>Bulkeley, R</t>
  </si>
  <si>
    <t>Bulkeley, Rip</t>
  </si>
  <si>
    <t>The political origins of the Antarctic Treaty</t>
  </si>
  <si>
    <t>Bulkeley, R (corresponding author), 38 Lonsdale Rd, Oxford OX2 7EW, England.</t>
  </si>
  <si>
    <t>rip@igy50.net</t>
  </si>
  <si>
    <t>10.1017/S0032247409990234</t>
  </si>
  <si>
    <t>WOS:000272979700005</t>
  </si>
  <si>
    <t>Haward, M</t>
  </si>
  <si>
    <t>Haward, Marcus</t>
  </si>
  <si>
    <t>Australia and the Antarctic Treaty</t>
  </si>
  <si>
    <t>[Haward, Marcus] Univ Tasmania, Sch Govt &amp; Antarctic Climate, Hobart, Tas 7001, Australia; [Haward, Marcus] Univ Tasmania, Ecosyst Cooperat Res Ctr, Hobart, Tas 7001, Australia</t>
  </si>
  <si>
    <t>Haward, M (corresponding author), Univ Tasmania, Sch Govt &amp; Antarctic Climate, Hobart, Tas 7001, Australia.</t>
  </si>
  <si>
    <t>M.G.Haward@utas.edu.au</t>
  </si>
  <si>
    <t>Haward, Marcus/G-3369-2014</t>
  </si>
  <si>
    <t>Haward, Marcus/0000-0003-4775-0864</t>
  </si>
  <si>
    <t>10.1017/S0032247409990246</t>
  </si>
  <si>
    <t>WOS:000272979700006</t>
  </si>
  <si>
    <t>Joyner, CC</t>
  </si>
  <si>
    <t>Joyner, Christopher C.</t>
  </si>
  <si>
    <t>The Antarctic Treaty and the law of the sea: fifty years on</t>
  </si>
  <si>
    <t>[Joyner, Christopher C.] Georgetown Univ, Dept Govt, Intercultural Ctr 681, Washington, DC 20057 USA; [Joyner, Christopher C.] Georgetown Univ, Edmund A Walsh Sch Foreign Serv, Intercultural Ctr 681, Washington, DC 20057 USA</t>
  </si>
  <si>
    <t>Georgetown University; Georgetown University</t>
  </si>
  <si>
    <t>Joyner, CC (corresponding author), Georgetown Univ, Dept Govt, Intercultural Ctr 681, 37th &amp; O St NW, Washington, DC 20057 USA.</t>
  </si>
  <si>
    <t>10.1017/S0032247409990258</t>
  </si>
  <si>
    <t>WOS:000272979700007</t>
  </si>
  <si>
    <t>Rothwell, DR</t>
  </si>
  <si>
    <t>Rothwell, Donald R.</t>
  </si>
  <si>
    <t>Sovereignty and the Antarctic Treaty</t>
  </si>
  <si>
    <t>Australian Natl Univ, Coll Law, Canberra, ACT 0200, Australia</t>
  </si>
  <si>
    <t>Rothwell, DR (corresponding author), Australian Natl Univ, Coll Law, GPO Box 4, Canberra, ACT 0200, Australia.</t>
  </si>
  <si>
    <t>RothwellD@law.anu.edu.au</t>
  </si>
  <si>
    <t>Rothwell, Donald R/V-1403-2018</t>
  </si>
  <si>
    <t>10.1017/S003224740999026X</t>
  </si>
  <si>
    <t>WOS:000272979700008</t>
  </si>
  <si>
    <t>Pearson, M; Stehberg, R; Zarankín, A; Senatore, MX; Gatica, C</t>
  </si>
  <si>
    <t>Pearson, Michael; Stehberg, Ruben; Zarankin, Andres; Ximena Senatore, M.; Gatica, Carolina</t>
  </si>
  <si>
    <t>Conserving the oldest historic sites in the Antarctic: the challenges in managing the sealing sites in the South Shetland Islands</t>
  </si>
  <si>
    <t>The fur seal population of the South Shetland Islands, Antarctica, was intensively burned by sealers from the discovery of the islands in 1819 to the early 1820s, by which time the seal numbers were so depleted that sealing became uneconomic. Sealing was revived for both fur seals and elephant seals at several periods later in the century. Sealers were Put ashore in gangs and built makeshift shelters in which to live, and also occupied caves. Many of these have been identified on the various islands of the South Shetlands, and a number have been excavated. The paper addresses some of the management issues facing the conservation of these sites, which include accelerating tourism, disturbance by scientific researchers, disturbance by animal activity, burial or erosion by drifting sand, and climate change.</t>
  </si>
  <si>
    <t>[Pearson, Michael] Heritage Management Consultants Pty Ltd, Canberra, ACT, Australia; [Stehberg, Ruben] Museo Nacl Hist Nat, Anthropol Div, Santiago, Chile; [Zarankin, Andres] Univ Fed Minas Gerais, Dept Sociol &amp; Anthropol, Fac Filosofia &amp; Ciencias Humanas, BR-31270901 Belo Horizonte, MG, Brazil; [Ximena Senatore, M.] Univ Buenos Aires, Buenos Aires, DF, Argentina; [Ximena Senatore, M.] Consejo Nacl Invest Cient &amp; Tecn, IMHICIHU, Dept Invest Prehist &amp; Arqueol, RA-1033 Buenos Aires, DF, Argentina; [Gatica, Carolina] Serv Nacl Mujer, San Bernardo, Chile</t>
  </si>
  <si>
    <t>Universidade Federal de Minas Gerais; University of Buenos Aires; Consejo Nacional de Investigaciones Cientificas y Tecnicas (CONICET)</t>
  </si>
  <si>
    <t>Pearson, M (corresponding author), Heritage Management Consultants Pty Ltd, Canberra, ACT, Australia.</t>
  </si>
  <si>
    <t>mike.p@ozemail.com.au</t>
  </si>
  <si>
    <t>Senatore, Maria Ximena/AAX-5863-2021; Zarankin, Andres/AAI-3419-2020</t>
  </si>
  <si>
    <t>Senatore, Maria Ximena/0000-0002-7509-9020; Zarankin, Andres/0000-0002-0020-0606</t>
  </si>
  <si>
    <t>10.1017/S0032247409008389</t>
  </si>
  <si>
    <t>WOS:000272979700011</t>
  </si>
  <si>
    <t>Strange, C</t>
  </si>
  <si>
    <t>Strange, Carolyn</t>
  </si>
  <si>
    <t>Griffith Taylor's Antarctica: science, sentiment, and politics</t>
  </si>
  <si>
    <t>Griffith Taylor (1880-1963) was a scientific member of the Terra Nova expedition. Although lie published initially on his geomorphological, glaciological and meteorological research, conducted between 1910 and 1912, he was also a teacher, lecturer, publicist and later political commentator on Antarctica. Initially a loyal 'Britisher' he developed an internationalist perspective on Antarctica Without compromising his self-promotional ambitions. Through his professional career in Australia, the US and Canada over the early to mid twentieth century Antarctica's shifting-scientific, Cultural and political history can be mapped. Just as self-interest permeated the Antarctic Treaty of 1959, so Taylor's ambitions persisted as lie fashioned himself into a scientific prophet for peace. Taylor's Antarctica, an amalgam of sentiment and science, rivalry and cooperation, imperialism and internationalism. popular Culture and global politics, was the twentieth century's Antarctica.</t>
  </si>
  <si>
    <t>Australian Natl Univ, Res Sch Humanities, Canberra, ACT 0200, Australia</t>
  </si>
  <si>
    <t>Strange, C (corresponding author), Australian Natl Univ, Res Sch Humanities, GPO Box 4, Canberra, ACT 0200, Australia.</t>
  </si>
  <si>
    <t>carolyn.strange@anu.edu.au</t>
  </si>
  <si>
    <t>Strange, Carolyn/0000-0003-4377-8958</t>
  </si>
  <si>
    <t>10.1017/S0032247409008420</t>
  </si>
  <si>
    <t>WOS:000272979700012</t>
  </si>
  <si>
    <t>The curious incident of the missing cleaner</t>
  </si>
  <si>
    <t>The first woman to work as a professional scientist in Antarctica was Mariya Vasilyevna Klyonova, during the first Soviet Antarctic Expedition of 1955-1957. Other women were crew members on the icebreakers Lena and Ob'. There is an outside possibility that there was more to one of them than meets the eye. But we shall never know.</t>
  </si>
  <si>
    <t>10.1017/S0032247409008614</t>
  </si>
  <si>
    <t>WOS:000272979700014</t>
  </si>
  <si>
    <t>Ishii, S; Seta, M; Nakai, N; Nagai, S; Miyagawa, N; Yamauchi, A; Motoyama, H; Taguchi, M</t>
  </si>
  <si>
    <t>Ishii, S.; Seta, M.; Nakai, N.; Nagai, S.; Miyagawa, N.; Yamauchi, A.; Motoyama, H.; Taguchi, M.</t>
  </si>
  <si>
    <t>Site testing at Dome Fuji for submillimeter and terahertz astronomy: 220 GHz atmospheric-transparency</t>
  </si>
  <si>
    <t>POLAR SCIENCE</t>
  </si>
  <si>
    <t>Submillimeter and terahertz astronomy; Site testing; Atmospheric opacity</t>
  </si>
  <si>
    <t>PAMPA LA BOLA; FTS MEASUREMENTS; OPACITY; MODEL</t>
  </si>
  <si>
    <t>We measured the 220 GHz atmospheric-transparency at the Dome Fuji station in Antarctica from 18 December 2006 to 14 January 2007 using a tipping radiometer. The mean optical depth at zenith was 0.045 +/- 0.007, and during 98% of this period we measured an optical depth of less than 0.06. These data indicate that the atmospheric-transparency in summer at Dome Fuji is comparable to that of well-known submillimeter astronomical sites such as the Atacama desert in Chile in their best seasons. (C) 2009 Elsevier B.V. and NIPR. All rights reserved.</t>
  </si>
  <si>
    <t>[Ishii, S.; Seta, M.; Nakai, N.; Nagai, S.; Miyagawa, N.] Univ Tsukuba, Inst Phys, Tsukuba, Ibaraki 3058571, Japan; [Yamauchi, A.] Natl Astron Observ Japan, Mizusawa VERA Observ, Mitaka, Tokyo 1818588, Japan; [Motoyama, H.] Natl Inst Polar Res, Tachikawa, Tokyo 1908518, Japan; [Taguchi, M.] Rikkyo Univ, Coll Sci, Dept Phys, Toshima Ku, Tokyo 1718, Japan</t>
  </si>
  <si>
    <t>University of Tsukuba; National Institutes of Natural Sciences (NINS) - Japan; National Astronomical Observatory of Japan (NAOJ); Research Organization of Information &amp; Systems (ROIS); National Institute of Polar Research (NIPR) - Japan; Rikkyo University</t>
  </si>
  <si>
    <t>Ishii, S (corresponding author), Univ Tsukuba, Inst Phys, 1-1-1 Ten Nodai, Tsukuba, Ibaraki 3058571, Japan.</t>
  </si>
  <si>
    <t>s0830072@u.tsukuba.ac.jp</t>
  </si>
  <si>
    <t>Ishii, Shoken/0000-0002-5814-5494; Ishii, Shun/0000-0001-8337-4961</t>
  </si>
  <si>
    <t>National Astronomical Observatory; National Institute of Information and Communications Technology</t>
  </si>
  <si>
    <t>The authors are indebted to anonymous referees for their valuable comments. We are grateful to R. Kawabe of the Nobeyama Radio Observatory and K. Kohno and Y. Tamura of the Institute of Astronomy, University of Tokyo, for their kind support in assembling the 220 GHz radiometer. We also thank the Japanese Antarctic Expedition party and the National Institute of Polar Research for transportation and operation of the radiometer. We acknowledge S. Radford for data of optical depths at 225 GHz obtained by the NRAO radiometer. This project was financially supported in part by the National Astronomical Observatory and the National Institute of Information and Communications Technology.</t>
  </si>
  <si>
    <t>1873-9652</t>
  </si>
  <si>
    <t>1876-4428</t>
  </si>
  <si>
    <t>POLAR SCI</t>
  </si>
  <si>
    <t>Polar Sci.</t>
  </si>
  <si>
    <t>10.1016/j.polar.2009.08.001</t>
  </si>
  <si>
    <t>V33OS</t>
  </si>
  <si>
    <t>WOS:000209028700001</t>
  </si>
  <si>
    <t>Adachi, T; Hokada, T; Osanai, Y; Toyoshima, T; Baba, S; Nakano, N</t>
  </si>
  <si>
    <t>Adachi, Tatsuro; Hokada, Tomokazu; Osanai, Yasuhito; Toyoshima, Tsuyoshi; Baba, Sotaro; Nakano, Nobuhiko</t>
  </si>
  <si>
    <t>Titanium behavior in quartz during retrograde hydration: Occurrence of rutile exsolution and implications for metamorphic processes in the Sor Rondane Mountains, East Antarctica</t>
  </si>
  <si>
    <t>Rutile exsolution; Ti-in-quartz thermometer; Granulite; Hydration retrograde metamorphism; Sor Rondane Mountains</t>
  </si>
  <si>
    <t>FELDSPAR THERMOMETRY; GARNET; AMPHIBOLES; GRANULITE; COMPLEX; ROCKS; LAND</t>
  </si>
  <si>
    <t>In the central Sor Rondane Mountains, East Antarctica, orthopyroxene felsic gneiss (OPG) was converted to hornblende-biotite felsic gneiss (HBG) by hydration that accompanied the intrusion of pegmatite. The retrograde HBG contains exsolved rutile in quartz. The composition of orthopyroxene and clinopyroxene in OPG suggests a temperature of 840 degrees C (interpreted as the near-peak temperature), and the composition of hornblende and plagioclase in HBG suggests a temperature of 670-700 degrees C (interpreted as the temperature during hydration). Ti concentrations in quartz were measured using an electron probe micro-analyzer, and Ti-in-quartz thermometers were applied. Measured Ti concentrations were 110 ppm (equivalent to 760-820 degrees C) for homogeneous quartz from OPG and 35 ppm (650-700 degrees C) for an exsolution-free area of a quartz grain from HBG. The pre-exsolution Ti concentration in quartz from HBG was reconstructed with 100 mm beam diameter and 25 kV of accelerating voltage, giving 103 ppm, similar to the value obtained for homogeneous quartz in OPG. The temperatures obtained using a Ti-in-quartz thermometer are consistent with those estimated using other thermometers. Although analysis of the main constitute minerals in HBG yields the conditions of hydration, the reconstructed pre-exsolution Ti content in quartz within HBG yields the pre-hydration conditions. Thus, the Ti-in-quartz thermometer is a potentially powerful tool with which to identify the peak or near-peak temperature conditions, even for retrogressed metamorphic rocks. (C) 2009 Elsevier B.V. and NIPR All rights reserved.</t>
  </si>
  <si>
    <t>[Adachi, Tatsuro; Hokada, Tomokazu] Grad Univ Adv Studies, Sch Multidisciplinary Sci, Dept Polar Sci, Tachikawa, Tokyo 1908518, Japan; [Hokada, Tomokazu] Natl Inst Polar Res, Tachikawa, Tokyo 1908518, Japan; [Osanai, Yasuhito; Nakano, Nobuhiko] Kyushu Univ, Fac Social andCultural Studies, Nishi Ku, Fukuoka 8190395, Japan; [Toyoshima, Tsuyoshi] Niigata Univ, Grad Sch Sci &amp; Technol, Niigata 9502181, Japan; [Baba, Sotaro] Univ Ryukyus, Dept Nat Environm, Nishihara, Okinawa 9030213, Japan</t>
  </si>
  <si>
    <t>Graduate University for Advanced Studies - Japan; Research Organization of Information &amp; Systems (ROIS); National Institute of Polar Research (NIPR) - Japan; Kyushu University; Niigata University; University of the Ryukyus</t>
  </si>
  <si>
    <t>Adachi, T (corresponding author), 10-3 Midori Cho, Tokyo 1908518, Japan.</t>
  </si>
  <si>
    <t>t-adachi@nipr.ac.jp</t>
  </si>
  <si>
    <t>Baba, Sotaro/H-3107-2013; Hokada, Tomokazu/AAC-7847-2019; Baba, Sotaro/AGX-7968-2022; Baba, Sotaro/HGU-7234-2022</t>
  </si>
  <si>
    <t>Baba, Sotaro/0000-0003-2969-9575; Baba, Sotaro/0000-0003-2969-9575; Baba, Sotaro/0000-0003-2969-9575</t>
  </si>
  <si>
    <t>Graduate University for Advanced Studies; Japan Polar Research Association; Grants-in-Aid for Scientific Research [21253008] Funding Source: KAKEN</t>
  </si>
  <si>
    <t>Graduate University for Advanced Studies; Japan Polar Research Association; Grants-in-Aid for Scientific Research(Ministry of Education, Culture, Sports, Science and Technology, Japan (MEXT)Japan Society for the Promotion of ScienceGrants-in-Aid for Scientific Research (KAKENHI))</t>
  </si>
  <si>
    <t>We would like to express our sincere thanks to the members of the 48th and 49th Japan Antarctic Research Expeditions (JARE), and the crew of the icebreaker Shirase. T.A. acknowledges Profs. Y. Motoyoshi and K. Shiraishi for enabling him to participate in JARE. We greatly appreciate the constructive reviews and suggestions of two anonymous reviewers. The cost to T.A. of conducting field work in Antarctica was offset in part by grants-in-aid from the Graduate University for Advanced Studies and the Japan Polar Research Association.</t>
  </si>
  <si>
    <t>10.1016/j.polar.2009.08.005</t>
  </si>
  <si>
    <t>WOS:000209028700002</t>
  </si>
  <si>
    <t>Takahashi, KT; Kawaguchi, S; Hosie, GW; Toda, T; Naganobu, M; Fukuchi, M</t>
  </si>
  <si>
    <t>Takahashi, Kunio T.; Kawaguchi, So; Hosie, Graham W.; Toda, Tatsuki; Naganobu, Mikio; Fukuchi, Mitsuo</t>
  </si>
  <si>
    <t>Surface zooplankton distribution in the Drake Passage recorded by Continuous Plankton Recorder (CPR) in late austral summer of 2000</t>
  </si>
  <si>
    <t>Continuous Plankton Recorder; Drake Passage; Zooplankton; Copepod; Discovery Expedition</t>
  </si>
  <si>
    <t>We investigated the composition, distribution, and abundance of zooplankton in the Drake Passage in February 2000 using a Continuous Plankton Recorder. Zooplankton abundance varied considerably, between 1 and 1537 individuals/segment (where a segment is 5 nautical miles of surface towing) (mean +/- SD = 121.3 +/- 200.9). The highest abundances were recorded in the vicinity of the Polar Front (PF). Abundances increased at low latitudes north of the Sub-Antarctic Front (SAF) and decreased northward. A positive correlation was observed between zooplankton abundance and chlorophyll a concentration, reflecting the higher abundance of zooplankton north of the SAF, where higher abundances of phytoplankton were also observed. A total of 21 species/taxa of zooplankton were classified. Small calanoid copepods were found throughout the transect and accounted for 57.5% of total zooplankton abundance, followed by the Cyclopoid copepods Oithona spp. (25.9%) and Calanus simillimus (8.4%). The results of cluster analyses reveal that small calanoid copepods were the most important contributors to the high zooplankton abundance around the PF and north of the SAF in the Drake Passage. We suggest that a change in species composition has occurred since Hardy's descriptions in 1927, from abundant larger copepods and chaetognaths to smaller copepods and other species. (C) 2009 Elsevier B.V. and NIPR All rights reserved.</t>
  </si>
  <si>
    <t>[Takahashi, Kunio T.; Toda, Tatsuki] Soka Univ, Fac Engn, Hachioji, Tokyo 1928577, Japan; [Kawaguchi, So; Hosie, Graham W.] Australian Antarctic Div, Kingston, Tas 7050, Australia; [Naganobu, Mikio] Natl Res Inst Far Seas Fisheries, Kanazawa Ku, Yokohama, Kanagawa 2368648, Japan; [Takahashi, Kunio T.; Fukuchi, Mitsuo] Natl Inst Polar Res, Tachikawa, Tokyo 1908518, Japan</t>
  </si>
  <si>
    <t>Soka University; Australian Antarctic Division; Japan Fisheries Research &amp; Education Agency (FRA); Research Organization of Information &amp; Systems (ROIS); National Institute of Polar Research (NIPR) - Japan</t>
  </si>
  <si>
    <t>Takahashi, KT (corresponding author), Natl Inst Polar Res, 10-3 Midori Cho, Tachikawa, Tokyo 1908518, Japan.</t>
  </si>
  <si>
    <t>takahashi.kunio@nipr.ac.jp</t>
  </si>
  <si>
    <t>Kawaguchi, So/0000-0002-2042-5095; Toda, Tatsuki/0000-0001-9279-030X</t>
  </si>
  <si>
    <t>10.1016/j.polar.2009.08.004</t>
  </si>
  <si>
    <t>WOS:000209028700003</t>
  </si>
  <si>
    <t>Lurman, GJ; Macdonald, JA; Evans, CW</t>
  </si>
  <si>
    <t>Lurman, Glenn J.; Macdonald, John A.; Evans, Clive W.</t>
  </si>
  <si>
    <t>Evaluating the impact of environmental pollution on fish in McMurdo Sound, Antarctica: A biomarker approach</t>
  </si>
  <si>
    <t>Ecotoxicology; Antarctic fish; PAH; PCB; Biomarker; Pollution; Cytochrome P450</t>
  </si>
  <si>
    <t>POLYCYCLIC AROMATIC-HYDROCARBONS; BENTHIC MARINE POLLUTION; WINTER QUARTERS BAY; TREMATOMUS-BERNACCHII; POLYCHLORINATED-BIPHENYLS; CONTAMINANT EXPOSURE; PUGET-SOUND; INDUCTION; METABOLITES; SEDIMENT</t>
  </si>
  <si>
    <t>To assess the ongoing effects of anthropogenic pollutants on the Winter Quarters Bay (WQB) fauna, resident Trematomus hansoni and T. hansoni from a control site, Backdoor Bay (BDB) were caught. A suite of biomarkers, namely ethoxyresorufin-o-deethylase (EROD), pentoxyresorufin-o-deethylase (PROD), as well as biliary naphthalene and phenanthrene were measured. EROD activity was significantly higher in the WQB resident T. hansoni, while the remaining parameters were unaffected, and no differences in the hepatosomatic index or condition factor were evident. Additionally, Trematomus bernacchii were collected from BDB and placed in cages within WQB and at Cape Armitage (another control site near McMurdo Station) for 2 and 4 weeks. No differences in EROD and PROD activities were found between any of the caged T. bernacchii. Naphthalene was significantly elevated in WQB caged T. bernacchii after both 2 and 4 weeks even though phenanthrene was elevated in WQB caged fish only after 4 weeks. Again, there were no significant morphological differences between groups. It is evident from both the resident and caged fish that the legacy left by the pollution in WQB is still affecting the local marine fauna. (C) 2009 Elsevier B.V. and NIPR. All rights reserved.</t>
  </si>
  <si>
    <t>[Lurman, Glenn J.; Macdonald, John A.; Evans, Clive W.] Univ Auckland, Sch Biol Sci, Auckland, New Zealand</t>
  </si>
  <si>
    <t>Lurman, GJ (corresponding author), Univ Bern, Inst Anat, CH-3000 Bern 9, Switzerland.</t>
  </si>
  <si>
    <t>Evans, Clive/AAZ-4699-2021</t>
  </si>
  <si>
    <t>Evans, Clive/0000-0003-2888-842X</t>
  </si>
  <si>
    <t>University of Auckland Research Committee</t>
  </si>
  <si>
    <t>We thank the University of Auckland Research Committee for financial support and Antarctic New Zealand and the team at Scott Base 1999/2000 for their help and expertise.</t>
  </si>
  <si>
    <t>10.1016/j.polar.2009.12.001</t>
  </si>
  <si>
    <t>WOS:000209028700004</t>
  </si>
  <si>
    <t>Kozeretska, IA; Parnikoza, IY; Mustafa, O; Tyschenko, OV; Korsun, SG; Convey, P</t>
  </si>
  <si>
    <t>Kozeretska, I. A.; Parnikoza, I. Yu.; Mustafa, O.; Tyschenko, O. V.; Korsun, S. G.; Convey, P.</t>
  </si>
  <si>
    <t>Development of Antarctic herb tundra vegetation near Arctowski station, King George Island</t>
  </si>
  <si>
    <t>Flowering plants; Colonization; Maritime Antarctic; Deglaciation</t>
  </si>
  <si>
    <t>We studied the development of the Antarctic herb tundra vegetation formation in relation to the history of deglaciation across a range of habitats near H. Arctowski Research Station (King George Island, South Shetland Islands). Across the three identified environmental zones (coastal, intermediate, periglacial), we quantified the total vegetation cover, cover of the two indigenous flowering plants and bryophytes, age structure and reproductive features of the two flowering plants, and species diversity of mosses and liverworts. Analysis of these data supported the recognition of the three environmental zones; however, there were few indications of systematic differences in biological features of the two higher plants across the three zones, generally supporting the view that these, and the grass Deschampsia antarctica in particular, are effective primary colonists of recently deglaciated ground in this region. (C) 2009 Elsevier B.V. and NIPR All rights reserved.</t>
  </si>
  <si>
    <t>[Kozeretska, I. A.; Parnikoza, I. Yu.; Tyschenko, O. V.] Natl Taras Shevchenko Univ Kyiv, UA-01033 Kiev, Ukraine; [Mustafa, O.] Friedrich Schiller Univ, D-07743 Jena, Germany; [Korsun, S. G.] Ukrainian Acad Agrarian Sci, Natl Sci Ctr, Inst Agr, UA-03103 Kiev, Ukraine; [Convey, P.] British Antarctic Survey, NERC, Cambridge CB3 0ET, England</t>
  </si>
  <si>
    <t>Ministry of Education &amp; Science of Ukraine; Taras Shevchenko National University of Kyiv; Friedrich Schiller University of Jena; National Academy of Agrarian Sciences of Ukraine; UK Research &amp; Innovation (UKRI); Natural Environment Research Council (NERC); NERC British Antarctic Survey</t>
  </si>
  <si>
    <t>Parnikoza, IY (corresponding author), Natl Taras Shevchenko Univ Kyiv, Volodymyrska Str 64, UA-01033 Kiev, Ukraine.</t>
  </si>
  <si>
    <t>kozeri@gmail.com</t>
  </si>
  <si>
    <t>Convey, Peter/AAV-5728-2020; Tyshchenko, Oksana/GLU-2147-2022; Parnikoza, Ivan/I-2398-2016; Ivan, Parnikoza/O-2781-2019; Kozeretska, Iryna/F-1383-2010</t>
  </si>
  <si>
    <t>Convey, Peter/0000-0001-8497-9903; Tyshchenko, Oksana/0000-0002-5709-1252; Ivan, Parnikoza/0000-0002-0490-8134; Kozeretska, Iryna/0000-0002-6485-1408; Mustafa, Osama/0000-0002-1548-0647</t>
  </si>
  <si>
    <t>Department of Antarctic Biology of the Polish Academy of Sciences; Ukrainian National Science Antarctic Center; NERC [bas0100025] Funding Source: UKRI; Natural Environment Research Council [bas0100025] Funding Source: researchfish</t>
  </si>
  <si>
    <t>Department of Antarctic Biology of the Polish Academy of Sciences; Ukrainian National Science Antarctic Center; NERC(UK Research &amp; Innovation (UKRI)Natural Environment Research Council (NERC)); Natural Environment Research Council(UK Research &amp; Innovation (UKRI)Natural Environment Research Council (NERC))</t>
  </si>
  <si>
    <t>We thank Antonio Batista Pereira for access to satellite imagery, D. Inozemtseva for assistance in map preparation, and M. Shevchenko and M. Mamenko for help with translation. Fieldwork was supported by the Department of Antarctic Biology of the Polish Academy of Sciences and the Ukrainian National Science Antarctic Center; we particularly thank Prof. S. Rakusa-Suszczewski. Anonymous reviewers are thanked for their constructive suggestions. This study contributes to the SCAR 'Evolution and Biodiversity in Antarctica' and Impact of Climate Induced Glacial Melting on Marine and Terrestric Coastal Communities on a Gradient along the Western Antarctic Peninsula'' and BAS 'Ecosystems' research programs.</t>
  </si>
  <si>
    <t>10.1016/j.polar.2009.10.001</t>
  </si>
  <si>
    <t>WOS:000209028700005</t>
  </si>
  <si>
    <t>Kimura, S; Ban, S; Imura, S; Kudoh, S; Matsuzaki, M</t>
  </si>
  <si>
    <t>Kimura, Shigeko; Ban, Syuhei; Imura, Satoshi; Kudoh, Sakae; Matsuzaki, Masahiro</t>
  </si>
  <si>
    <t>Limnological characteristics of vertical structure in the lakes of Syowa Oasis, East Antarctica</t>
  </si>
  <si>
    <t>Antarctic lakes; Hypersaline lakes; Marine relic lakes; Physicochemical characteristics; Vertical structures</t>
  </si>
  <si>
    <t>FRESH-WATER</t>
  </si>
  <si>
    <t>We investigated the vertical structure of physicochemical properties in 27 lakes at Skarvsnes and Langhovde, Syowa Oasis, East Antarctica, from December 2003 to February 2004. The lakes were classified into three types based on their origin and geographical characteristics: non-marine relic lakes, marine relic and lotic lakes, and marine relic and lentic lakes. We describe the physicochemical characteristics of each lake type. When the non-marine relic lakes were partly covered with ice, the water column was stratified beneath the ice. In the non-marine relic lakes, during the season with no ice cover, physicochemical parameters were uniform throughout the water column, probably due to frequent vertical mixing induced by wind force and thermal convection within the shallow basins. Similarly, in marine relic and lotic lakes, lake waters appeared to be completely mixed because of a large inflow of meltwater from glaciers and outflow to other lakes and the coastal sea. In the marine relic and lentic lakes, except for Lake Himebati-ike, the lake water was vertically stratified with a strong halocline. In Lakes Suribati-ike and Hunazoko-ike, salinity was very high ( up to 20%) due to evapoconcentration. Lake Suribati-ike is a meromictic lake, with a monimolimnion developed below 10 m water depth. (C) 2009 Elsevier B.V. and NIPR. All rights reserved.</t>
  </si>
  <si>
    <t>[Kimura, Shigeko; Ban, Syuhei] Univ Shiga Prefecture, Hikone, Shiga 5228533, Japan; [Imura, Satoshi; Kudoh, Sakae] Natl Inst Polar Res, Tachikawa, Tokyo 1908518, Japan; [Matsuzaki, Masahiro] Hiroshima Univ, Higashihiroshima, Hiroshima 7398526, Japan</t>
  </si>
  <si>
    <t>University Shiga Prefecture; Research Organization of Information &amp; Systems (ROIS); National Institute of Polar Research (NIPR) - Japan; Hiroshima University</t>
  </si>
  <si>
    <t>Ban, S (corresponding author), Univ Shiga Prefecture, 2500 Hassaka Cho, Hikone, Shiga 5228533, Japan.</t>
  </si>
  <si>
    <t>ban@ses.usp.ac.jp</t>
  </si>
  <si>
    <t>Ban, Syuhei/0000-0002-7168-5583</t>
  </si>
  <si>
    <t>10.1016/j.polar.2009.08.002</t>
  </si>
  <si>
    <t>WOS:000209028700006</t>
  </si>
  <si>
    <t>Yoshida, M</t>
  </si>
  <si>
    <t>Yoshida, Masaru</t>
  </si>
  <si>
    <t>Discovery of the Yamato Meteorites in 1969</t>
  </si>
  <si>
    <t>Meteorite; Yamato Mountains; Meteorite search; Yamato Meteorites; Antarctic Meteorites</t>
  </si>
  <si>
    <t>The first discovery of Yamato Meteorites by an inland survey team of the Japanese Antarctic Research Expedition (JARE) in 1969 was reported by Yoshida et al. (1971). However, there are important events, issues, and data related to this discovery that have so far not been published. Prior to the author's departure for Antarctica, M. Gorai suggested the author to consider collecting meteorites during the trip. On 21 December 1969, when geodetic measurements for the 250 km span of a triangulation chain were approaching its completion, members of the inland survey team collected three stones on the surface of the ice sheet in the southeastern marginal area of the Yamato Mountains. The author realized that these rocks were possibly meteorites, recalled the suggestion by M. Gorai, and requested all members of the team to collect other possible meteorites while conducting the geodetic survey. After returning to Japan, the nine stones collected in Antarctica were all identified as meteorites by M. Gorai. The concept of a mechanism by which meteorites became concentrated in the area in which they were found, involving the flow, structure, and ablation of the ice sheet, was developed in the field in 1969 during the collection program, and was mentioned briefly in Yoshida et al. (1971); a schematic figure was shown in a Japanese newspaper in the same year. With all these as background, further collections of meteorites in the Yamato Mountains were conducted in the 1973 and 1974-1975 seasons, and a project involving the collection of meteorites was formally incorporated as an important component of the work undertaken by the geology group within JARE from the 1975-1976 season onwards. (C) 2009 Elsevier B.V. and NIPR. All rights reserved.</t>
  </si>
  <si>
    <t>Gondwana Inst Geol &amp; Environm, Hashimoto 6480091, Japan</t>
  </si>
  <si>
    <t>Yoshida, M (corresponding author), Gondwana Inst Geol &amp; Environm, Hashimoto 6480091, Japan.</t>
  </si>
  <si>
    <t>gondwana@gaia.eonet.ne.jp</t>
  </si>
  <si>
    <t>10.1016/j.polar.2009.11.001</t>
  </si>
  <si>
    <t>WOS:000209028700007</t>
  </si>
  <si>
    <t>Stonehouse, B; Snyder, JM</t>
  </si>
  <si>
    <t>Stonehouse, Bernard; Snyder, John M.</t>
  </si>
  <si>
    <t>Arctic and Antarctic: Polar Regions and Environments</t>
  </si>
  <si>
    <t>POLAR TOURISM: AN ENVIRONMENTAL PERSPECTIVE</t>
  </si>
  <si>
    <t>Aspects of Tourism</t>
  </si>
  <si>
    <t>MULTILINGUAL MATTERS LTD</t>
  </si>
  <si>
    <t>CLEVEDON</t>
  </si>
  <si>
    <t>FRANKFURT LODGE, CLEVEDON HALL, VICTORIA RD,, CLEVEDON BS21 7HH, AVON, ENGLAND</t>
  </si>
  <si>
    <t>978-1-84541-147-3; 978-1-84541-146-6</t>
  </si>
  <si>
    <t>ASPEC TOUR</t>
  </si>
  <si>
    <t>BAY00</t>
  </si>
  <si>
    <t>WOS:000305996300002</t>
  </si>
  <si>
    <t>Antarctic Tourism: History and Development</t>
  </si>
  <si>
    <t>WOS:000305996300004</t>
  </si>
  <si>
    <t>Southern Oceans and Antarctic Tourism</t>
  </si>
  <si>
    <t>WOS:000305996300009</t>
  </si>
  <si>
    <t>Dabrowska-Prot, E; Wasilowska, A</t>
  </si>
  <si>
    <t>Dabrowska-Prot, Eliza; Wasilowska, Agnieszka</t>
  </si>
  <si>
    <t>ECOLOGICAL IMPORTANCE OF MEADOW PATCHES IN PROTECTED FOREST AREA: FLORISTIC DIVERSITY AND THE DYNAMICS OF INSECT COMMUNITIES</t>
  </si>
  <si>
    <t>POLISH JOURNAL OF ECOLOGY</t>
  </si>
  <si>
    <t>national park; mid-forest meadow; near-forest meadow; forest ecotone; plant species distribution; Chloropidae community</t>
  </si>
  <si>
    <t>PLANT-SPECIES RICHNESS; GRASSLANDS</t>
  </si>
  <si>
    <t>The present studies deal with the practical and theoretical problems of meadows in structure and functioning of the forest complex. Floristic, phytosociological and entomological studies involved fragments of two meadows located in large forest complex Kampinos National Park (Central Poland): a 'mid-forest' meadow surrounded by forest and 'near-forest' meadow situated in the boundary between forest and open area. The plant community developed on mid-forest meadow can be classified as Lysimachio-Filipenduletum ulmarie Had et al. 1997, on near-forest meadow as Deschampsietum caespitose Horvatic 1930. Both studied meadow communities are very widespread in Kampinos National Park and in whole Poland. Insect community containing various trophic guilds from Chloropidae family (Diptera) was chosen as representative of the entomocoenosis. From the standpoint of landscape ecology the processes of plant and insects species dispersion from meadow to forest and vice versa, across the forest meadow ecotone were analysed. The obtain results revealed that the meadows and their ecotones are refuge habitats for many plant and Chloropidae species increasing plant and entomofauna biodiversity of forest landscape. Proximity of meadows did not cause significant changes in the floristic composition of forest vegetation. Fears concerning the negative impact of meadows on natural forest vegetation through penetration of alien plant species and phytophagous Chloropidae seem to be unfounded. Ecotone was an important barrier for most plant and Chloropidae species in their dispersion from meadow to forest and vice versa. In the case of mid-forest meadow 93% of plant species did not cross ecotone, for near-forest meadow it was 83%. A high index of dispersion of Chloropidae species in mid-forest transect and poor differentiation of their numbers between zones indicate substantial colonisation of the whole system by Chloropidae, however, ecological properties of this fauna (saprophage species, a lack of distinct dominant, low density) minimised the risk it might pose to meadow complex or to adjacent forest. Near-forest meadow with much richer and diverse Chloropidae fauna contributed minimally to the fauna of ecotone and adjacent forest. Only 25% of species number of Chloropidae colonised all zones of the transect there and their majority (55%) exclusively inhabited the meadow ecosystem. It was found, that, from the point of view of natural forest protection, the role of adjacent meadows is very significant. They make 'traps' for certain groups of phytophagous insects.</t>
  </si>
  <si>
    <t>[Dabrowska-Prot, Eliza; Wasilowska, Agnieszka] Polish Acad Sci, Dept Antarctic Biol, PL-02141 Warsaw, Poland</t>
  </si>
  <si>
    <t>Polish Academy of Sciences</t>
  </si>
  <si>
    <t>Wasilowska, A (corresponding author), Polish Acad Sci, Dept Antarctic Biol, Ustrzycka 10-12, PL-02141 Warsaw, Poland.</t>
  </si>
  <si>
    <t>agawasilowska@wp.pl</t>
  </si>
  <si>
    <t>Wasilowska, Agnieszka/0000-0002-9538-593X</t>
  </si>
  <si>
    <t>POLISH ACAD SCIENCES INST ECOLOGY</t>
  </si>
  <si>
    <t>LOMIANKI</t>
  </si>
  <si>
    <t>DZIEKANOW LESNY NEAR WARSAW, 05-092 LOMIANKI, POLAND</t>
  </si>
  <si>
    <t>1505-2249</t>
  </si>
  <si>
    <t>POL J ECOL</t>
  </si>
  <si>
    <t>Pol. J. Ecol.</t>
  </si>
  <si>
    <t>699QY</t>
  </si>
  <si>
    <t>WOS:000285679100013</t>
  </si>
  <si>
    <t>Chwedorzewska, KJ; Korczak, M</t>
  </si>
  <si>
    <t>Chwedorzewska, Katarzyna J.; Korczak, Malgorzata</t>
  </si>
  <si>
    <t>Human impact upon the environment in the vicinity of Arctowski Station, King George Island, Antarctica</t>
  </si>
  <si>
    <t>POLISH POLAR RESEARCH</t>
  </si>
  <si>
    <t>Antarctica; King George Island; human impact</t>
  </si>
  <si>
    <t>POPULATION TRENDS; POINTE-GEOLOGIE; SKUA; SHETLAND; ADELIE; SEALS</t>
  </si>
  <si>
    <t>During thirty three expeditions to the Polish Arctowski Antarctic Station significant influences of human activity upon the environment have been recorded. Introductions of alien species, shifts of bird and seal breeding areas and decreases in both bird and seal populations, are the most obvious effects of human pressure. Though numbers of visits by tourists have increased during this period, impacts from expeditioners appear to be the main cause of changes. In particular, increasing numbers and mobility of summer groups at the station are the likely most influential factors.</t>
  </si>
  <si>
    <t>[Chwedorzewska, Katarzyna J.; Korczak, Malgorzata] Polish Acad Sci, Zaklad Biol Antarktyki, PL-02141 Warsaw, Poland</t>
  </si>
  <si>
    <t>Chwedorzewska, KJ (corresponding author), Polish Acad Sci, Zaklad Biol Antarktyki, Ustrzycka 10-12, PL-02141 Warsaw, Poland.</t>
  </si>
  <si>
    <t>kchwedorzewska@go2.pl; korczakm@gmail.com</t>
  </si>
  <si>
    <t>Chwedorzewska, Katarzyna/M-9721-2019; Korczak-Abshire, Malgorzata/AAA-1563-2020; Chwedorzewska, Katarzyna J/A-9480-2008</t>
  </si>
  <si>
    <t>Chwedorzewska, Katarzyna/0000-0001-6860-3666; Korczak-Abshire, Malgorzata/0000-0001-7695-0588;</t>
  </si>
  <si>
    <t>[IPY/27/2007]</t>
  </si>
  <si>
    <t>The authors wish to thank Piotr Angiel M.Sc., Anna Gasek, Dr Tomasz Janecki, Michal Juszynski, Tomasz Lekarski M.Sc, Dr Piotr Osyczka, Jaroslaw Roszczyk and Tadeusz Sobczak M. Sc, who collected data during 22nd, 31st, 32nd, 33rd Polish Antarctic Expeditions on Arctowski Station. We would like to thank Dr Wayne Trivelpiece for information about census data of skuas and southern giant petrels in ASPA 128. Authors would like to thank especially Professor Maria Olech for help and support. This research was supported by grant IPY/27/2007.</t>
  </si>
  <si>
    <t>POLSKA AKAD NAUK, POLISH ACAD SCIENCES</t>
  </si>
  <si>
    <t>WARSZAWA</t>
  </si>
  <si>
    <t>PL DEFILAD 1, WARSZAWA, 00-901, POLAND</t>
  </si>
  <si>
    <t>0138-0338</t>
  </si>
  <si>
    <t>2081-8262</t>
  </si>
  <si>
    <t>POL POLAR RES</t>
  </si>
  <si>
    <t>Pol. Polar. Res.</t>
  </si>
  <si>
    <t>10.4202/ppres.2010.04</t>
  </si>
  <si>
    <t>578SA</t>
  </si>
  <si>
    <t>WOS:000276314300004</t>
  </si>
  <si>
    <t>Majewski, W</t>
  </si>
  <si>
    <t>Majewski, Wojciech</t>
  </si>
  <si>
    <t>Benthic foraminifera from West Antarctic fiord environments: An overview</t>
  </si>
  <si>
    <t>Antarctica; King George Island; Admiralty Bay; Foraminifera</t>
  </si>
  <si>
    <t>KING-GEORGE-ISLAND; SOUTH SHETLAND ISLANDS; WEDDELL SEA; EXPLORERS-COVE; MONOTHALAMOUS FORAMINIFERAN; ICE SHELF; AGGLUTINATED FORAMINIFER; ALLOGROMIID FORAMINIFERA; CACO3 DISSOLUTION; ARTHUR-HARBOR</t>
  </si>
  <si>
    <t>After several years of research, the foraminiferal fauna of Admiralty Bay (King George Island, South Shetland Islands) has become the most studied fiord in West Antarctica with respect to foraminifera. As such, it provides actualistic data for better understanding of paleoenvironmental records from this dynamically changing area. Over a few years, the bay was systematically sampled down to 520 m water depth, for multi-chambered and monothalamous benthic foraminifera, including soft-walled allogromiids often overlooked in former studies. Altogether, 138 taxa were identified, and three new taxa described. This paper aims to integrate these results, put them into a broader perspective, and supplement them with information that was not presented to date. Most notably, a record of the vertical distribution of Rose Bengal stained foraminifera below the sediment surface and the proportions of soft and robustly-testate forms at different sites are described.</t>
  </si>
  <si>
    <t>Inst Paleobiol PAN, PL-00818 Warsaw, Poland</t>
  </si>
  <si>
    <t>Polish Academy of Sciences; Institute of Paleobiology of the Polish Academy of Sciences</t>
  </si>
  <si>
    <t>Majewski, W (corresponding author), Inst Paleobiol PAN, Twarda 51-55, PL-00818 Warsaw, Poland.</t>
  </si>
  <si>
    <t>wmaj@twarda.pan.pl</t>
  </si>
  <si>
    <t>10.4202/ppres.2010.05</t>
  </si>
  <si>
    <t>WOS:000276314300005</t>
  </si>
  <si>
    <t>Uchman, A; Gazdzicki, A</t>
  </si>
  <si>
    <t>Uchman, Alfred; Gazdzicki, Andrzej</t>
  </si>
  <si>
    <t>Phymatoderma melvillensis isp nov and other trace fossils from the Cape Melville Formation (Lower Miocene) of King George Island, Antarctica</t>
  </si>
  <si>
    <t>Antarctica; King George Island; Cape Melville Formation; ichnofossils; Miocene; glacio-marine strata</t>
  </si>
  <si>
    <t>MARINE STRATA; PALAEOPHYCUS; PLANOLITES; OLIGOCENE; DEPOSITS; FACIES; BASIN</t>
  </si>
  <si>
    <t>Trace fossils Phymatoderma melvillensis isp. nov., Thalassinoides isp., ? Nereites isp. and Planolites isp. are reported from the glacio-marine sediments of the Cape Melville Formation (Lower Miocene) of King George Island, West Antarctica. Their occurrence and strong bioturbation of sediments point to an offshore or deeper (outer shelf or upper slope) environment. Deep marine crab Antarctidromia inflata Forster, 1985, has been found in Thalassinoides isp. The tracemaker (? crustacean) of Phymatoderma melvillensis re-reworked pelletal sediments probably during times of food deficiency.</t>
  </si>
  <si>
    <t>[Uchman, Alfred] Uniwersytet Jagiellonski, Inst Nauk Geologicznych, PL-30063 Krakow, Poland; [Gazdzicki, Andrzej] Polish Acad Sci, Inst Paleobiol, PL-00818 Warsaw, Poland</t>
  </si>
  <si>
    <t>Jagiellonian University; Polish Academy of Sciences; Institute of Paleobiology of the Polish Academy of Sciences</t>
  </si>
  <si>
    <t>Uchman, A (corresponding author), Uniwersytet Jagiellonski, Inst Nauk Geologicznych, Oleandry 2A, PL-30063 Krakow, Poland.</t>
  </si>
  <si>
    <t>alfred.uchman@uj.edu.pl; gazdzick@twarda.pan.pl</t>
  </si>
  <si>
    <t>Andrzej, Gazdzicki/AAW-2137-2020</t>
  </si>
  <si>
    <t>Andrzej, Gazdzicki/0000-0003-2001-3282; Uchman, Alfred/0000-0002-0591-777X</t>
  </si>
  <si>
    <t>Polish Academy of Sciences [MR.I.29]; Jagiellonian University; SCAR Scientific Research Programme Antarctic Climate Evolution (ACE)</t>
  </si>
  <si>
    <t>Polish Academy of Sciences; Jagiellonian University; SCAR Scientific Research Programme Antarctic Climate Evolution (ACE)</t>
  </si>
  <si>
    <t>The field work on Cape Melville was supported by the Polish Academy of Sciences (Research Project MR.I.29). We thank Rodney M. Feldmann (Kent, Ohio) for critical remarks and improvement of the manuscript. A.U. was supported by the Jagiellonian University (DS funds). We would like to extend our thanks to Aleksandra Holda-Michalska for assistance with the preparation of the figures. A contribution to the SCAR Scientific Research Programme Antarctic Climate Evolution (ACE).</t>
  </si>
  <si>
    <t>10.4202/ppres.2010.06</t>
  </si>
  <si>
    <t>WOS:000276314300006</t>
  </si>
  <si>
    <t>Mozer, A</t>
  </si>
  <si>
    <t>Mozer, Anna</t>
  </si>
  <si>
    <t>Authigenic pyrite framboids in sedimentary facies of the Mount Wawel Formation (Eocene), King George Island, West Antarctica</t>
  </si>
  <si>
    <t>Antarctica; King George Island; Eocene; framboidal pyrite; bacterial sulphate reduction; sulphur isotopes</t>
  </si>
  <si>
    <t>BACTERIAL SULFATE REDUCTION; SOUTH SHETLAND ISLANDS; ISOTOPE FRACTIONATION; MARINE-SEDIMENTS; HYDROGEN-SULFIDE; SULFUR; IRON; CONSTRAINTS; MORPHOLOGY; INDICATOR</t>
  </si>
  <si>
    <t>Pyrite framboids occur in loose blocks of plant-bearing clastic rocks related to volcano-sedimentary succession of the Mount Wawel Formation (Eocene) in the Dragon and Wanda glaciers area at Admiralty Bay, King George Island, West Antarctica. They were investigated by means of optical and scanning electron microscopy, energy-dispersive spectroscopy, X-ray diffraction, and isotopic analysis of pyritic sulphur. The results suggest that the pyrite formed as a result of production of hydrogen sulphide by sulphate reducing bacteria in near surface sedimentary environments. Strongly negative delta(34)S(VCDT) values of pyrite (-30 -25 parts per thousand) support its bacterial origin. Perfect shapes of framboids resulted from their growth in the open pore space of clastic sediments. The abundance of framboids at certain sedimentary levels and the lack or negligible content of euhedral pyrite suggest pulses of high supersaturation with respect to iron monosulphides. The dominance of framboids of small sizes (8-16 mu m) and their homogeneous distribution at these levels point to recurrent development of a laterally continuous anoxic sulphidic zone below the sediment surface. Sedimentary environments of the Mount Wawel Formation developed on islands of the young magmatic arc in the northern Antarctic Peninsula region. They embraced stagnant and flowing water masses and swamps located in valleys, depressions, and coastal areas that were covered by dense vegetation. Extensive deposition and diagenesis of plant detritus in these environments promoted anoxic conditions in the sediments, and a supply of marine and/or volcanogenic sulphate enabled its bacterial reduction, precipitation of iron monosulphides, and their transformation to pyrite framboids.</t>
  </si>
  <si>
    <t>[Mozer, Anna] Inst Nauk Geol PAN, Osrodek Badawczy Warszawie, PL-00818 Warsaw, Poland; [Mozer, Anna] Zaklad Biol Antarktyki PAN, PL-02141 Warsaw, Poland</t>
  </si>
  <si>
    <t>Polish Academy of Sciences; Institute of Geological Sciences of the Polish Academy of Sciences; Polish Academy of Sciences</t>
  </si>
  <si>
    <t>Mozer, A (corresponding author), Inst Nauk Geol PAN, Osrodek Badawczy Warszawie, Twarda 51-55, PL-00818 Warsaw, Poland.</t>
  </si>
  <si>
    <t>amozer@twarda.pan.pl</t>
  </si>
  <si>
    <t>Ministry of Science and Higher Education [DWM/N8IPY/2008]</t>
  </si>
  <si>
    <t>Ministry of Science and Higher Education(Ministry of Science and Higher Education, Poland)</t>
  </si>
  <si>
    <t>This paper was supported by a research project of the Ministry of Science and Higher Education No. DWM/N8IPY/2008. I am grateful to K.P. Krajewski and to A. Tatur for providing me with analytical material for this study as well as for helpful discussions and comments. I also thank B. Lacka, P. Zawidzki and R. Orlowski for their help during laboratory work. The sulphur isotope analysis was done at the Stable Isotope Laboratory, Institute of Geological Sciences, Polish Academy of Sciences, in Warszawa. Special thanks are due to the reviewers K. Birkenmajer and D.P.G. Bond, whose comments have improved this paper.</t>
  </si>
  <si>
    <t>POLISH ACAD SCIENCES COMMITTEE POLAR RESEARCH</t>
  </si>
  <si>
    <t>WARSAW</t>
  </si>
  <si>
    <t>KSIECIA JANUSZA 64, 01-452 WARSAW, POLAND</t>
  </si>
  <si>
    <t>10.2478/v10183-010-0004-2</t>
  </si>
  <si>
    <t>662VX</t>
  </si>
  <si>
    <t>WOS:000282843500004</t>
  </si>
  <si>
    <t>Kidawa, A; Potocka, M; Janecki, T</t>
  </si>
  <si>
    <t>Kidawa, Anna; Potocka, Marta; Janecki, Tomasz</t>
  </si>
  <si>
    <t>The effects of temperature on the behaviour of the Antarctic sea star Odontaster validus</t>
  </si>
  <si>
    <t>Antarctica; asteroid; temperature; stress; behaviour</t>
  </si>
  <si>
    <t>SOUTHERN-OCEAN; MARINE-INVERTEBRATES; LATERNULA-ELLIPTICA; THERMAL TOLERANCE; YOLDIA-EIGHTSI; CLIMATE-CHANGE; METABOLISM; LIMITS; ECTOTHERMS; PENINSULA</t>
  </si>
  <si>
    <t>Many Antarctic marine benthic invertebrates are adapted to specific environmental conditions (e.g. low stable temperatures, high salinity and oxygen content). Changes caused by global climatic shifts can be expected to have significant impact on their physiology and distribution. Odontaster validus, an ubiquitous, omnivorous sea star is one of the keystone species in the Antarctic benthic communities. Laboratory experiments were carried out to study the effect of temperature rise (from 0 to 5 degrees C) on some vital biological functions that sea stars must perform in order to survive in their environment. Parameters such as behavioural reaction of sea stars to food and food odour, locomotory performance and ability to right were measured. Temperature increase significantly impaired the ability of O. validus to perform these functions (e.g. lowering the number of sea stars able to right, increasing time-to-right, reducing locomotory activity, weakening chemosensory reaction to food and food odour). At temperatures of 4 and 5 degrees C a loss of motor coordination was observed, although at all tested temperatures up to 5 degrees C there were single individuals performing successfully.</t>
  </si>
  <si>
    <t>[Kidawa, Anna; Potocka, Marta; Janecki, Tomasz] Polish Acad Sci, Zaklad Biol Antarktyki, PL-02141 Warsaw, Poland</t>
  </si>
  <si>
    <t>Kidawa, A (corresponding author), Polish Acad Sci, Zaklad Biol Antarktyki, Ustrzycka 10-12, PL-02141 Warsaw, Poland.</t>
  </si>
  <si>
    <t>aniak@dab.waw.pl; markowskam@yahoo.com; toja@arctowski.pl</t>
  </si>
  <si>
    <t>Potocka, Marta/0000-0003-0505-6436</t>
  </si>
  <si>
    <t>10.2478/v10183-010-0003-3</t>
  </si>
  <si>
    <t>WOS:000282843500005</t>
  </si>
  <si>
    <t>Quaglio, F; Whittle, RJ; Gazdzicki, A; Simoes, MG</t>
  </si>
  <si>
    <t>Quaglio, Fernanda; Whittle, Rowan Jane; Gazdzicki, Andrzej; Simoes, Marcello Guimaraes</t>
  </si>
  <si>
    <t>A new fossil Adamussium (Bivalvia: Pectinidae) from Antarctica</t>
  </si>
  <si>
    <t>Antarctica; Adamussium; Pectinidae; Destruction Bay Formation; Oligocene</t>
  </si>
  <si>
    <t>KING-GEORGE-ISLAND; COLBECKI; PENINSULA; OLIGOCENE; STRATA</t>
  </si>
  <si>
    <t>Adamussium Jonkersi sp nov is described from the Late Oligocene Destruction Bay Formation Wrona Buttress area King George Island (South Shetlands) West Antarctica The unit characterized by volcanic sandstone is a shallow marine( succession deposited in a moderate- to high-energy environment The thin shelled pectinids collected from the lower part of the unit are preserved mostly as complete valves Shell thickness sculpture pattern and umbonal angle suggest a free-living inactive swimming life habit</t>
  </si>
  <si>
    <t>[Quaglio, Fernanda] Univ Sao Paulo, Inst Geociencias, BR-05508080 Sao Paulo, Brazil; [Whittle, Rowan Jane] British Antarctic Survey, Cambridge CB3 0ET, Cambs, England; [Gazdzicki, Andrzej] Inst Paleobiol PAN, PL-00818 Warsaw, Poland; [Simoes, Marcello Guimaraes] Univ Estadual Paulista, UNESP, Inst Biociencias, Dept Zool, BR-18618000 Sao Paulo, Brazil</t>
  </si>
  <si>
    <t>Universidade de Sao Paulo; UK Research &amp; Innovation (UKRI); Natural Environment Research Council (NERC); NERC British Antarctic Survey; Polish Academy of Sciences; Institute of Paleobiology of the Polish Academy of Sciences; Universidade de Sao Paulo; Universidade Estadual Paulista</t>
  </si>
  <si>
    <t>Quaglio, F (corresponding author), Univ Sao Paulo, Inst Geociencias, Rua Lago 562,Cidade Univ, BR-05508080 Sao Paulo, Brazil.</t>
  </si>
  <si>
    <t>Quaglio, Fernanda/F-2765-2013; Andrzej, Gazdzicki/AAW-2137-2020; Simoes, Marcello G/C-2373-2012</t>
  </si>
  <si>
    <t>Andrzej, Gazdzicki/0000-0003-2001-3282; Simoes, Marcello/0000-0002-8706-3199</t>
  </si>
  <si>
    <t>CNPq (Conselho Nacional de Desenvolvimento Cientifico e Tecnologico); Natural Environment Research Council; Natural Environment Research Council [bas0100026] Funding Source: researchfish</t>
  </si>
  <si>
    <t>CNPq (Conselho Nacional de Desenvolvimento Cientifico e Tecnologico)(Conselho Nacional de Desenvolvimento Cientifico e Tecnologico (CNPQ)); Natural Environment Research Council(UK Research &amp; Innovation (UKRI)Natural Environment Research Council (NERC)); Natural Environment Research Council(UK Research &amp; Innovation (UKRI)Natural Environment Research Council (NERC))</t>
  </si>
  <si>
    <t>We are grateful to G Dziewinska, M Dziewinski, C Gilbert and L E Anelli for providing the photographs of specimens, to A Holda-Michalska for improvement of figures, to L R L Simone L E Anelli, J A Crame, K Linse and the reviewer A Beu for suggestions to the manuscript, and to CNPq (Conselho Nacional de Desenvolvimento Cientifico e Tecnologico) for granting a Doctorate scholarship to the first author RW works as part of the British Antarctic Survey Polar Science for Planet Earth Programme funded by The Natural Environment Research Council A contribution to the SCAR Scientific Research Programme Antarctic Climate Evolution (ACE)</t>
  </si>
  <si>
    <t>10.2478/v10183.010.0006.0</t>
  </si>
  <si>
    <t>701IW</t>
  </si>
  <si>
    <t>WOS:000285812600001</t>
  </si>
  <si>
    <t>Laskowski, Z; Zdzitowiecki, K</t>
  </si>
  <si>
    <t>Laskowski, Zdzislaw; Zdzitowiecki, Krzysztof</t>
  </si>
  <si>
    <t>Contribution to the knowledge of the infection with Acanthocephala of a predatory Antarctic ice-fish Chaenocephalus aceratus</t>
  </si>
  <si>
    <t>West Antarctic; Acanthocephala; Chaenocephalus aceratus; infection host sex</t>
  </si>
  <si>
    <t>Adult females of a predatory fish, the blackfin icefish Chaenocephalus aceratus examined at the South Shetland Islands and South Orkney Islands were by several orders of magnitude more infected with Acanthocephala than the males and immature females Such phenomenon has not been observed in the neritic zone at South Georgia Cystacanths of Corynosoma hamannt and Cotynosoma pseudohamannt were the dominant parasites in Admiralty Bay, whereas Corynosoma bullosum was the dominant in the open sea off the South Shetland Islands and South Georgia and in the sub-coastal waters off tit(South Orkney Islands However, the dominance of C bullosum was observed in several hosts in Admiralty Bay and the co-dominance of C bullosum C hamannt, and C pseudohamannt in one mature female in the neritic zone at the South Shetland Islands Probably these fish previously lived in the open sea Cystacanths of Corynosoma arctocephali and Corynosoma shackletont occurred in the fish in Admiralty Bay and off South Georgia The former parasite was present also off the South Orkney Islands One cystacanth of Andrucantha baylist was found off South Georgia Two echinorhynchids Aspersentis megarhynchus and Meta canthocephalus daimon occurred in the alimentary tracts of the fish caught in Admiralty Bay and one specimen of Echinorhynchus petrotschenkot off the South Shetland Islands The highest infection, amounting to 816 acanthocephalans, was found in a mature female in Admiralty Bay One cystacanth of C hamannt occurred in a single immature fish caught in the sub-coastal area oft Deception Island</t>
  </si>
  <si>
    <t>[Laskowski, Zdzislaw] Inst Parazytol W Stefanskiego PAN, PL-00818 Warsaw, Poland; Zaklad Biol Antarktyki PAN, PL-02141 Warsaw, Poland</t>
  </si>
  <si>
    <t>Polish Academy of Sciences; Witold Stefanski Institute of Parasitology of the Polish Academy of Sciences; Polish Academy of Sciences</t>
  </si>
  <si>
    <t>Laskowski, Z (corresponding author), Inst Parazytol W Stefanskiego PAN, Twarda 51-55, PL-00818 Warsaw, Poland.</t>
  </si>
  <si>
    <t>Laskowski, Zdzislaw/V-5682-2018</t>
  </si>
  <si>
    <t>Laskowski, Zdzislaw/0000-0001-8542-6307</t>
  </si>
  <si>
    <t>10.2478/v10183-010-0007-z</t>
  </si>
  <si>
    <t>WOS:000285812600002</t>
  </si>
  <si>
    <t>Li, LP; Ma, JH; Wang, PX; Guo, D; Duan, MK; Guan, SX</t>
  </si>
  <si>
    <t>Jiang, Y; Min, JH</t>
  </si>
  <si>
    <t>Li, LiPing; Ma, JuHui; Wang, PanXing; Guo, Dong; Duan, Mingken; Guan, ShuXuan</t>
  </si>
  <si>
    <t>The Relationship of Polar Vortex at 10 hPa in the Southern Hemisphere with Ozone and Antarctic Oscillation</t>
  </si>
  <si>
    <t>PROCEEDINGS OF THE 2010 INTERNATIONAL CONFERENCE ON APPLICATION OF MATHEMATICS AND PHYSICS, VOL 1: ADVANCES ON SPACE WEATHER, METEOROLOGY AND APPLIED PHYSICS</t>
  </si>
  <si>
    <t>International Conference on Application of Mathematics and Physics (AMP2010)</t>
  </si>
  <si>
    <t>MAY 08-09, 2010</t>
  </si>
  <si>
    <t>Nanjing, PEOPLES R CHINA</t>
  </si>
  <si>
    <t>circulation indices of polar vortex at 10 hPa; interannual anomaly; ozone anomaly; Antarctic Oscillation</t>
  </si>
  <si>
    <t>A set of circulation indices are defined to characterize the polar vortex at 10 hPa in the Southern Hemisphere. The intensity interannual anomalies and its possible causes of 10 hPa polar vortex in the Southern Hemisphere are mainly analyzed by using the intensity index, the relationship between 10 hPa polar vortex strength and the Antarctic Oscillation are analyzed as well. The results show that: (1) Intensity and area index of anticyclone (cyclone) in Jan. (Jul.) show a significant spike in the late 1970's, the anticyclone (cyclone) enhances (weakens) from extremely weak (strong) oscillation to near the climatic mean before a spike, anticyclone tends to the mean state from very strong oscillation and cyclone oscillates in the weaker state after the spike. (2) The ozone anomalies can cause the interannual anomaly of the polar anticyclone at 10 hPa in the Southern Hemisphere in Jan, but it is not related to the polar cyclone anomalies. (3) There is notable negative correlation between the polar vortex intensity index P and the Antarctic Oscillation index (AAOI), thus AAOI can be represented by P.</t>
  </si>
  <si>
    <t>[Li, LiPing] Nanjing Univ Informat Sci &amp; Technol, Minist Educ, Key Lab Meteorol Disaster Cooperat Ministries &amp; P, Nanjing 210044, Peoples R China</t>
  </si>
  <si>
    <t>Nanjing University of Information Science &amp; Technology</t>
  </si>
  <si>
    <t>Li, LP (corresponding author), Nanjing Univ Informat Sci &amp; Technol, Minist Educ, Key Lab Meteorol Disaster Cooperat Ministries &amp; P, Nanjing 210044, Peoples R China.</t>
  </si>
  <si>
    <t>liliping@nuist.edu.cn</t>
  </si>
  <si>
    <t>Li, Deping/ABD-8661-2020</t>
  </si>
  <si>
    <t>Li, Deping/0000-0002-2116-5184</t>
  </si>
  <si>
    <t>WORLD ACAD UNION-WORLD ACAD PRESS</t>
  </si>
  <si>
    <t>LIVERPOOL</t>
  </si>
  <si>
    <t>113, ACADEMIC HOUSE, MILL LANE, WAVERTREE TECHNOLOGY PARK, LIVERPOOL, L13 4 AH, ENGLAND</t>
  </si>
  <si>
    <t>978-1-84626-081-0</t>
  </si>
  <si>
    <t>Geosciences, Multidisciplinary; Physics, Applied</t>
  </si>
  <si>
    <t>Geology; Physics</t>
  </si>
  <si>
    <t>BPP28</t>
  </si>
  <si>
    <t>WOS:000279588900028</t>
  </si>
  <si>
    <t>Kubyshkina, DI; Sormakov, DA; Sergeev, VA; Semenov, VS; Erkaev, NV</t>
  </si>
  <si>
    <t>Semenov, VS</t>
  </si>
  <si>
    <t>Kubyshkina, D. I.; Sormakov, D. A.; Sergeev, V. A.; Semenov, V. S.; Erkaev, N. V.</t>
  </si>
  <si>
    <t>COMPARISON OF FLAPPING OSCILLATIONS OBSERVED BY THEMIS WITH THE DOUBLE GRADIENT MODEL</t>
  </si>
  <si>
    <t>PROCEEDINGS OF THE 8TH INTERNATIONAL CONFERENCE PROBLEMS OF GEOCOSMOS</t>
  </si>
  <si>
    <t>8th International Conference on Problems of Geocosmos</t>
  </si>
  <si>
    <t>SEP 20-24, 2010</t>
  </si>
  <si>
    <t>St Petersburg, RUSSIA</t>
  </si>
  <si>
    <t>CURRENT SHEET; CLUSTER</t>
  </si>
  <si>
    <t>Flapping oscillations observed in the current sheet of the Earth's magnetotail, represent rather slow waves propagating from the center to the flanks with a typical speed similar to 20-60 km/s, amplitude similar to 1-2R(e) and quasiperiod similar to 2-10 minutes. The relevant model is based on double gradient of magnetic field: gradient of tangential (B-x) component along the normal (z) direction and normal component (B-z) along the x-direction [1]. In the framework of this model the rotation of the vector of magnetic field in the plane Z-Y as well as vector of plasma velocity is investigated to find differences between kink and sausage modes of the flapping oscillations. It is also shown that the speed of the rotation of the vector (v or B) gives the fundamental parameters of the model including double gradient frequency. The theoretical results are compared to the flapping oscillations observed by space mission Themis on 03.05.2008 in the morning sector of the magnetotail. The observed rotation of the velocity vector simulheneously on two spacecrafts of Themis mission corresponds to the kink mode of the flapping oscillations. The results obtained show that data on rotation of v and B vectors can give important information about modes and characteristics of the flapping waves.</t>
  </si>
  <si>
    <t>[Kubyshkina, D. I.; Sergeev, V. A.; Semenov, V. S.] St Petersburg State Univ, St Petersburg 198504, Russia; [Sormakov, D. A.] Arctic &amp; Antarctic Res Inst, St Petersburg 199397, Russia; [Erkaev, N. V.] Russian Acad Sci, Inst Computat Modeling, Siberian Branch, Krasnoyarsk 660036, Russia; [Erkaev, N. V.] Siberian Fed Univ, Krasnoyarsk 660041, Russia</t>
  </si>
  <si>
    <t>Saint Petersburg State University; Arctic &amp; Antarctic Research Institute; Russian Academy of Sciences; Krasnoyarsk Science Center of the Siberian Branch of the Russian Academy of Sciences; Institute of Computational Modelling of the Siberian Branch of the Russian Academy of Sciences; Siberian Federal University</t>
  </si>
  <si>
    <t>Kubyshkina, DI (corresponding author), St Petersburg State Univ, St Petersburg 198504, Russia.</t>
  </si>
  <si>
    <t>Erkaev, Nikolai/M-1608-2013; Sormakov, Dmitry A/K-1695-2014; Semenov, Vladimir S/A-5530-2013; Sergeev, Victor A/H-1173-2013</t>
  </si>
  <si>
    <t>Sergeev, Victor A/0000-0002-4569-9631</t>
  </si>
  <si>
    <t>RFBR [09-05-91000-ANF-a]</t>
  </si>
  <si>
    <t>RFBR(Russian Foundation for Basic Research (RFBR))</t>
  </si>
  <si>
    <t>This work is supported by the RFBR Grant No 09-05-91000-ANF-a.</t>
  </si>
  <si>
    <t>ST PETERSBURG STATE UNIV, FAC PHYSICS</t>
  </si>
  <si>
    <t>ST PETERSBURG</t>
  </si>
  <si>
    <t>ULYANOVSKAYA, 3, ST PETERSBURG, 198504, RUSSIA</t>
  </si>
  <si>
    <t>978-5-9651-0504-5</t>
  </si>
  <si>
    <t>Astronomy &amp; Astrophysics; Geosciences, Multidisciplinary</t>
  </si>
  <si>
    <t>Astronomy &amp; Astrophysics; Geology</t>
  </si>
  <si>
    <t>BG9YO</t>
  </si>
  <si>
    <t>WOS:000394208800027</t>
  </si>
  <si>
    <t>Zheng, XC</t>
  </si>
  <si>
    <t>Cui, J; Xing, F; Ru, JP; Teng, JG</t>
  </si>
  <si>
    <t>Zheng, Xian-Chang</t>
  </si>
  <si>
    <t>RESEARCH ON THE ENGINEERING GEOLOGICAL EVALUATION AND COUNTERMEASURES OF THE CHINESE GREAT WALL STATION IN ANTARCTICA</t>
  </si>
  <si>
    <t>PROCEEDINGS OF THE ELEVENTH INTERNATIONAL SYMPOSIUM ON STRUCTURAL ENGINEERING, VOL I AND II</t>
  </si>
  <si>
    <t>11th International Symposium on Structural Engineering</t>
  </si>
  <si>
    <t>DEC 18-20, 2010</t>
  </si>
  <si>
    <t>Guangzhou, PEOPLES R CHINA</t>
  </si>
  <si>
    <t>Engineering geological evaluation; Countermeasure; Antarctic station</t>
  </si>
  <si>
    <t>Because of the extremely adverse climate environment and construction conditions meanwhile, the previous buildings in the Great Wall Station in Antarctica turned up some foundational morbidity. In order to carry out the design of the tenth-five-year-plan construction of the Great Wall and the Zhongshan Stations smoothly, I had been to Antarctica as a member of the 21th Chinese National Antarctic Research Expedition Team and was in charge of a program about the frozen soil investigating and the building suitability regionalization. The paper recommended the engineering geological conditions, the subterraneous temperature field and the emerged foundational morbidity, eventually expounded some pertinence measures.</t>
  </si>
  <si>
    <t>Guangzhou Univ, Sch Civil Engn, Guangzhou, Guangdong, Peoples R China</t>
  </si>
  <si>
    <t>Guangzhou University</t>
  </si>
  <si>
    <t>Zheng, XC (corresponding author), Guangzhou Univ, Sch Civil Engn, Guangzhou, Guangdong, Peoples R China.</t>
  </si>
  <si>
    <t>SCIENCE PRESS BEIJING</t>
  </si>
  <si>
    <t>16 DONGHUANGCHENGGEN NORTH ST, BEIJING 100707, PEOPLES R CHINA</t>
  </si>
  <si>
    <t>978-7-03-029530-9</t>
  </si>
  <si>
    <t>Construction &amp; Building Technology; Engineering, Civil; Engineering, Mechanical; Materials Science, Multidisciplinary</t>
  </si>
  <si>
    <t>Construction &amp; Building Technology; Engineering; Materials Science</t>
  </si>
  <si>
    <t>BVV39</t>
  </si>
  <si>
    <t>WOS:000292890600169</t>
  </si>
  <si>
    <t>Bridgland, DR; Golledge, NR</t>
  </si>
  <si>
    <t>Bridgland, David R.; Golledge, Nicholas R.</t>
  </si>
  <si>
    <t>The Quaternary geology of the British Isles</t>
  </si>
  <si>
    <t>PROCEEDINGS OF THE GEOLOGISTS ASSOCIATION</t>
  </si>
  <si>
    <t>RIVER SYSTEMS; GLACIATION; MIDDLE; EVOLUTION; YORKSHIRE; DEPOSITS; HISTORY; ARCHIVE; CONTEXT; UPLIFT</t>
  </si>
  <si>
    <t>This editorial accompanies the second of two sets of papers in the Proceedings (the first set appeared in Part 4 of 2009) that arise from the Annual Discussion Meeting of the Quaternary Research Association, co-hosted by the Royal Geographical Society. This collection represents two main categories of paper: on (1) on sand and gravel, several arising from projects funded from the British Government's Aggregates Levy, and (2) glaciation, with a degree of overlap between these. Both categories also include results of PhD research. The first category includes presentation of fluvially-based data from SW England, North Yorkshire, the Trent and the Fen Basin, as well as studies of raised beach deposits in southern England and County Durham. At the boundary between the categories is a paper on a pre-glacial fluvial valley system in the glaciated Dyfi basin, west Wales, and another on the marginal area between the Late Devensian Welsh ice cap and the contemporaneous Irish Sea ice stream, encompassing glacio-fluvial sands and gravels as well as fully glacigenic diamictons. There are also papers on the Woore Moraine, in Shropshire, and the glaciofluvial deposits of the Brampton kame belt, east of Carlisle, Cumbria. Studies at either end of Yorkshire include a paper on the sedimentology and luminescence dating of Glacial Lake Humber deposits, in the central Vale of York, and another that documents deglaciation and the emergence of the rivers in the watershed area between the rivers of this Vale (the Swale-Ure-Ouse system) and the Tees, to the north. The latter is followed up by a third paper on the palaeo-environmental evidence from the middle 'piedmont' reaches of these rivers. Two final papers fall outside of these categories. One documents periglacial activity during the Loch Lomond Stadial in south London, revealing significant complexity. The second reviews the engagement of the Quaternary community with the formal education system, with institutions, policy makers, planners and with the public at large, offering examples of good practice and setting out aspirations for continuation of such 'outreach' in the future. (C) 2010 The Geologists' Association. Published by Elsevier Ltd. All rights reserved.</t>
  </si>
  <si>
    <t>[Bridgland, David R.] Univ Durham, Dept Geog, Durham DH1 3LE, England; [Golledge, Nicholas R.] Victoria Univ Wellington, Antarctic Res Ctr, Wellington 6140, New Zealand</t>
  </si>
  <si>
    <t>Durham University; Victoria University Wellington</t>
  </si>
  <si>
    <t>Bridgland, DR (corresponding author), Univ Durham, Dept Geog, Sci Site S Rd, Durham DH1 3LE, England.</t>
  </si>
  <si>
    <t>d.r.bridgland@durham.ac.uk; Nick.Golledge@vuw.ac.nz</t>
  </si>
  <si>
    <t>Bridgland, David/JJG-2309-2023</t>
  </si>
  <si>
    <t>Golledge, Nicholas/0000-0001-7676-8970</t>
  </si>
  <si>
    <t>0016-7878</t>
  </si>
  <si>
    <t>P GEOLOGIST ASSOC</t>
  </si>
  <si>
    <t>Proc. Geol. Assoc.</t>
  </si>
  <si>
    <t>10.1016/j.pgeola.2010.09.007</t>
  </si>
  <si>
    <t>687OP</t>
  </si>
  <si>
    <t>WOS:000284788100002</t>
  </si>
  <si>
    <t>Stone, W; Hogan, B; Flesher, C; Gulati, S; Richmond, K; Murarka, A; Kuhlman, G; Sridharan, M; Siegel, V; Price, RM; Doran, PT; Priscu, J</t>
  </si>
  <si>
    <t>Stone, W.; Hogan, B.; Flesher, C.; Gulati, S.; Richmond, K.; Murarka, A.; Kuhlman, G.; Sridharan, M.; Siegel, V.; Price, R. M.; Doran, P. T.; Priscu, J.</t>
  </si>
  <si>
    <t>Design and deployment of a four-degrees-of-freedom hovering autonomous underwater vehicle for sub-ice exploration and mapping</t>
  </si>
  <si>
    <t>PROCEEDINGS OF THE INSTITUTION OF MECHANICAL ENGINEERS PART M-JOURNAL OF ENGINEERING FOR THE MARITIME ENVIRONMENT</t>
  </si>
  <si>
    <t>autonomous; robotic; under-ice exploration; autonomous underwater vehicle; Antarctica; West Lake Bonney; Taylor Glacier; navigation; bathymetry; aqueous chemistry</t>
  </si>
  <si>
    <t>This paper describes the 2008 and 2009 Antarctic deployments of the National Aeronautics and Space Administration ENDURANCE autonomous underwater vehicle (AUV). The goal of this project was to conduct three autonomous tasks beneath the ice cap 4m thick of West Lake Bonney: first, to measure the three-dimensional (3D) water chemistry of the lake at prespecified coordinates; second, to map the underwater face of the Taylor Glacier; third, to chart the bathymetry of the lake bottom. At the end of each mission the AUV had to locate and return through a hole in the ice slightly larger than the outer diameter of the vehicle. During two 10-week deployments to Antarctica, in the austral summers of 2008 and 2009, ENDURANCE logged 243 h of sub-ice operational time, conducted 275 aqueous chemistry sonde casts, completed a 3D bathymetry survey over an area of 1.06 km(2) at a resolution of 22 cm, and traversed 74 km beneath the ice cap of West Lake Bonney. Many of the characteristics and capabilities of ENDURANCE are similar to the behaviours that will be needed for sub-ice autonomous probes to Europa, Enceladus, and other outer-planet icy moons. These characteristics are also of great utility for terrestrial operations in which there is a need for an underwater vehicle to manoeuvre precisely to desired positions in 3D space or to manoeuvre and explore complicated 3D environments.</t>
  </si>
  <si>
    <t>[Stone, W.; Hogan, B.; Flesher, C.; Gulati, S.; Richmond, K.; Murarka, A.; Kuhlman, G.; Sridharan, M.; Siegel, V.; Price, R. M.] Stone Aerosp, Del Valle, TX USA; [Doran, P. T.] Univ Illinois, Chicago, IL USA; [Priscu, J.] Univ Montana, Missoula, MT 59812 USA</t>
  </si>
  <si>
    <t>University of Illinois System; University of Illinois Chicago; University of Illinois Chicago Hospital; University of Montana System; University of Montana</t>
  </si>
  <si>
    <t>Stone, W (corresponding author), Stone Aerosp PSC Inc, 3511 Caldwell Lane, Del Valle, TX 78617 USA.</t>
  </si>
  <si>
    <t>bill.stone@stoneaerospace.com</t>
  </si>
  <si>
    <t>ASTEP programme office; NASA Science Directorate [NNX07AM 88G]</t>
  </si>
  <si>
    <t>ASTEP programme office; NASA Science Directorate</t>
  </si>
  <si>
    <t>ENDURANCE was a NASA-sponsored research activity, funded through the ASTEP programme office, NASA Science Directorate, under Grant NNX07AM 88G. The team would like to thank, in particular, J. Rummel, M. Voytek, and K. McBride at NASA Headquarters for their vision, support, and guidance throughout the project. The principal investigator is P. Doran at the University of Illinois, Chicago. Logistical support in Antarctica was provided by the NSF through the US Antarctic Program. The authors would also like to thank the Center for Limnology at the University of Wisconsin, Madison, Wisconsin, USA, the Hyde Park Baptist Church at The Quarries, Austin, Texas, USA, and the Sonny Carter Training Facility Neutral Buoyancy Laboratory at NASA Johnson, and their respective staff for their enthusiastic support of the ENDURANCE test programme.</t>
  </si>
  <si>
    <t>SAGE PUBLICATIONS LTD</t>
  </si>
  <si>
    <t>1 OLIVERS YARD, 55 CITY ROAD, LONDON EC1Y 1SP, ENGLAND</t>
  </si>
  <si>
    <t>1475-0902</t>
  </si>
  <si>
    <t>2041-3084</t>
  </si>
  <si>
    <t>P I MECH ENG M-J ENG</t>
  </si>
  <si>
    <t>Proc. Inst. Mech. Eng. Part M- J. Eng. Marit. Environ.</t>
  </si>
  <si>
    <t>M4</t>
  </si>
  <si>
    <t>10.1243/14750902JEME214</t>
  </si>
  <si>
    <t>Engineering, Marine</t>
  </si>
  <si>
    <t>678PF</t>
  </si>
  <si>
    <t>WOS:000284090900009</t>
  </si>
  <si>
    <t>Lu, ZY; E, DC; Ai, ST</t>
  </si>
  <si>
    <t>ASME</t>
  </si>
  <si>
    <t>Lu Zhiyue; E Dongchen; Ai Songtao</t>
  </si>
  <si>
    <t>Data Analysis of Xue Long in Westerlies Based on Wave Spectrum Model and Data Mining</t>
  </si>
  <si>
    <t>PROCEEDINGS OF THE INTERNATIONAL CONFERENCE ON INTERNET TECHNOLOGY AND SECURITY (ITS 2010)</t>
  </si>
  <si>
    <t>International Conference on Internet Technology and Security</t>
  </si>
  <si>
    <t>DEC 27-28, 2010</t>
  </si>
  <si>
    <t>rolling; Westerlies; P-M spectrum; data mining</t>
  </si>
  <si>
    <t>A modern ship's large-amplitude rolling motions caused by wind and ocean waves represent a considerable threat to goods and life in today's ocean navigation, especially in the Westerlies which are famous for their long-term strong winds. To evaluate the ship's rolling motions and find the safest sailing route for Antarctic research, in this paper an ocean wave model was provided according to the P-M spectrum. The authors classified and analyzed historical data based on the given model by means of data mining, and presented the final route on the web polar spatial information platform.</t>
  </si>
  <si>
    <t>[Lu Zhiyue; E Dongchen; Ai Songtao] Wuhan Univ, Chinese Antarctic Ctr Surveying &amp; Mapping, Wuhan 430072, Peoples R China</t>
  </si>
  <si>
    <t>Lu, ZY (corresponding author), Wuhan Univ, Chinese Antarctic Ctr Surveying &amp; Mapping, Wuhan 430072, Peoples R China.</t>
  </si>
  <si>
    <t>zhiyuelu283@hotmail.com; edc@whu.edu.cn; ast@whu.edu.cn</t>
  </si>
  <si>
    <t>Ai, Songtao/AAA-7338-2019</t>
  </si>
  <si>
    <t>AMER SOC MECHANICAL ENGINEERS</t>
  </si>
  <si>
    <t>THREE PARK AVENUE, NEW YORK, NY 10016-5990 USA</t>
  </si>
  <si>
    <t>978-0-7918-5968-1</t>
  </si>
  <si>
    <t>Computer Science, Hardware &amp; Architecture; Computer Science, Theory &amp; Methods</t>
  </si>
  <si>
    <t>BCL45</t>
  </si>
  <si>
    <t>WOS:000310556300012</t>
  </si>
  <si>
    <t>Barbante, C; Fischer, H; Masson-Delmotte, V; Waelbroeck, C; Wolff, EW</t>
  </si>
  <si>
    <t>Barbante, C.; Fischer, H.; Masson-Delmotte, V.; Waelbroeck, C.; Wolff, E. W.</t>
  </si>
  <si>
    <t>Climate of the last million years: new insights from EPICA and other records Preface</t>
  </si>
  <si>
    <t>ANTARCTIC ICE-CORE; DOME-C; ATMOSPHERIC CO2; SOUTHERN-OCEAN; EAST ANTARCTICA; AEOLIAN DUST; VARIABILITY; TEMPERATURE; CIRCULATION; SENSITIVITY</t>
  </si>
  <si>
    <t>[Barbante, C.] Univ Venice, Dept Environm Sci, I-30123 Venice, Italy; [Barbante, C.] CNR, Inst Dynam Environm Proc, I-30123 Venice, Italy; [Fischer, H.] Univ Bern, Inst Phys, CH-3012 Bern, Switzerland; [Fischer, H.] Univ Bern, Oeschger Ctr Climate Change Res, CH-3012 Bern, Switzerland; [Masson-Delmotte, V.; Waelbroeck, C.] CEA Saclay, CNRS, UVSQ, UMR 1572,IPSL,Lab Sci Climat &amp; Environm, F-91191 Gif Sur Yvette, France; [Wolff, E. W.] British Antarctic Survey, Cambridge CB3 0ET, England</t>
  </si>
  <si>
    <t>Universita Ca Foscari Venezia; Consiglio Nazionale delle Ricerche (CNR); Istituto per la Dinamica dei Processi Ambientali (IDPA-CNR); University of Bern; University of Bern; Universite Paris Saclay; Universite Paris Cite; CEA; Centre National de la Recherche Scientifique (CNRS); UK Research &amp; Innovation (UKRI); Natural Environment Research Council (NERC); NERC British Antarctic Survey</t>
  </si>
  <si>
    <t>Barbante, C (corresponding author), Univ Venice, Dept Environm Sci, Calle Larga S Marta 2137, I-30123 Venice, Italy.</t>
  </si>
  <si>
    <t>barbante@unive.it</t>
  </si>
  <si>
    <t>Wolff, Eric W/D-7925-2014; Masson-Delmotte, Valerie L/G-1995-2011; Barbante, Carlo/B-3195-2011; Fischer, Hubertus/A-1211-2014</t>
  </si>
  <si>
    <t>Wolff, Eric W/0000-0002-5914-8531; Masson-Delmotte, Valerie L/0000-0001-8296-381X; Barbante, Carlo/0000-0003-4177-2288; waelbroeck, claire/0000-0002-7256-5727; Fischer, Hubertus/0000-0002-2787-4221</t>
  </si>
  <si>
    <t>NERC [bas0100027, bas0100024] Funding Source: UKRI; Natural Environment Research Council [bas0100027, bas0100024] Funding Source: researchfish</t>
  </si>
  <si>
    <t>10.1016/j.quascirev.2009.11.025</t>
  </si>
  <si>
    <t>561EG</t>
  </si>
  <si>
    <t>WOS:000274958000001</t>
  </si>
  <si>
    <t>Lemieux-Dudon, B; Blayo, E; Petit, JR; Waelbroeck, C; Svensson, A; Ritz, C; Barnola, JM; Narcisi, BM; Parrenin, F</t>
  </si>
  <si>
    <t>Lemieux-Dudon, Benedicte; Blayo, Eric; Petit, Jean-Robert; Waelbroeck, Claire; Svensson, Anders; Ritz, Catherine; Barnola, Jean-Marc; Narcisi, Bianca Maria; Parrenin, Frederic</t>
  </si>
  <si>
    <t>Consistent dating for Antarctic and Greenland ice cores</t>
  </si>
  <si>
    <t>EPICA-DOME-C; ABRUPT CLIMATE-CHANGE; DRONNING MAUD-LAND; RECORD; FLOW; SYNCHRONIZATION; MODEL; AMUNDSENISEN; VARIABILITY; CHRONOLOGY</t>
  </si>
  <si>
    <t>We are hereby presenting a new dating method based on inverse techniques, which aims at calculating consistent gas and ice chronologies for several ice cores. The proposed method yields new dating scenarios simultaneously for several cores by making a compromise between the chronological information brought by glaciological modeling (i.e.. ice flow model, firn densification model, accumulation rate model), and by gas and ice stratigraphic constraints. This method enables us to gather widespread chronological information and to use regional or global markers (i.e., methane, volcanic sulfate. Beryllium-10, tephra layers, etc.) to link the core chronologies stratigraphically. Confidence intervals of the new dating scenarios can be calculated thanks to the probabilistic formulation of the new method, which takes into account both modeling and data uncertainties. We apply this method simultaneously to one Greenland (NGRIP) and three Antarctic (EPICA Dome C, EPICA Dronning Maud Land, and Vostok) ices cores, and refine existent chronologies. Our results show that consistent ice and gas chronologies can be derived for depth intervals that are well-constrained by relevant glaciological data. In particular, we propose new and consistent dating of the last deglaciation for Greenland and Antarctic ice and gas records. (C) 2009 Elsevier Ltd. All rights reserved.</t>
  </si>
  <si>
    <t>[Lemieux-Dudon, Benedicte; Petit, Jean-Robert; Ritz, Catherine; Barnola, Jean-Marc; Parrenin, Frederic] Univ Grenoble 1, CNRS, LGGE, F-38402 St Martin Dheres, France; [Blayo, Eric] LJK, F-38041 Grenoble, France; [Waelbroeck, Claire] UVSQ Domaine CNRS, CEA, IPSL, LSCE, F-91198 Gif Sur Yvette, France; [Svensson, Anders] Niels Bohr Inst, Ice &amp; Climate Grp, DK-2100 Copenhagen, Denmark; [Narcisi, Bianca Maria] ENEA Rome, Rome, Italy</t>
  </si>
  <si>
    <t>Communaute Universite Grenoble Alpes; Universite Grenoble Alpes (UGA); Centre National de la Recherche Scientifique (CNRS); CEA; Centre National de la Recherche Scientifique (CNRS); Universite Paris Saclay; Universite Paris Cite; University of Copenhagen; Niels Bohr Institute</t>
  </si>
  <si>
    <t>Lemieux-Dudon, B (corresponding author), Univ Grenoble 1, CNRS, LGGE, F-38402 St Martin Dheres, France.</t>
  </si>
  <si>
    <t>benedicte.lemieux@imag.fr</t>
  </si>
  <si>
    <t>Blayo, Eric/AAG-7447-2019; Parrenin, Frédéric/H-3054-2014; Svensson, Anders/A-2643-2010</t>
  </si>
  <si>
    <t>Parrenin, Frédéric/0000-0002-9489-3991; Svensson, Anders/0000-0002-4364-6085; Ritz, Catherine/0000-0003-0785-8571; Blayo, Eric/0000-0002-8742-5655; Lemieux-Dudon, Benedicte/0000-0002-0718-2420; waelbroeck, claire/0000-0002-7256-5727</t>
  </si>
  <si>
    <t>Agence Nationale de la Recherche [ANR-05-BLAN-0165-01, ANR-07-BLAN-0125]; EU; Agence Nationale de la Recherche (ANR) [ANR-07-BLAN-0125] Funding Source: Agence Nationale de la Recherche (ANR)</t>
  </si>
  <si>
    <t>Agence Nationale de la Recherche(Agence Nationale de la Recherche (ANR)); EU(European Union (EU)); Agence Nationale de la Recherche (ANR)(Agence Nationale de la Recherche (ANR))</t>
  </si>
  <si>
    <t>This work was supported by the Agence Nationale de la Recherche (projects ANR-05-BLAN-0165-01 and ANR-07-BLAN-0125). It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an EPICA publication no. 246.</t>
  </si>
  <si>
    <t>10.1016/j.quascirev.2009.11.010</t>
  </si>
  <si>
    <t>WOS:000274958000002</t>
  </si>
  <si>
    <t>Narcisi, B; Petit, JR; Delmonte, B</t>
  </si>
  <si>
    <t>Narcisi, Biancamaria; Petit, Jean Robert; Delmonte, Barbara</t>
  </si>
  <si>
    <t>Extended East Antarctic ice-core tephrostratigraphy</t>
  </si>
  <si>
    <t>PAST 800,000 YEARS; TEPHRA LAYERS; DOME FUJI; RECORD; CLIMATE; TEPHROCHRONOLOGY; SUMMIT</t>
  </si>
  <si>
    <t>Three new tephra layers have been identified and analysed in the deeper sections of the EPICA Dome C (EDC) and Vostok ice record (East Antarctic plateau): one from EDC (358 ka old), originated from an Antarctic volcano, and two from Vostok (406 and 414 ka old, respectively), which are related to Antarctic volcanoes and to southern Andes and/or Antarctic Peninsula centres, respectively. These layers represent the oldest tephra-bearing events so far detected in deep polar ice cores and extend the regional tephrostratigraphic framework back to the fourth climatic cycle. Although differences between the drill sites are observed, new and previously published tephra data from deep ice cores broadly confirm that the clockwise circum-Antarctic atmospheric circulation played a major role in the dispersal of volcanic dust onto the plateau. While the last 220-ka core sections contain about a dozen visible tephra fall layers, the ice representing the time interval from 220 ka back to 800 ka (i.e. the EDC core bottom) is almost devoid of observed tephras. Although it is possible that the reduced frequency is an observational artefact, the observed pattern could alternatively reflect late Quaternary activity fluctuations of sources for tephra in the East Antarctic plateau, particularly South Sandwich Islands, with enhanced explosive activity in the last two glacial cycles with respect to previous periods. (C) 2009 Elsevier Ltd. All rights reserved.</t>
  </si>
  <si>
    <t>[Narcisi, Biancamaria] ENEA, CR Casaccia, I-00123 Rome, Italy; [Petit, Jean Robert] UJF, CNRS, LGGE, Grenoble, France; [Delmonte, Barbara] Univ Milano Bicocca, DISAT, Milan, Italy</t>
  </si>
  <si>
    <t>Italian National Agency New Technical Energy &amp; Sustainable Economics Development; Centre National de la Recherche Scientifique (CNRS); Communaute Universite Grenoble Alpes; Universite Grenoble Alpes (UGA); University of Milano-Bicocca</t>
  </si>
  <si>
    <t>Narcisi, B (corresponding author), ENEA, CR Casaccia, I-00123 Rome, Italy.</t>
  </si>
  <si>
    <t>biancamaria.narcisi@enea.it; petit@lgge.obs.ujf-grenoble.fr; barbara.delmonte@unimib.it</t>
  </si>
  <si>
    <t>Delmonte, Barbara/L-2555-2015</t>
  </si>
  <si>
    <t>Delmonte, Barbara/0000-0002-9074-2061</t>
  </si>
  <si>
    <t>EU; PNRA (Programma Nazionale di Ricerche in Antartide)</t>
  </si>
  <si>
    <t>EU(European Union (EU)); PNRA (Programma Nazionale di Ricerche in Antartide)</t>
  </si>
  <si>
    <t>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United Kingdom. The EPICA drilling operations at Dome C benefited from the support of the French-Italian Concordia Station. Research was carried out in the framework of a project on Glaciology funded by PNRA (Programma Nazionale di Ricerche in Antartide). The Vostok core has been drilled within a joint project between Russia, France and USA. This is EPICA publication n. 228.</t>
  </si>
  <si>
    <t>10.1016/j.quascirev.2009.07.009</t>
  </si>
  <si>
    <t>WOS:000274958000003</t>
  </si>
  <si>
    <t>Dreyfus, GB; Jouzel, J; Bender, ML; Landais, A; Masson-Delmotte, V; Leuenberger, M</t>
  </si>
  <si>
    <t>Dreyfus, Gabrielle B.; Jouzel, Jean; Bender, Michael L.; Landais, Amaelle; Masson-Delmotte, Valerie; Leuenberger, Markus</t>
  </si>
  <si>
    <t>Firn processes and δ15N: potential for a gas-phase climate proxy</t>
  </si>
  <si>
    <t>VOSTOK ICE CORE; EPICA DOME-C; EAST ANTARCTIC PLATEAU; LAST GLACIAL PERIOD; PAST 800,000 YEARS; POLAR ICE; AGE DIFFERENCE; TEMPERATURE-CHANGES; LATE PLEISTOCENE; ATMOSPHERIC CH4</t>
  </si>
  <si>
    <t>In order to quantify the sequence of events between changes in atmospheric composition and climate changes recorded in ice cores, we must accurately account for the age difference between ice and gas at a given depth. This gas age-ice age difference depends on the age of the ice at the bottom of the firn layer, where the bubbles are closed-off. Firn densification models are used to calculate how this age difference varied in the past, but have an uncertainty on the order of 1000 years for central Antarctic sites. Here we explore the possibility that delta N-15 of N-2 is a gas phase proxy of climate, which can be used to synchronize gas and ice records. We present the delta N-15 record from the EPICA Dome C (EDC) ice core covering the last three glacial terminations and five glacial-interglacial cycles between 300 and 800 ka. Previous studies have shown that gravitational settling enriches delta N-15 as a function of the diffusive column height in the firn. If densification models' prediction of deeper firn close-off under glacial conditions is correct, then we would expect heavier delta N-15 during glacial periods, and a negative correlation with temperature. Instead, EDC delta N-15 is positively correlated with the ice deuterium content, a proxy for temperature, as previously reported at Vostok, Dome Fuji, and EPICA Dronning Maud Land. We propose a mechanism that links accumulation rate, firn permeability, and convective mixing in the top meters of the firn to explain this correlation between delta N-15 and ice deuterium content. The tightest correlation is observed over glacial terminations, supporting the idea that delta N-15 is a property in the gas phase that records changes in surface conditions linked to deglacial warming. (C) 2009 Elsevier Ltd. All rights reserved.</t>
  </si>
  <si>
    <t>[Dreyfus, Gabrielle B.; Jouzel, Jean; Landais, Amaelle; Masson-Delmotte, Valerie] CE Saclay, UVSQ, CNRS,Inst Pierre Simon Laplace, CEA,Lab Sci Climat &amp; Environm, F-91191 Gif Sur Yvette, France; [Dreyfus, Gabrielle B.; Bender, Michael L.] Princeton Univ, Dept Geosci, Princeton, NJ 08540 USA; [Leuenberger, Markus] Univ Bern, Inst Phys, CH-3012 Bern, Switzerland; [Leuenberger, Markus] Univ Bern, Oeschger Ctr Climate Change Res, Bern, Switzerland</t>
  </si>
  <si>
    <t>Universite Paris Saclay; Universite Paris Cite; CEA; Centre National de la Recherche Scientifique (CNRS); Princeton University; University of Bern; University of Bern</t>
  </si>
  <si>
    <t>Dreyfus, GB (corresponding author), CE Saclay, UVSQ, CNRS,Inst Pierre Simon Laplace, CEA,Lab Sci Climat &amp; Environm, F-91191 Gif Sur Yvette, France.</t>
  </si>
  <si>
    <t>gdreyfus@post.harvard.edu</t>
  </si>
  <si>
    <t>Leuenberger, Markus C/K-9655-2016; Masson-Delmotte, Valerie L/G-1995-2011</t>
  </si>
  <si>
    <t>Leuenberger, Markus C/0000-0003-4299-6793; Masson-Delmotte, Valerie L/0000-0001-8296-381X; LANDAIS, Amaelle/0000-0002-5620-5465</t>
  </si>
  <si>
    <t>French research agency ANR; Office of Polar Programs (NSF); Gary Comer Family Foundation; Balzan Foundation; U.S. National Science Foundation; French Commissariat a l'Energie Atomique; EU (EPICA-MIS)</t>
  </si>
  <si>
    <t>French research agency ANR(Agence Nationale de la Recherche (ANR)); Office of Polar Programs (NSF); Gary Comer Family Foundation; Balzan Foundation; U.S. National Science Foundation(National Science Foundation (NSF)); French Commissariat a l'Energie Atomique(French Atomic Energy Commission); EU (EPICA-MIS)(European Union (EU))</t>
  </si>
  <si>
    <t>We thank Bruce Barnett for developing the Princeton analytical system, and for his and Bob Mika's technical expertise. This work benefited from insightful discussions with J.-M. Barnola, F. Parrenin, E. Capron, and N. Caillon. Thoughtful reviews by J. Severinghaus and K. Kawamura contributed to improving this work, and are gratefully acknowledged. The authors also wish to thank B. Minster, G. Teste, A. Tisserand, O. Cattani, R. Spahni, and M. Debret for their technical and logistical help. This work was supported by a grant from the French research agency ANR (PICC), the Office of Polar Programs (NSF), the Gary Comer Family Foundation, and the Balzan Foundation. GBD received funding from the U.S. National Science Foundation and the French Commissariat a l'Energie Atomique. This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logistics support was provided by IPEV and PNRA (at Dome C) and AWI (at Dronning Maud Land). This is EPICA publication no. 243.</t>
  </si>
  <si>
    <t>10.1016/j.quascirev.2009.10.012</t>
  </si>
  <si>
    <t>WOS:000274958000004</t>
  </si>
  <si>
    <t>Singarayer, JS; Valdes, PJ</t>
  </si>
  <si>
    <t>Singarayer, Joy S.; Valdes, Paul J.</t>
  </si>
  <si>
    <t>High-latitude climate sensitivity to ice-sheet forcing over the last 120 kyr</t>
  </si>
  <si>
    <t>PMIP2 COUPLED SIMULATIONS; GLACIAL MAXIMUM; OCEAN CIRCULATION; ARCTIC CLIMATE; THERMOHALINE CIRCULATION; POLAR AMPLIFICATION; HOLOCENE CLIMATE; ATLANTIC-OCEAN; SEA-ICE; MODEL</t>
  </si>
  <si>
    <t>Interpretation of ice-core records is currently limited by paucity of modelling at adequate temporal and spatial resolutions. Several key questions relate to mechanisms of polar amplification and inter-hemispheric coupling on glacial/interglacial timescales. Here, we present the first results from a large set of global ocean-atmosphere climate model 'snap-shot' simulations covering the last 120 000 years using the Hadley Centre climate model (HadCM3) at up to 1 kyr temporal resolution. Two sets of simulations were performed in order to examine the roles of orbit and greenhouse gases versus ice-sheet forcing of orbital-scale climate change. A series of idealised Heinrich events were also simulated, but no changes to aerosols or vegetation were prescribed. This paper focuses on high latitudes and inter-hemispheric linkages. The simulations reproduce polar temperature trends well compared to ice-core reconstructions, although the magnitude is underestimated. Polar amplification varies with obliquity, but this variability is dampened by including variations in land ice coverage, while the overall amplification factor increases. The relatively constant amplification of Antarctic temperatures (with ice-sheet forcing included) suggests it is possible to use Antarctic temperature reconstructions to estimate global changes (which are roughly half the magnitude). Atlantic Ocean overturning circulation varies considerably only with the introduction of Northern Hemisphere ice sheets, but only weakens in the North Atlantic in the deep glacial, when ocean-sea-ice feedbacks result in the movement of the region of deep convection to lower latitudes and with the introduction of freshwater to the surface North Atlantic in order to simulate Heinrich events. (C) 2009 Elsevier Ltd. All rights reserved.</t>
  </si>
  <si>
    <t>[Singarayer, Joy S.; Valdes, Paul J.] Univ Bristol, Sch Geog Sci, BRIDGE, Bristol BS8 1SS, Avon, England; [Singarayer, Joy S.] Univ Bristol, Sch Geog Sci, Bristol Glaciol Ctr, Bristol BS8 1SS, Avon, England</t>
  </si>
  <si>
    <t>Singarayer, JS (corresponding author), Univ Bristol, Sch Geog Sci, BRIDGE, Univ Rd, Bristol BS8 1SS, Avon, England.</t>
  </si>
  <si>
    <t>joy.singarayer@bris.ac.uk</t>
  </si>
  <si>
    <t>Valdes, Paul J/C-4129-2013; Valdes, Paul/T-2004-2019</t>
  </si>
  <si>
    <t>Valdes, Paul/0000-0002-1902-3283</t>
  </si>
  <si>
    <t>Natural Environment Research Council [NE/E007600/1] Funding Source: researchfish; NERC [NE/E007600/1] Funding Source: UKRI</t>
  </si>
  <si>
    <t>10.1016/j.quascirev.2009.10.011</t>
  </si>
  <si>
    <t>WOS:000274958000005</t>
  </si>
  <si>
    <t>Timmermann, A; Menviel, L; Okumura, Y; Schilla, A; Merkel, U; Timm, O; Hu, AX; Otto-Bliesner, B; Schulz, M</t>
  </si>
  <si>
    <t>Timmermann, Axel; Menviel, Laurie; Okumura, Yuko; Schilla, Annalisa; Merkel, Ute; Timm, Oliver; Hu, Aixue; Otto-Bliesner, Bette; Schulz, Michael</t>
  </si>
  <si>
    <t>Towards a quantitative understanding of millennial-scale Antarctic warming events</t>
  </si>
  <si>
    <t>COUPLED CLIMATE MODELS; MERIDIONAL OVERTURNING CIRCULATION; FRESH-WATER; NORTH-ATLANTIC; SEA-ICE; OCEAN CIRCULATION; THERMOHALINE CIRCULATION; SOUTHERN OSCILLATION; TROPICAL PACIFIC; ATMOSPHERIC CO2</t>
  </si>
  <si>
    <t>The interhemispheric temperature response to a meltwater-induced weakening of the Atlantic Meridional Overturning Circulation (AMOC) is characterized by a Northern Hemispheric cooling and a Southern Hemispheric warming. This so-called bipolar seesaw pattern explains many millennial-scale features identified in paleo-proxy records from both hemispheres. Here we present modeling evidence that suggests that the Southern Hemispheric response to a weakening of the AMOC includes elements that have previously been overlooked. Under present-day conditions, an AMOC weakening leads to an intensification of the negative phase of the Pacific South America (PSA) pattern with its southernmost pole north of the Ross Sea. An intensified PSA pattern may lead to a regional cooling of Marie Byrd Land, thereby favoring an in-phase temperature relationship between the Northern Hemisphere and the western side of the West Antarctic Ice Sheet on millennial timescales, However, under glacial conditions due to reduced tropical diabatic forcing and reduced tropical extratropical teleconnections, the weakening of the AMOC induces a different austral winter-time atmospheric response pattern that is characterized by a wavenumber 2 structure and different air-temperature anomalies. We furthermore demonstrate that the observed CO2 changes that accompanied major disruptions of the AMOC may have helped to amplify Antarctic warming events (A-events) due to radiative forcing and the polar amplification mechanism. Our modeling results provide a new framework to explain a considerable fraction of the observed millennial-scale variance in Southern Hemispheric climate records during Marine Isotope Stage 3 (MIS3). (C) 2009 Elsevier Ltd. All rights reserved.</t>
  </si>
  <si>
    <t>[Timmermann, Axel; Menviel, Laurie; Timm, Oliver] Univ Hawaii, SOEST, IPRC, Honolulu, HI 96822 USA; [Okumura, Yuko; Hu, Aixue; Otto-Bliesner, Bette] NCAR, CGD, Boulder, CO 80305 USA; [Schilla, Annalisa] Calif Environm Protect Agcy, Air Resources Board, Sacramento, CA 95812 USA; [Merkel, Ute; Schulz, Michael] Univ Bremen, Ctr Marine Environm Sci MARUM, D-28334 Bremen, Germany</t>
  </si>
  <si>
    <t>University of Hawaii System; National Center Atmospheric Research (NCAR) - USA; California Environmental Protection Agency; University of Bremen</t>
  </si>
  <si>
    <t>Timmermann, A (corresponding author), Univ Hawaii, SOEST, IPRC, Honolulu, HI 96822 USA.</t>
  </si>
  <si>
    <t>axel@hawaii.edu</t>
  </si>
  <si>
    <t>Hu, Aixue/E-1063-2013; Menviel, Laurie/D-6902-2013; Menviel, Laurie/O-7833-2019; Timmermann, Axel/Y-2799-2019; Okumura, Yuko M/A-9742-2012; Otto-Bliesner, Bette/AAY-7691-2020; Elison Timm, Oliver/L-2543-2018; Schulz, Michael/P-7276-2016</t>
  </si>
  <si>
    <t>Hu, Aixue/0000-0002-1337-287X; Menviel, Laurie/0000-0002-5068-1591; Timmermann, Axel/0000-0003-0657-2969; Elison Timm, Oliver/0000-0001-8871-0602; Okumura, Yuko/0000-0002-1874-3465; Schulz, Michael/0000-0001-6500-2697</t>
  </si>
  <si>
    <t>NSF [ATM06-28393]; Japan Agency for Marine-Earth Science and Technology (JAMSTEC); NASA [NNX07AG53G]; NOAA [NA17RJ1230]</t>
  </si>
  <si>
    <t>NSF(National Science Foundation (NSF)); Japan Agency for Marine-Earth Science and Technology (JAMSTEC); NASA(National Aeronautics &amp; Space Administration (NASA)); NOAA(National Oceanic Atmospheric Admin (NOAA) - USA)</t>
  </si>
  <si>
    <t>We are grateful to J. Yin, B. Dong, and J. Jungclaus for providing the CGCM waterhosing data and E. Steig and S.-P. Xie for their insightful thoughts. This research was supported by NSF grant No. ATM06-28393. Additional support was provided by the Japan Agency for Marine-Earth Science and Technology (JAMSTEC), by NASA through grant No. NNX07AG53G, and by NOAA though grant No. NA17RJ1230 through their sponsorship of research activities at the International Pacific Research Center. Y. Okumura is Supported by the NOAA Climate and Global Change Postdoctoral Program. This is IPRC Number 610 and SOEST contribution Number 7751.</t>
  </si>
  <si>
    <t>10.1016/j.quascirev.2009.06.021</t>
  </si>
  <si>
    <t>WOS:000274958000007</t>
  </si>
  <si>
    <t>Masson-Delmotte, V; Stenni, B; Pol, K; Braconnot, P; Cattani, O; Falourd, S; Kageyama, M; Jouzel, J; Landais, A; Minster, B; Barnola, JM; Chappellaz, J; Krinner, G; Johnsen, S; Röthlisberger, R; Hansen, J; Mikolajewicz, U; Otto-Bliesner, B</t>
  </si>
  <si>
    <t>Masson-Delmotte, V.; Stenni, B.; Pol, K.; Braconnot, P.; Cattani, O.; Falourd, S.; Kageyama, M.; Jouzel, J.; Landais, A.; Minster, B.; Barnola, J. M.; Chappellaz, J.; Krinner, G.; Johnsen, S.; Roethlisberger, R.; Hansen, J.; Mikolajewicz, U.; Otto-Bliesner, B.</t>
  </si>
  <si>
    <t>EPICA Dome C record of glacial and interglacial intensities</t>
  </si>
  <si>
    <t>GENERAL-CIRCULATION MODEL; ORBITAL-SCALE CHANGES; LAST 800,000 YEARS; VOSTOK ICE CORE; ATMOSPHERIC CO2; ANTARCTIC TEMPERATURE; SOUTHERN-HEMISPHERE; EAST ANTARCTICA; CLIMATE VARIABILITY; MILLENNIAL-SCALE</t>
  </si>
  <si>
    <t>Climate models show strong links between Antarctic and global temperature both in future and in glacial climate simulations. Past Antarctic temperatures can be estimated from measurements of water stable isotopes along the EPICA Dome C ice core over the past 800 000 years. Here we focus on the reliability of the relative intensities of glacial and interglacial periods derived from the stable isotope profile. The consistency between stable isotope-derived temperature and other environmental and climatic proxies measured along the EDC ice core is analysed at the orbital scale and compared with estimates of global ice volume. MIS 2,12 and 16 appear as the strongest glacial maxima, while MIS 5.5 and 11 appear as the warmest interglacial maxima. The links between EDC temperature, global temperature, local and global radiative forcings are analysed. We show: (i) a strong but changing link between EDC temperature and greenhouse gas global radiative forcing in the first and second part of the record; (ii) a large residual signature of obliquity in EDC temperature with a 5 ky lag; (iii) the exceptional character of temperature variations within interglacial periods. Focusing on MIS 5.5, the warmest interglacial of EDC record, we show that orbitally forced coupled climate models only Simulate a precession-induced shift of the Antarctic seasonal cycle of temperature. While they do capture annually persistent Greenland warmth, models fail to capture the warming indicated by Antarctic ice core delta D. We suggest that the model-data mismatch may result from the lack of feedbacks between ice sheets and climate including both local Antarctic effects due to changes in ice sheet topography and global effects due to meltwater-thermohaline circulation interplays. An MIS 5.5 sensitivity study conducted with interactive Greenland melt indeed induces a slight Antarctic warming. We suggest that interglacial EDC optima are caused by transient heat transport redistribution comparable with glacial north-south seesaw abrupt climatic changes. (C) 2009 Elsevier Ltd. All rights reserved.</t>
  </si>
  <si>
    <t>[Masson-Delmotte, V.; Pol, K.; Braconnot, P.; Cattani, O.; Falourd, S.; Kageyama, M.; Jouzel, J.; Landais, A.; Minster, B.] CEA Saclay, CNRS, UVSQ,UMR 1572,IPSL, Lab Sci Climat &amp; Environm, F-91191 Gif Sur Yvette, France; [Stenni, B.] Univ Trieste, Dipartimento Sci Geol Ambientali &amp; Marina, I-34127 Trieste, Italy; [Barnola, J. M.; Chappellaz, J.; Krinner, G.] Univ Grenoble 1, CNRS, UMR 5183, Lab Glaciol &amp; Geophys Environm, F-38402 St Martin Dheres, France; [Johnsen, S.] Dept Geophys, DK-2100 Copenhagen, Denmark; [Roethlisberger, R.] British Antarctic Survey, Cambridge CB3 0ET, England; [Hansen, J.] NASA, Goddard Inst Space Studies, New York, NY 10025 USA; [Hansen, J.] Columbia Univ, Earth Inst, New York, NY 10027 USA; [Mikolajewicz, U.] Max Planck Inst Meteorol, D-20146 Hamburg, Germany; [Otto-Bliesner, B.] Natl Ctr Atmospher Res, CGD, CCR, Boulder, CO 80307 USA</t>
  </si>
  <si>
    <t>Universite Paris Cite; Universite Paris Saclay; CEA; Centre National de la Recherche Scientifique (CNRS); University of Trieste; Centre National de la Recherche Scientifique (CNRS); Communaute Universite Grenoble Alpes; Universite Grenoble Alpes (UGA); UK Research &amp; Innovation (UKRI); Natural Environment Research Council (NERC); NERC British Antarctic Survey; National Aeronautics &amp; Space Administration (NASA); NASA Goddard Space Flight Center; Goddard Institute for Space Studies; Columbia University; Max Planck Society; National Center Atmospheric Research (NCAR) - USA</t>
  </si>
  <si>
    <t>Masson-Delmotte, V (corresponding author), CEA Saclay, CNRS, UVSQ,UMR 1572,IPSL, Lab Sci Climat &amp; Environm, Bat 701, F-91191 Gif Sur Yvette, France.</t>
  </si>
  <si>
    <t>valerie.masson@cea.fr</t>
  </si>
  <si>
    <t>Krinner, Gerhard/AAB-8837-2022; Otto-Bliesner, Bette/AAY-7691-2020; Chappellaz, Jérôme A./A-4872-2011; Masson-Delmotte, Valerie L/G-1995-2011; Krinner, Gerhard/A-6450-2011; Kageyama, Masa/F-2389-2010</t>
  </si>
  <si>
    <t>Krinner, Gerhard/0000-0002-2959-5920; Masson-Delmotte, Valerie L/0000-0001-8296-381X; POL, Katy/0000-0002-3467-3698; Stenni, Barbara/0000-0003-4950-3664; Kageyama, Masa/0000-0003-0822-5880; LANDAIS, Amaelle/0000-0002-5620-5465</t>
  </si>
  <si>
    <t>EU (EPICA-MIS); ANR (Agence Nationale de la Recherche); NERC [bas0100024, bas010016] Funding Source: UKRI; Natural Environment Research Council [bas010016, bas0100024] Funding Source: researchfish</t>
  </si>
  <si>
    <t>EU (EPICA-MIS)(European Union (EU)); ANR (Agence Nationale de la Recherche)(Agence Nationale de la Recherche (ANR)); NERC(UK Research &amp; Innovation (UKRI)Natural Environment Research Council (NERC)); Natural Environment Research Council(UK Research &amp; Innovation (UKRI)Natural Environment Research Council (NERC))</t>
  </si>
  <si>
    <t>We thank J.R. Petit, G. Raisbeck and M. Werner, A. Timmermann and two anonymous reviewers for constructive comments on the manuscript. 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(at Dome C) and AWI (at Dronning Maud Land). LSCE ice core work has been supported by ANR (Agence Nationale de la Recherche) PICC and NEEM-France projects. We acknowledge the modelling groups for providing their data for analysis, the CMIP (Climate Model Intercomparison Project) and PMIP (Paleoclimate Modelling Intercomparison Project) for collecting and archiving the model data. This is EPICA publication 233 and LSCE publication 4017.</t>
  </si>
  <si>
    <t>1873-457X</t>
  </si>
  <si>
    <t>10.1016/j.quascirev.2009.09.030</t>
  </si>
  <si>
    <t>WOS:000274958000010</t>
  </si>
  <si>
    <t>Köhler, P; Bintanja, R; Fischer, H; Joos, F; Knutti, R; Lohmann, G; Masson-Delmotte, V</t>
  </si>
  <si>
    <t>Koehler, Peter; Bintanja, Richard; Fischer, Hubertus; Joos, Fortunat; Knutti, Reto; Lohmann, Gerrit; Masson-Delmotte, Valerie</t>
  </si>
  <si>
    <t>What caused Earth's temperature variations during the last 800,000 years? Data-based evidence on radiative forcing and constraints on climate sensitivity</t>
  </si>
  <si>
    <t>OPPOSITELY DIRECTED TRENDS; PMIP2 COUPLED SIMULATIONS; SURFACE AIR-TEMPERATURE; EPICA ICE CORES; SEA-LEVEL RISE; GLACIAL-MAXIMUM; VEGETATION CHANGES; PALEOCLIMATE DATA; SOLAR IRRADIANCE; EAST ANTARCTICA</t>
  </si>
  <si>
    <t>The temperature on Earth varied largely in the Pleistocene from cold glacials to interglacials of different warmths. To contribute to an understanding of the underlying causes of these changes we compile various environmental records (and model-based interpretations of some of them) in order to calculate the direct effect of various processes on Earth's radiative budget and, thus, on global annual mean surface temperature over the last 800,000 years. The importance of orbital variations, of the greenhouse gases CO2, CH4 and N2O, of the albedo of land ice sheets, annual mean snow cover, sea ice area and vegetation, and of the radiative perturbation of mineral dust in the atmosphere are investigated. Altogether we can explain with these processes a global cooling of 3.9 +/- 0.8 K in the equilibrium temperature for the Last Glacial Maximum (LGM) directly from the radiative budget using only the Planck feedback that parameterises the direct effect on the radiative balance, but neglecting other feedbacks such as water vapour, cloud cover, and lapse rate. The unaccounted feedbacks and related uncertainties would, if taken at present day feedback strengths, decrease the global temperature at the LGM by -8.0 +/- 1.6 K. Increased Antarctic temperatures during the Marine Isotope Stages 5.5, 7.5, 9.3 and 11.3 are in our conceptual approach difficult to explain. If compared with other studies, such as PMIP2, this gives supporting evidence that the feedbacks themselves are not constant, but depend in their strength on the mean climate state. The best estimate and uncertainty for our reconstructed radiative forcing and LGM cooling Support a present day equilibrium climate sensitivity (excluding the ice sheet and vegetation components) between 1.4 and 5.2 K, with a most likely value near 2.4 K, somewhat smaller than other methods but consistent with the consensus range of 2-4.5 K derived from other lines of evidence. Climate sensitivities above 6 K are difficult to reconcile with Last Glacial Maximum reconstructions. (C) 2009 Elsevier Ltd. All rights reserved.</t>
  </si>
  <si>
    <t>[Koehler, Peter; Lohmann, Gerrit] Alfred Wegener Inst Polar &amp; Marine Res, D-27515 Bremerhaven, Germany; [Bintanja, Richard] KNMI Royal Netherlands Meteorol Inst, NL-3732 GK De Bilt, Netherlands; [Fischer, Hubertus; Joos, Fortunat] Univ Bern, Inst Phys, CH-3012 Bern, Switzerland; [Fischer, Hubertus; Joos, Fortunat] Univ Bern, Oeschger Ctr Climate Change Res, CH-3012 Bern, Switzerland; [Knutti, Reto] ETH, Inst Atmospher &amp; Climate Sci, CH-8092 Zurich, Switzerland; [Masson-Delmotte, Valerie] CEA, CNRS, UMR 1572,UVSQ, IPSL,Lab Sci Climat &amp; Environm, F-91191 Gif Sur Yvette, France</t>
  </si>
  <si>
    <t>Helmholtz Association; Alfred Wegener Institute, Helmholtz Centre for Polar &amp; Marine Research; Royal Netherlands Meteorological Institute; University of Bern; University of Bern; Swiss Federal Institutes of Technology Domain; ETH Zurich; Universite Paris Cite; CEA; Centre National de la Recherche Scientifique (CNRS); Universite Paris Saclay</t>
  </si>
  <si>
    <t>Köhler, P (corresponding author), Alfred Wegener Inst Polar &amp; Marine Res, POB 120161, D-27515 Bremerhaven, Germany.</t>
  </si>
  <si>
    <t>peter.koehler@awi.de</t>
  </si>
  <si>
    <t>Lohmann, Gerrit/M-7453-2016; Köhler, Peter/F-7293-2010; Knutti, Reto/B-8763-2008; Joos, Fortunat/B-4118-2018; Masson-Delmotte, Valerie L/G-1995-2011; Fischer, Hubertus/A-1211-2014</t>
  </si>
  <si>
    <t>Lohmann, Gerrit/0000-0003-2089-733X; Köhler, Peter/0000-0003-0904-8484; Knutti, Reto/0000-0001-8303-6700; Joos, Fortunat/0000-0002-9483-6030; Masson-Delmotte, Valerie L/0000-0001-8296-381X; Fischer, Hubertus/0000-0002-2787-4221; Bintanja, Richard/0000-0002-0465-5923</t>
  </si>
  <si>
    <t>EU (EPICA-MIS); Swiss National Science Foundation; Agence Nationale de la Recherche (ANR)</t>
  </si>
  <si>
    <t>EU (EPICA-MIS)(European Union (EU)); Swiss National Science Foundation(Swiss National Science Foundation (SNSF)); Agence Nationale de la Recherche (ANR)(Agence Nationale de la Recherche (ANR))</t>
  </si>
  <si>
    <t>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(at Dome C) and AWI (at Dronning Maud Land). This is EPICA publication no. 240. We like to thank D. Luthi and P. Kaufmann for providing data sets prior to publication, and M. Siddall, M. Crucifix, and C. Waelbroeck for in-depth reviews. FJ acknowledges support by the Swiss National Science Foundation and VMD by Agence Nationale de la Recherche (ANR, projects PICC and NEEM).</t>
  </si>
  <si>
    <t>10.1016/j.quascirev.2009.09.026</t>
  </si>
  <si>
    <t>WOS:000274958000011</t>
  </si>
  <si>
    <t>Stenni, B; Masson-Delmotte, V; Selmo, E; Oerter, H; Meyer, H; Röthlisberger, R; Jouzel, J; Cattani, O; Falourd, S; Fischer, H; Hoffmann, G; Iacumin, P; Johnsen, SJ; Minster, B; Udisti, R</t>
  </si>
  <si>
    <t>Stenni, B.; Masson-Delmotte, V.; Selmo, E.; Oerter, H.; Meyer, H.; Roethlisberger, R.; Jouzel, J.; Cattani, O.; Falourd, S.; Fischer, H.; Hoffmann, G.; Iacumin, P.; Johnsen, S. J.; Minster, B.; Udisti, R.</t>
  </si>
  <si>
    <t>The deuterium excess records of EPICA Dome C and Dronning Maud Land ice cores (East Antarctica)</t>
  </si>
  <si>
    <t>SOUTHERN-OCEAN; ISOTOPIC COMPOSITION; CLIMATE VARIABILITY; WATER ISOTOPES; SURFACE; PRECIPITATION; MODEL; DUST; TEMPERATURES; CIRCULATION</t>
  </si>
  <si>
    <t>New high-resolution deuterium excess (d) data from the two EPICA ice cores drilled in Dronning Maud Land (EDML) and Dome C (EDC) are presented here. The main moisture sources for precipitation at EDC and EDML are located in the Indian Ocean and Atlantic Ocean, respectively. The more southward moisture origin for EDML is reflected in a lower present-day d value, compared to EDC. The EDML and EDC isotopic records (delta O-18 and d) show the main climate features common to the East Antarctic plateau and similar millennial scale climate variability during the last glacial period. However, quite large delta O-18 and d differences are observed during MIS5.5 and the glacial inception with a long-term behaviour. A possibility for this long-term difference could be related to uncertainties in past accumulation rate which are used in the glaciological models. Regional climate anomalies between the two sites during MIS5.5 could also be consistent with the observed EDML-EDC delta O-18 and d gradient anomalies. Simulations performed with the General Circulation Model ECHAM4 for different time slices provide a temporal temperature/isotope slope for the EDML region in fair agreement to the modern spatial slope. T-site and T-source records are extracted from both ice cores, using a modelling approach, after corrections for past 8180 seawater and elevation changes. A limited impact of d on Antarctic temperature reconstruction at both EDML and EDC has been found with a higher impact only at glacial inception. The AIM (Antarctic Isotope Maximum) events in both ice cores are visible also after the source correction, suggesting that these are real climate features of the glacial period. The different shape of the AIM events between EDC and EDML, as well as some climate features in the early Holocene, points to a slightly different climate evolution at regional scale. A comparison of our temperature reconstruction profiles with the aerosol fluxes show a strong coupling of the nssCa fluxes with Antarctic temperatures during glacial period and a tighter coupling of delta O-18 and T-site with ssNa flux at EDML compared to EDC during the glacial period and MIS5.5. (C) 2009 Elsevier Ltd. All rights reserved.</t>
  </si>
  <si>
    <t>[Stenni, B.] Univ Trieste, Dept Geol Environm &amp; Marine Sci, I-34127 Trieste, Italy; [Masson-Delmotte, V.; Jouzel, J.; Cattani, O.; Falourd, S.; Hoffmann, G.; Minster, B.] CEA Saclay, CNRS, UMR 1572,CEA, UVSQ,IPSL,LSCE, F-91191 Gif Sur Yvette, France; [Selmo, E.; Iacumin, P.] Univ Parma, Dept Earth Sci, I-43100 Parma, Italy; [Oerter, H.] Alfred Wegener Inst Polar &amp; Marine Res, D-2850 Bremerhaven, Germany; [Meyer, H.] Alfred Wegener Inst Polar &amp; Marine Res, Potsdam, Germany; [Roethlisberger, R.] British Antarctic Survey, Cambridge CB3 0ET, England; [Fischer, H.] Univ Bern, Inst Phys, CH-3012 Bern, Switzerland; [Fischer, H.] Univ Bern, Oeschger Ctr Climate Change Res, CH-3012 Bern, Switzerland; [Johnsen, S. J.] Univ Copenhagen, Niels Bohr Inst, Ctr Ice &amp; Climate, DK-2100 Copenhagen, Denmark; [Udisti, R.] Univ Florence, Dept Chem, Florence, Italy</t>
  </si>
  <si>
    <t>University of Trieste; Universite Paris Cite; Universite Paris Saclay; CEA; Centre National de la Recherche Scientifique (CNRS); University of Parma; Helmholtz Association; Alfred Wegener Institute, Helmholtz Centre for Polar &amp; Marine Research; Helmholtz Association; Alfred Wegener Institute, Helmholtz Centre for Polar &amp; Marine Research; UK Research &amp; Innovation (UKRI); Natural Environment Research Council (NERC); NERC British Antarctic Survey; University of Bern; University of Bern; University of Copenhagen; Niels Bohr Institute; University of Florence</t>
  </si>
  <si>
    <t>Stenni, B (corresponding author), Univ Trieste, Dept Geol Environm &amp; Marine Sci, Via E Weiss 2, I-34127 Trieste, Italy.</t>
  </si>
  <si>
    <t>stenni@univ.trieste.it</t>
  </si>
  <si>
    <t>Masson-Delmotte, Valerie L/G-1995-2011; Udisti, Roberto/M-7966-2015; Iacumin, Paola/AAV-8855-2021; Meyer, Hanno/AAQ-4260-2021; Fischer, Hubertus/A-1211-2014</t>
  </si>
  <si>
    <t>Masson-Delmotte, Valerie L/0000-0001-8296-381X; Udisti, Roberto/0000-0003-4440-8238; Meyer, Hanno/0000-0003-4129-4706; Stenni, Barbara/0000-0003-4950-3664; Iacumin, Paola/0000-0001-6944-1814; Becagli, Silvia/0000-0003-3633-4849; Fischer, Hubertus/0000-0002-2787-4221</t>
  </si>
  <si>
    <t>EU (EPICA-MIS); ANR; NERC [bas0100024, bas010016] Funding Source: UKRI; Natural Environment Research Council [bas0100024, bas010016] Funding Source: researchfish</t>
  </si>
  <si>
    <t>EU (EPICA-MIS)(European Union (EU)); ANR(Agence Nationale de la Recherche (ANR)); NERC(UK Research &amp; Innovation (UKRI)Natural Environment Research Council (NERC)); Natural Environment Research Council(UK Research &amp; Innovation (UKRI)Natural Environment Research Council (NERC))</t>
  </si>
  <si>
    <t>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(at Dome Q and AWI (at Dronning Maud Land). LSCE work is funded by ANR. This is EPICA publication no 235.</t>
  </si>
  <si>
    <t>10.1016/j.quascirev.2009.10.009</t>
  </si>
  <si>
    <t>WOS:000274958000012</t>
  </si>
  <si>
    <t>Siddall, M; Hönisch, B; Waelbroeck, C; Huybers, P</t>
  </si>
  <si>
    <t>Siddall, Mark; Hoenisch, Baerbel; Waelbroeck, Claire; Huybers, Peter</t>
  </si>
  <si>
    <t>Changes in deep Pacific temperature during the mid-Pleistocene transition and Quaternary</t>
  </si>
  <si>
    <t>MIDDLE PLEISTOCENE TRANSITION; LAST GLACIAL MAXIMUM; SEA-LEVEL; CLIMATE-CHANGE; ICE-SHEET; OCEAN TEMPERATURE; ANTARCTIC CLIMATE; MODEL; CYCLE; EVOLUTION</t>
  </si>
  <si>
    <t>An attempt is made to unravel the dual influences of seawater temperature and isotopic composition upon the oxygen-isotope records of benthic foraminifers from the deep Pacific (delta O-18(b)). Our approach is to estimate a non-linear transfer function between past sea level and delta O-18(b) over the last two glacial cycles, with additional information from the mid-Pliocene. Combining this transfer function with the relationship between temperature and delta O-18(b) permits a deconvolution Of a delta O-18(b) record from the deep Pacific into its temperature and sea-level constituents over the course of the Plio-Pleistocene. This deconvolution indicates that deep Pacific temperature is stable through much of the last glacial (MISs 4 through 2) and then increases by approximately 2 degrees C during the last deglaciation. This pattern of variability appears to generally be replicated every glacial cycle back to the mid-Pliocene, suggesting a pulse of warming in the deep Pacific on a similar to 100 kyr time scale during the late Pleistocene. Thus, according to this partition, there is more similar to 100 kyr variability in temperature than in ice variability. Spectral analysis reveals that this variability is likely the product of multiple obliquity cycles rather than a simple 100-kyr signal. The non-linear behaviour of deep ocean temperature, dominated by pulses at 100 kyr time scales, may identify it as a key player in governing the glacial cycles. (C) 2009 Elsevier Ltd. All rights reserved.</t>
  </si>
  <si>
    <t>[Siddall, Mark] Univ Bristol, Dept Earth Sci, Bristol, Avon, England; [Hoenisch, Baerbel] Columbia Univ, Lamont Doherty Earth Observ, Palisades, NY 10964 USA; [Waelbroeck, Claire] CEA, CNRS, UVSQ, IPSL,LSCE, F-91198 Gif Sur Yvette, France; [Huybers, Peter] Harvard Univ, Cambridge, MA 02138 USA</t>
  </si>
  <si>
    <t>University of Bristol; Columbia University; Universite Paris Saclay; Universite Paris Cite; CEA; Centre National de la Recherche Scientifique (CNRS); Harvard University</t>
  </si>
  <si>
    <t>Hoenisch, Baerbel/C-7530-2013; Hoenisch, Baerbel/ABF-4968-2021; IPO, PAGES/JXY-7546-2024</t>
  </si>
  <si>
    <t>Hoenisch, Baerbel/0000-0001-5844-3398; Hoenisch, Baerbel/0000-0001-5844-3398; Huybers, Peter/0000-0002-3734-8145; waelbroeck, claire/0000-0002-7256-5727</t>
  </si>
  <si>
    <t>10.1016/j.quascirev.2009.05.011</t>
  </si>
  <si>
    <t>WOS:000274958000014</t>
  </si>
  <si>
    <t>Fischer, H; Schmitt, J; Lüthi, D; Stocker, TF; Tschumi, T; Parekh, P; Joos, F; Köhler, P; Völker, C; Gersonde, R; Barbante, C; Le Floch, M; Raynaud, D; Wolff, E</t>
  </si>
  <si>
    <t>Fischer, Hubertus; Schmitt, Jochen; Luethi, Dieter; Stocker, Thomas F.; Tschumi, Tobias; Parekh, Payal; Joos, Fortunat; Koehler, Peter; Voelker, Christoph; Gersonde, Rainer; Barbante, Carlo; Le Floch, Martine; Raynaud, Dominique; Wolff, Eric</t>
  </si>
  <si>
    <t>The role of Southern Ocean processes in orbital and millennial CO2 variations - A synthesis</t>
  </si>
  <si>
    <t>LAST GLACIAL MAXIMUM; SEA-SALT AEROSOL; EPICA ICE CORES; ATMOSPHERIC CO2; CLIMATE VARIABILITY; CARBON-DIOXIDE; ANTARCTIC ICE; TAYLOR DOME; TEMPERATURE; CIRCULATION</t>
  </si>
  <si>
    <t>Recent progress in the reconstruction of atmospheric CO2 records from Antarctic ice cores has allowed for the documentation of natural CO2 variations on orbital time scales over the last up to 800,000 years and for the resolution of millennial CO2 variations during the last glacial cycle in unprecedented detail. This has shown that atmospheric CO2 varied within natural bounds of approximately 170-300 ppmv but never reached recent CO2 concentrations caused by anthropogenic CO2. emissions. In addition, the natural atmospheric CO2 concentrations show an extraordinary correlation with Southern Ocean climate changes, pointing to a significant (direct or indirect) influence of climatic and environmental changes in the Southern Ocean region on atmospheric CO2 concentrations. Here, we compile recent ice core and marine sediment records of atmospheric CO2, temperature and environmental changes in the Southern Ocean region, as well as carbon cycle model experiments, in order to quantify the effect of potential Southern Ocean processes on atmospheric CO2 related to these orbital and millennial changes. This shows that physical and biological changes in the SO are able to explain substantial parts of the glacial/interglacial CO2 change, but that none of the single processes is able to explain this change by itself. In particular, changes in the Southern Ocean related to changes in the surface buoyancy flux, which in return is controlled by the waxing and waning of sea ice may favorably explain the high correlation Of CO2 and Antarctic temperature on orbital and millennial time scales. In contrast, the changes of the position and strength of the westerly wind field were most likely too small to explain the observed changes in atmospheric CO2 or may even have increased atmospheric CO2 in the glacial. Also iron fertilization of the marine biota in the Southern Ocean contributes to a glacial drawdown Of CO2 but turns out to be limited by other factors than the total dust input such as bioavailability of iron or macronutrient supply. (C) 2009 Elsevier Ltd. All rights reserved.</t>
  </si>
  <si>
    <t>[Fischer, Hubertus; Schmitt, Jochen; Luethi, Dieter; Stocker, Thomas F.; Tschumi, Tobias; Parekh, Payal; Joos, Fortunat] Univ Bern, Inst Phys, CH-3012 Bern, Switzerland; [Fischer, Hubertus; Schmitt, Jochen; Luethi, Dieter; Stocker, Thomas F.; Tschumi, Tobias; Parekh, Payal; Joos, Fortunat] Univ Bern, Oeschger Ctr Climate Change Res, CH-3012 Bern, Switzerland; [Fischer, Hubertus; Schmitt, Jochen; Koehler, Peter; Voelker, Christoph; Gersonde, Rainer] Alfred Wegener Inst Polar &amp; Marine Res, D-2850 Bremerhaven, Germany; [Barbante, Carlo] Univ Venice, Dept Environm Sci, Ca Foscari, Italy; [Barbante, Carlo; Le Floch, Martine; Raynaud, Dominique] CNR, Inst Dynam Environm Proc, Venice, Italy; [Le Floch, Martine; Raynaud, Dominique; Wolff, Eric] Ecole Natl Super Electrochim &amp; Electrome Grenoble, Thermodynam &amp; Physicochim Met Lab, CNRS, LGGE, F-38402 St Martin Dheres, France; [Wolff, Eric] British Antarctic Survey, Cambridge CB3 0ET, England</t>
  </si>
  <si>
    <t>University of Bern; University of Bern; Helmholtz Association; Alfred Wegener Institute, Helmholtz Centre for Polar &amp; Marine Research; Universita Ca Foscari Venezia; Consiglio Nazionale delle Ricerche (CNR); Istituto per la Dinamica dei Processi Ambientali (IDPA-CNR); Communaute Universite Grenoble Alpes; Universite Grenoble Alpes (UGA); Institut National Polytechnique de Grenoble; Centre National de la Recherche Scientifique (CNRS); UK Research &amp; Innovation (UKRI); Natural Environment Research Council (NERC); NERC British Antarctic Survey</t>
  </si>
  <si>
    <t>Fischer, H (corresponding author), Univ Bern, Inst Phys, CH-3012 Bern, Switzerland.</t>
  </si>
  <si>
    <t>hubertus.fischer@climate.unibe.ch</t>
  </si>
  <si>
    <t>Wolff, Eric W/D-7925-2014; Köhler, Peter/F-7293-2010; Joos, Fortunat/B-4118-2018; Barbante, Carlo/B-3195-2011; Schmitt, Jochen/B-7893-2009; Raynaud, Dominique/H-9626-2016; Stocker, Thomas F/B-1273-2013; Voelker, Christoph/I-7891-2012; Fischer, Hubertus/A-1211-2014</t>
  </si>
  <si>
    <t>Wolff, Eric W/0000-0002-5914-8531; Köhler, Peter/0000-0003-0904-8484; Joos, Fortunat/0000-0002-9483-6030; Schmitt, Jochen/0000-0003-4695-3029; Voelker, Christoph/0000-0003-3032-114X; Fischer, Hubertus/0000-0002-2787-4221; Barbante, Carlo/0000-0003-4177-2288</t>
  </si>
  <si>
    <t>EU (EPICA-MIS); Swiss National Science Foundation; Prince Albert II of Monaco Foundation; NERC [bas010016, bas0100024] Funding Source: UKRI; Natural Environment Research Council [bas0100024, bas010016] Funding Source: researchfish</t>
  </si>
  <si>
    <t>EU (EPICA-MIS)(European Union (EU)); Swiss National Science Foundation(Swiss National Science Foundation (SNSF)); Prince Albert II of Monaco Foundation; NERC(UK Research &amp; Innovation (UKRI)Natural Environment Research Council (NERC)); Natural Environment Research Council(UK Research &amp; Innovation (UKRI)Natural Environment Research Council (NERC))</t>
  </si>
  <si>
    <t>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(at Dome C) and AWI (at Dronning Maud Land). TFS acknowledges support by the Swiss National Science Foundation and the Prince Albert II of Monaco Foundation. This is EPICA publication no. 225.</t>
  </si>
  <si>
    <t>10.1016/j.quascirev.2009.06.007</t>
  </si>
  <si>
    <t>WOS:000274958000016</t>
  </si>
  <si>
    <t>Jaccard, SL; Galbraith, ED; Sigman, DM; Haug, GH</t>
  </si>
  <si>
    <t>Jaccard, S. L.; Galbraith, E. D.; Sigman, D. M.; Haug, G. H.</t>
  </si>
  <si>
    <t>A pervasive link between Antarctic ice core and subarctic Pacific sediment records over the past 800 kyrs</t>
  </si>
  <si>
    <t>ATMOSPHERIC CO2 CONCENTRATIONS; NORTH PACIFIC; NORTHWESTERN PACIFIC; BIOLOGICAL PUMP; MARINE BARITE; BIOGENIC OPAL; DEEP-SEA; OCEAN; CLIMATE; FLUXES</t>
  </si>
  <si>
    <t>Recently developed XRF core-scanning methods permit paleoceanographic reconstructions on time-scales similar to those of ice-core records. We have investigated the distribution of biogenic barium (Ba/Al), opal and carbonate (Ca/Al) in a sediment core retrieved from the abyssal subarctic Pacific (ODP 882, 50 degrees N, 167 degrees E, 3244 m) over an interval that spans the full length of the EPICA Dome C (EDC) ice-core record. Ba/Al and biogenic opal show a strong resemblance to the EDC delta D and CO2, with generally high concentrations during interglacials and lower values during ice ages of the past 800 kyrs. The sedimentary Ba/Al and biogenic opal are most easily interpreted as indicating a reduced sinking flux of organic matter from the surface ocean during cold periods. The Ba/Al maxima during peak interglacials are accompanied by transient Ca/Al peaks in these otherwise carbonate-devoid sediments, which are best explained by a deepening of the calcite lysocline, presumably due to reduced storage of respired CO2 in the deep North Pacific. For most of the luke-warm interglacials noted between 420 and 750 ka in EDC, the Ba/Al peaks in ODP 882 are also lower, further strengthening the evidence for a simple physical link between global climate and the biogeochemistry of the subarctic Pacific. (C) 2009 Elsevier Ltd. All rights reserved.</t>
  </si>
  <si>
    <t>[Jaccard, S. L.; Haug, G. H.] ETH, Inst Geol, CH-8092 Zurich, Switzerland; [Galbraith, E. D.] McGill Univ, Montreal, PQ, Canada; [Sigman, D. M.] Princeton Univ, Dept Geosci, Princeton, NJ 08544 USA; [Haug, G. H.] Univ Potsdam, Inst Geosci, Leibniz Ctr Earth Surface &amp; Climate Studies, D-14476 Potsdam, Germany</t>
  </si>
  <si>
    <t>Swiss Federal Institutes of Technology Domain; ETH Zurich; McGill University; Princeton University; University of Potsdam</t>
  </si>
  <si>
    <t>Jaccard, SL (corresponding author), ETH, Inst Geol, CH-8092 Zurich, Switzerland.</t>
  </si>
  <si>
    <t>samuel.jaccard@erdw.ethz.ch</t>
  </si>
  <si>
    <t>Jaccard, Samuel/IZP-9669-2023; Sigman, Daniel M./A-2649-2008; Jaccard, Samuel/G-3447-2014; Galbraith, Eric D./F-9469-2014; Sigman, Daniel M./IYJ-2613-2023</t>
  </si>
  <si>
    <t>Sigman, Daniel M./0000-0002-7923-1973; Jaccard, Samuel/0000-0002-5793-0896; Galbraith, Eric D./0000-0003-4476-4232;</t>
  </si>
  <si>
    <t>This research used samples provided by the Ocean Drilling Program (ODP). ODP is sponsored by the U.S. National Science Foundation (NSF) and participating countries under the management of Joint Oceanographic Institutions (JOI), Inc. We thank C. Murray-Wallace as well as two anonymous reviewers for insightful and constructive comments.</t>
  </si>
  <si>
    <t>10.1016/j.quascirev.2009.10.007</t>
  </si>
  <si>
    <t>WOS:000274958000017</t>
  </si>
  <si>
    <t>Capron, E; Landais, A; Lemieux-Dudon, B; Schilt, A; Masson-Delmotte, V; Buiron, D; Chappellaz, J; Dahl-Jensen, D; Johnsen, S; Leuenberger, M; Loulergue, L; Oerter, H</t>
  </si>
  <si>
    <t>Capron, E.; Landais, A.; Lemieux-Dudon, B.; Schilt, A.; Masson-Delmotte, V.; Buiron, D.; Chappellaz, J.; Dahl-Jensen, D.; Johnsen, S.; Leuenberger, M.; Loulergue, L.; Oerter, H.</t>
  </si>
  <si>
    <t>Synchronising EDML and NorthGRIP ice cores using δ18O of atmospheric oxygen (δ18Oatm) and CH4 measurements over MIS5 (80-123 kyr)</t>
  </si>
  <si>
    <t>ABRUPT CLIMATE-CHANGE; EPICA DOME-C; DRONNING MAUD LAND; MILLENNIAL-SCALE; GREENLAND CLIMATE; POLAR ICE; ATLANTIC-OCEAN; CLOSE-OFF; ANTARCTICA; AIR</t>
  </si>
  <si>
    <t>Water isotope records from the EPICA Dronning Maud Land (EDML) and the NorthGRIP ice cores have revealed a one to one coupling between Antarctic Isotope Maxima (AIM) and Greenland Dansgaard-Oeschger (DO) events back to 50 kyr. In order to explore if this north-south coupling is persistent over Marine Isotopic Stage 5 (MIS 5). a common timescale must first be constructed. Here, we present new records of delta O-18 of O-2 (delta O-18(atm)) and methane (CH4) measured in the air trapped in ice from the EDML (68-147 kyr) and NorthGRIP (70-123 kyr) ice cores. We demonstrate that, through the period of interest, CH4 records alone are not sufficient to construct a common gas timescale between the two cores. Millennial-scale variations of delta O-18(atm) are evidenced over MIS 5 both on the Antarctic and Greenland ice cores and are coupled to CH4 profiles to synchronise the NorthGRIP and EDML records. They are shown to be a precious tool for ice core synchronisation. With this new dating strategy, we produce the first continuous and accurate sequence of the north-south climatic dynamics on a common ice timescale for the last glacial inception and the first DO events of MIS 5, reducing relative dating uncertainties to an accuracy of a few centuries at the onset of DO events 24 to 20. This EDML-NorthGRIP synchronisation provides new firm evidence that the bipolar seesaw is a pervasive pattern from the beginning of the glacial period. The relationship between Antarctic warming amplitudes and their concurrent Greenland stadial duration highlights the particularity of DO event 21 and its Antarctic counterpart. Our results suggest a smaller Southern Ocean warming rate for this long DO event compared to DO events of MIS 3. (C) 2009 Elsevier Ltd. All rights reserved.</t>
  </si>
  <si>
    <t>[Capron, E.; Landais, A.; Masson-Delmotte, V.] CEA, CNRS, Inst Pierre Simon Laplace, UVSQ,Lab Sci Climat &amp; Environm, F-91191 Gif Sur Yvette, France; [Lemieux-Dudon, B.; Buiron, D.; Chappellaz, J.; Loulergue, L.] UJF, CNRS, Lab Glaciol &amp; Geophys Environm, F-38400 St Martin Dheres, France; [Schilt, A.; Leuenberger, M.] Univ Bern, Inst Phys, CH-3012 Bern, Switzerland; [Schilt, A.; Leuenberger, M.] Univ Bern, Oeschger Ctr Climate Change Res, CH-3012 Bern, Switzerland; [Dahl-Jensen, D.; Johnsen, S.] Univ Copenhagen, Dept Geophys, DK-2100 Copenhagen, Denmark; [Oerter, H.] Alfred Wegener Inst Polar &amp; Marine Res, D-2850 Bremerhaven, Germany</t>
  </si>
  <si>
    <t>Universite Paris Cite; Universite Paris Saclay; CEA; Centre National de la Recherche Scientifique (CNRS); Communaute Universite Grenoble Alpes; Universite Grenoble Alpes (UGA); Centre National de la Recherche Scientifique (CNRS); University of Bern; University of Bern; University of Copenhagen; Helmholtz Association; Alfred Wegener Institute, Helmholtz Centre for Polar &amp; Marine Research</t>
  </si>
  <si>
    <t>Capron, E (corresponding author), CEA, CNRS, Inst Pierre Simon Laplace, UVSQ,Lab Sci Climat &amp; Environm, F-91191 Gif Sur Yvette, France.</t>
  </si>
  <si>
    <t>Chappellaz, Jérôme A./A-4872-2011; Masson-Delmotte, Valerie L/G-1995-2011; Dahl-Jensen, Dorthe/AAO-6951-2020; Leuenberger, Markus C/K-9655-2016</t>
  </si>
  <si>
    <t>Masson-Delmotte, Valerie L/0000-0001-8296-381X; Dahl-Jensen, Dorthe/0000-0002-1474-1948; Leuenberger, Markus C/0000-0003-4299-6793; LANDAIS, Amaelle/0000-0002-5620-5465</t>
  </si>
  <si>
    <t>10.1016/j.quascirev.2009.07.014</t>
  </si>
  <si>
    <t>WOS:000274958000019</t>
  </si>
  <si>
    <t>Landais, A; Dreyfus, G; Capron, E; Masson-Delmotte, V; Sanchez-Goñi, MF; Desprat, S; Hoffmann, G; Jouzel, J; Leuenberger, M; Johnsen, S</t>
  </si>
  <si>
    <t>Landais, A.; Dreyfus, G.; Capron, E.; Masson-Delmotte, V.; Sanchez-Goni, M. F.; Desprat, S.; Hoffmann, G.; Jouzel, J.; Leuenberger, M.; Johnsen, S.</t>
  </si>
  <si>
    <t>What drives the millennial and orbital variations of δ18Oatm?</t>
  </si>
  <si>
    <t>LAST GLACIAL MAXIMUM; DEEP ICE CORE; ATMOSPHERIC OXYGEN; SEA-LEVEL; CLIMATE-CHANGE; ISOTOPIC FRACTIONATION; ANTARCTIC CLIMATE; SUMMER MONSOON; CARBON-DIOXIDE; MARINE</t>
  </si>
  <si>
    <t>The isotopic composition of atmospheric oxygen (delta O-18(atm)) is a complex marker that integrates changes in global sea-level, water cycle, and biosphere productivity. A strong signature of orbital precession has been identified leading to the use of low-resolution measurements of delta O-18(atm) to date ice core records. However, the drivers of these delta O-18(atm) variations are still poorly known. Here, we combine records of millennial and orbital scale variations on the NorthGRIP, Vostok, and EPICA Dome C (EDC) ice cores to explore the origin of delta O-18(atm) variations. We show that, superimposed on the dominant precession signal, millennial delta O-18(atm) variations record systematic decreases during warm phases of the Dansgaard-Oeschger events and systematic increases during the cold phases. We show that at both timescales delta O-18(atm) is strongly related to the monsoon activity itself influenced by precessional and millennial shifts in Inter-Tropical Convergence Zone (ITCZ). Then, we show that despite its simplicity, the Dole effect defined as the difference between delta O-18(atm) and delta O-18 of global sea-level enables one to remove the obliquity signal within the delta O-18(atm) record and is a good indicator of hydrological cycle and biosphere productivity. Finally, we compare the delta O-18(atm) records to past changes in atmospheric composition recorded in ice cores and conclude that delta O-18(atm) responds much more than CH4 to precession signal, in contrast with earlier views. Similarities observed at orbital timescales between CO2 and delta O-18(atm) reveal a stronger coupling than previously thought between the carbon and the oxygen cycles. (C) 2009 Elsevier Ltd. All rights reserved.</t>
  </si>
  <si>
    <t>[Landais, A.; Dreyfus, G.; Capron, E.; Masson-Delmotte, V.; Desprat, S.; Hoffmann, G.; Jouzel, J.] CEA, CNRS, Inst Pierre Simon Laplace, Lab Sci Climat &amp; Environm,UVSQ, F-91191 Gif Sur Yvette, France; [Dreyfus, G.] Princeton Univ, Dept Geosci, Princeton, NJ 08544 USA; [Sanchez-Goni, M. F.] Univ Bordeaux 1, EPOC, CNRS, UMR 5805,EPHE, F-33405 Talence, France; [Leuenberger, M.] Univ Bern, Inst Phys, CH-3012 Bern, Switzerland; [Leuenberger, M.] Univ Bern, Oeschger Ctr Climate Res, CH-3012 Bern, Switzerland; [Johnsen, S.] Univ Copenhagen, Dept Geophys, DK-2100 Copenhagen, Denmark</t>
  </si>
  <si>
    <t>Universite Paris Cite; Universite Paris Saclay; CEA; Centre National de la Recherche Scientifique (CNRS); Princeton University; Universite de Bordeaux; Centre National de la Recherche Scientifique (CNRS); Universite PSL; Ecole Pratique des Hautes Etudes (EPHE); CNRS - National Institute for Earth Sciences &amp; Astronomy (INSU); University of Bern; University of Bern; University of Copenhagen</t>
  </si>
  <si>
    <t>Landais, A (corresponding author), CEA, CNRS, Inst Pierre Simon Laplace, Lab Sci Climat &amp; Environm,UVSQ, F-91191 Gif Sur Yvette, France.</t>
  </si>
  <si>
    <t>amaelle.landais@cea.fr</t>
  </si>
  <si>
    <t>Desprat, Stephanie/N-7637-2013; Leuenberger, Markus C/K-9655-2016; Masson-Delmotte, Valerie L/G-1995-2011; Sanchez Goñi, Maria Fernanda/R-3699-2019</t>
  </si>
  <si>
    <t>Desprat, Stephanie/0000-0003-4400-679X; Leuenberger, Markus C/0000-0003-4299-6793; Masson-Delmotte, Valerie L/0000-0001-8296-381X; Sanchez Goñi, Maria Fernanda/0000-0001-8238-7488; LANDAIS, Amaelle/0000-0002-5620-5465</t>
  </si>
  <si>
    <t>French research agency ANR PICC; ANR NEEM; Balzan Foundation; EU (EPICA-MIS)</t>
  </si>
  <si>
    <t>French research agency ANR PICC(Agence Nationale de la Recherche (ANR)); ANR NEEM(Agence Nationale de la Recherche (ANR)); Balzan Foundation; EU (EPICA-MIS)(European Union (EU))</t>
  </si>
  <si>
    <t>We appreciate helpful discussions with N. Bouttes, D. Roche, D. Paillard, S. Bonelli, S. Charbit, J. Lathiere, B. Malaize, R. Spahni, R. Wania as well as D. Luthi that provided the 200 ka splines analysis. We warmly thank B. Minster and A. Bouygues for their useful help on gas measurements. The comments of bothe the 2 reviewers and associated editor were extremely useful for strongly improving the manuscript. This work was supported by the French research agency ANR PICC and ANR NEEM as well as the Balzan Foundation. It is a contribution to the North Greenland Ice Core Project (NGRIP) and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This is LSCE contribution no 4013.</t>
  </si>
  <si>
    <t>10.1016/j.quascirev.2009.07.005</t>
  </si>
  <si>
    <t>WOS:000274958000020</t>
  </si>
  <si>
    <t>Vallelonga, P; Gabrielli, P; Balliana, E; Wegner, A; Delmonte, B; Turetta, C; Burton, G; Vanhaecke, F; Rosman, KJR; Hong, S; Boutron, CF; Cescon, P; Barbante, C</t>
  </si>
  <si>
    <t>Vallelonga, P.; Gabrielli, P.; Balliana, E.; Wegner, A.; Delmonte, B.; Turetta, C.; Burton, G.; Vanhaecke, F.; Rosman, K. J. R.; Hong, S.; Boutron, C. F.; Cescon, P.; Barbante, C.</t>
  </si>
  <si>
    <t>Lead isotopic compositions in the EPICA Dome C ice core and Southern Hemisphere Potential Source Areas</t>
  </si>
  <si>
    <t>PAST 800,000 YEARS; ANTHROPOGENIC LEAD; MASS-SPECTROMETRY; ANTARCTIC ICE; TRACE-ELEMENT; PB ISOTOPES; POLAR ICE; LAW DOME; DUST; AUSTRALIA</t>
  </si>
  <si>
    <t>A record of Pb isotopic compositions and Pb and Ba concentrations are presented for the EPICA Dome C ice core covering the past 220 ky, indicating the characteristics of dust and volcanic Pb deposition in central East Antarctica. Lead isotopic compositions are also reported in a suite of soil and loess samples from the Southern Hemisphere (Australia, Southern Africa, Southern South America, New Zealand, Antarctica) in order to evaluate the provenance of dust present in Antarctic ice. Lead isotopic compositions in Dome C ice Support the contention that Southern South America was an important source of dust in Antarctica during the last two glacial maxima, and furthermore suggest occasional dust contributions from local Antarctic sources. The isotopic signature of Pb in Antarctic ice is altered by the presence of volcanic Pb, inhibiting the evaluation of glacial-interglacial changes in dust sources and the evaluation of Australia as a source of dust to Antarctica. Consequently, an accurate evaluation of the predominant source(s) of Antarctic dust can only be obtained from glacial maxima, when dust-Pb concentrations were greatest. These data confirm that volcanic Pb is present throughout Antarctica and is emitted in a physical phase that is free from Ba, while dust Pb is transported within a matrix containing Ba and other crustal elements. (C) 2009 Elsevier Ltd. All rights reserved.</t>
  </si>
  <si>
    <t>[Vallelonga, P.; Turetta, C.; Cescon, P.; Barbante, C.] CNR, Inst Dynam Environm Proc, I-30123 Venice, Italy; [Vallelonga, P.; Burton, G.; Rosman, K. J. R.] Curtin Univ Technol, Dept Imaging &amp; Appl Phys, Perth, WA 6845, Australia; [Gabrielli, P.] Ohio State Univ, Sch Earth Sci, Columbus, OH 43210 USA; [Gabrielli, P.] Ohio State Univ, Byrd Polar Res Ctr, Columbus, OH 43210 USA; [Balliana, E.; Vanhaecke, F.] Univ Ghent, Dept Analyt Chem, B-9000 Ghent, Belgium; [Balliana, E.; Cescon, P.; Barbante, C.] Univ Venice Ca Foscari, Dept Environm Sci, I-30123 Venice, Italy; [Wegner, A.] Alfred Wegener Inst Polar &amp; Marine Res, D-2850 Bremerhaven, Germany; [Delmonte, B.] Univ Milano Bicocca, Dipartimento Sci Ambiente &amp; Terr, I-20126 Milan, Italy; [Hong, S.] KOPRI, Inchon 406840, South Korea; [Boutron, C. F.] Ecole Natl Super Electrochim &amp; Electrome Grenoble, Thermodynam &amp; Physicochim Met Lab, CNRS, Lab Glaciol &amp; Geophys, F-38402 St Martin Dheres, France; [Boutron, C. F.] Univ Grenoble 1, Inst Univ France, F-38041 Grenoble, France</t>
  </si>
  <si>
    <t>Consiglio Nazionale delle Ricerche (CNR); Istituto per la Dinamica dei Processi Ambientali (IDPA-CNR); Curtin University; University System of Ohio; Ohio State University; University System of Ohio; Ohio State University; Ghent University; Universita Ca Foscari Venezia; Helmholtz Association; Alfred Wegener Institute, Helmholtz Centre for Polar &amp; Marine Research; University of Milano-Bicocca; Korea Polar Research Institute (KOPRI); Centre National de la Recherche Scientifique (CNRS); Communaute Universite Grenoble Alpes; Institut National Polytechnique de Grenoble; Communaute Universite Grenoble Alpes; Universite Grenoble Alpes (UGA); Institut Universitaire de France</t>
  </si>
  <si>
    <t>Vallelonga, P (corresponding author), CNR, Inst Dynam Environm Proc, Calle Larga Santa Marta 2137, I-30123 Venice, Italy.</t>
  </si>
  <si>
    <t>vallelonga@unive.it; gabrielli.1@osu.edu; eleonora.balliana@ugent.be; anna.wegner@awi.de; barbara.delmonte@unimib.it; clara.turetta@idpa.cnr.it; g.burton@curtin.edu.au; frank.vanhaecke@ugent.be; smhong@kopri.re.kr; boutron@lgge.obs.ujf-grenoble.fr; cescon@unive.it; barbante@unive.it</t>
  </si>
  <si>
    <t>Delmonte, Barbara/L-2555-2015; Turetta, Clara/O-2849-2015; Vanhaecke, Frank/AAO-4582-2020; Barbante, Carlo/B-3195-2011; Vallelonga, Paul/I-9650-2016</t>
  </si>
  <si>
    <t>Delmonte, Barbara/0000-0002-9074-2061; Turetta, Clara/0000-0003-3130-2901; Vanhaecke, Frank/0000-0002-1884-3853; Barbante, Carlo/0000-0003-4177-2288; Vallelonga, Paul/0000-0003-1055-7235; Balliana, Eleonora/0000-0003-2082-0498; Cescon, Paolo/0000-0003-1836-6759</t>
  </si>
  <si>
    <t>Australia by the Australian Research Council [DP0345625]; Antarctic Science Advisory Committee [1092,2334]; Institut Universitaire de France; Ministere de l'Environnement et de l'Amenagemont du Territoire; Agence de l'Environnement et de la Maitrise de l'Energie; Institut National des Sciences de l'Univers; Consorzio per l'Attuazione del Programma Nazionale delle Ricerche in Antartide; FWO-Vlaanderen [G.0669.06, G.0585.06]; European Union [MIF1-CT-2006-039529]; Australian Research Council [DP0345625] Funding Source: Australian Research Council</t>
  </si>
  <si>
    <t>Australia by the Australian Research Council(Australian Research Council); Antarctic Science Advisory Committee; Institut Universitaire de France; Ministere de l'Environnement et de l'Amenagemont du Territoire; Agence de l'Environnement et de la Maitrise de l'Energie; Institut National des Sciences de l'Univers; Consorzio per l'Attuazione del Programma Nazionale delle Ricerche in Antartide; FWO-Vlaanderen(FWO); European Union(European Union (EU)); Australian Research Council(Australian Research Council)</t>
  </si>
  <si>
    <t>This research was supported in Australia by the Australian Research Council (DP0345625) and the Antarctic Science Advisory Committee (#1092,2334); In France by the Institut Universitaire de France, the Ministere de l'Environnement et de l'Amenagemont du Territoire, the Agence de l'Environnement et de la Maitrise de l'Energie and the Institut National des Sciences de l'Univers; and in Italy by the Consorzio per l'Attuazione del Programma Nazionale delle Ricerche in Antartide, under projects on Environmental Contamination and Glaciology. FV acknowledges the FWO-Vlaanderen for the financial support under the form of the research projects G.0669.06 and G.0585.06. PV acknowledges the support of a European Union Marie Curie IIF Fellowship (MIF1-CT-2006-039529, TDICOSO) and an ANSTO travel stipend to attend INQUA2007, and would also like to thank G. Nanson and K. Fitzsimmons and all colleagues who participated in the InnamINQUA field trip associated with the INQUA2007 conference. EB is a Research Assistant of the Fund for Scientific Research - Flanders (FWO-Vlaanderen). We thank all Antarctic field personnel, G. Cozzi, F. Planchon, K. Latruwe, and L. Burn for laboratory support and helpful discussions.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Q and AWI (at Dronning Maud Land). This is EPICA publication no. 226.</t>
  </si>
  <si>
    <t>10.1016/j.quascirev.2009.06.019</t>
  </si>
  <si>
    <t>WOS:000274958000021</t>
  </si>
  <si>
    <t>Delmonte, B; Andersson, PS; Schöberg, H; Hansson, M; Petit, JR; Delmas, R; Gaiero, DM; Maggi, V; Frezzotti, M</t>
  </si>
  <si>
    <t>Delmonte, B.; Andersson, P. S.; Schoeberg, H.; Hansson, M.; Petit, J. R.; Delmas, R.; Gaiero, D. M.; Maggi, V.; Frezzotti, M.</t>
  </si>
  <si>
    <t>Geographic provenance of aeolian dust in East Antarctica during Pleistocene glaciations: preliminary results from Talos Dome and comparison with East Antarctic and new Andean ice core data</t>
  </si>
  <si>
    <t>PAST 800,000 YEARS; CLIMATE VARIABILITY; ATMOSPHERIC CIRCULATION; ISOTOPIC CONSTRAINTS; SOUTH-AMERICA; VOSTOK; GREENLAND; CALDERA; PERIODS; BOLIVIA</t>
  </si>
  <si>
    <t>The strontium and neodymium isotopic signature of aeolian mineral particles archived in polar ice cores provides constraints on the geographic provenance of dust and paleo-atmospheric circulation patterns. Data from different ice cores drilled in the centre of the East Antarctic plateau such as EPICA-Dome C (EDC, 75 degrees 06'S: 123 degrees 21'E) and Vostok (78 degrees 28'S, 106 degrees 48'E) suggested a uniform geographic provenance for dust during Pleistocene glacial ages, likely from southern South America (SSA). In this work the existing dust isotopic data from EDC have been integrated with new data from Marine Isotopic Stage (MIS) 14 (about 536 ka before 1950AD) and in parallel some first results are shown for the new TALDICE ice core which was drilled on the edge of the East Antarctic Plateau (Talos Dome, 72 degrees 48'S, 159 degrees 06'E) on the opposite side with respect to SSA. Interestingly, the isotopic composition of TALDICE glacial dust is remarkably similar to that obtained from glacial dust from sites located in the East Antarctic interior. Overall, the glacial dust isotopic field obtained from six East Antarctic ice cores matches well South American data obtained from target areas. In this respect, it was recently suggested that dust exported long-range from South America originates from Patagonia and from the Puna-Altiplano plateau. To test this hypothesis, we analysed the isotopic composition of dust from an ice core drilled on the Illimani glacier (Bolivia, 16 degrees 37'S, 67 degrees 46'W; 6350 m a.s.l.) in order to obtain information on the isotopic composition of regional mineral aerosol uplifted from the Altiplano area and likely transported over a long distance. Altogether, ice core and source data strongly suggest that the westerly circulation pattern allowed efficient transfer of dust from South America to the East Antarctic plateau under cold Quaternary climates. Isotopic data support the hypothesis of a possible mixing of dust from Patagonia and from the Puna-Altiplano plateau. Interestingly, high glacial dust inputs to Antarctica are characterized by less radiogenic Nd values, an issue suggesting that enhanced dust production in Patagonia was associated with the activation of a secondary source. Still, Patagonia was the most important supplier for dust to central East Antarctica during Quaternary glaciations. (C) 2009 Elsevier Ltd. All rights reserved.</t>
  </si>
  <si>
    <t>[Delmonte, B.; Maggi, V.] Univ Milano Bicocca, DISAT, I-20126 Milan, Italy; [Andersson, P. S.; Schoeberg, H.] Swedish Museum Nat Hist, Lab Isotope Geol, S-10405 Stockholm, Sweden; [Hansson, M.] Stockholm Univ, Dept Phys Geog &amp; Quaternary Geol, S-10691 Stockholm, Sweden; [Petit, J. R.; Delmas, R.] Univ Grenoble 1, CNRS, LGGE, F-38402 St Martin Dheres, France; [Gaiero, D. M.] Univ Nacl Cordoba, Fac Ciencias Exactas Fis &amp; Nat, Ctr Invest Geoquim &amp; Proc Superficie, CONICET,CIGeS,CICTERRA, Cordoba, Argentina; [Frezzotti, M.] ENEA ACS CLIMOSS Lab Climate Observat, I-00123 Rome, Italy</t>
  </si>
  <si>
    <t>University of Milano-Bicocca; Swedish Museum of Natural History; Stockholm University; Centre National de la Recherche Scientifique (CNRS); Communaute Universite Grenoble Alpes; Universite Grenoble Alpes (UGA); Consejo Nacional de Investigaciones Cientificas y Tecnicas (CONICET); National University of Cordoba</t>
  </si>
  <si>
    <t>Delmonte, B (corresponding author), Univ Milano Bicocca, DISAT, Piazza Sci 1, I-20126 Milan, Italy.</t>
  </si>
  <si>
    <t>barbara.delmonte@unimib.it; Per.Andersson@nrm.se; Hans.Schoberg@nrm.se; margareta.hansson@natgeo.su.se; petit@lgge.obs.ujf-grenoble.fr; delmas@lgge.obs.ujf-grenoble.fr; dgaiero@efn.uncor.edu; valter.maggi@unimib.it; frezzotti@casaccia.enea.it</t>
  </si>
  <si>
    <t>FREZZOTTI, Massimo/AAK-7275-2020; Maggi, Valter/E-1878-2014; Maggi, Valter/AAX-5728-2020; Delmonte, Barbara/L-2555-2015</t>
  </si>
  <si>
    <t>FREZZOTTI, Massimo/0000-0002-2461-2883; Maggi, Valter/0000-0001-6287-1213; Delmonte, Barbara/0000-0002-9074-2061; Gaiero, Diego Marcelo/0000-0003-1029-2265</t>
  </si>
  <si>
    <t>European Community [SE-TAF-4807]; EU</t>
  </si>
  <si>
    <t>European Community; EU(European Union (EU))</t>
  </si>
  <si>
    <t>This work was carried out at the Swedish Museum of Natural History and was supported by SYNTHESYS funding (project SE-TAF-4807) made available by the European Community - Research Infrastructure Action under the FP6 Structuring the European Research Area Programme.; This work is a contribution to the European Project for Ice Coring in Antarctica (EPICA), a joint European Science Founclation/European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223.; The Talos Dome Ice core Project (TALDICE), a joint European programme, is funded by national contributions from Italy, France, Germany, Switzerland and the United Kingdom. Main logistic support was provided by PNRA. This is TALDICE publication no. 5</t>
  </si>
  <si>
    <t>10.1016/j.quascirev.2009.05.010</t>
  </si>
  <si>
    <t>WOS:000274958000022</t>
  </si>
  <si>
    <t>Gabrielli, P; Wegner, A; Petit, JR; Delmonte, B; De Deckker, P; Gaspari, V; Fischer, H; Ruth, U; Kriews, M; Boutron, C; Cescon, P; Barbante, C</t>
  </si>
  <si>
    <t>Gabrielli, Paolo; Wegner, Anna; Petit, Jean Robert; Delmonte, Barbara; De Deckker, Patrick; Gaspari, Vania; Fischer, Hubertus; Ruth, Urs; Kriews, Michael; Boutron, Claude; Cescon, Paolo; Barbante, Carlo</t>
  </si>
  <si>
    <t>A major glacial-interglacial change in aeolian dust composition inferred from Rare Earth Elements in Antarctic ice</t>
  </si>
  <si>
    <t>DOME-C; EAST ANTARCTICA; TRACE-ELEMENTS; EPICA; CLIMATE; VOSTOK; PROVENANCE; EVENT; CORE; AUSTRALIA</t>
  </si>
  <si>
    <t>We present the first Rare Earth Elements (REE) concentration record determined in 294 sections of an Antarctic ice core (EPICA Dome C), covering a period from 2.9 to 33.7 kyr BR REE allow a detailed quantitative evaluation of aeolian dust composition because of the large number of variables (i.e. 14 elements). REE concentrations match the particulate dust concentration profile over this period and show a homogeneous crustal-like composition during the last glacial stage (LGS), with only a slight enrichment in medium REE. This signature is consistent with the persistent fallout of a mixture of dust from heterogeneous sources located in different areas or within the same region (e.g. South America). Starting at similar to 15 kyr BP, there was a major change in dust composition, the variable character of which persisted throughout the Holocene. This varying signature may highlight the alternation of single dust contributions from different sources during the Holocene. We observe that the frequent changes in REE composition at the onset of the Holocene (10-13.5 kyr BP) are linked to dust size and in turn to wind strength and/or the path of the atmospheric trajectory. This may indicate that atmospheric circulation dictated the composition of the dust fallout to East Antarctica at that time. Although the dust concentrations remained fairly low, a notable return towards more glacial dust characteristics is recorded between 7.5 and 8.3 kyr BP. This happened concomitantly with a widespread cold event around 8 kyr BP that was 400-600 years long and suggests a moderate reactivation of the dust emission from the same potential source areas of the LGS. Published by Elsevier Ltd.</t>
  </si>
  <si>
    <t>[Gabrielli, Paolo; Gaspari, Vania; Cescon, Paolo; Barbante, Carlo] Univ Venice, CNR, Inst Dynam Environm Proc, I-30123 Venice, Italy; [Gabrielli, Paolo] Ohio State Univ, Sch Earth Sci, Columbus, OH 43210 USA; [Gabrielli, Paolo] Ohio State Univ, Byrd Polar Res Ctr, Columbus, OH 43210 USA; [Wegner, Anna; Ruth, Urs; Kriews, Michael] Alfred Wegener Inst Polar &amp; Marine Res, D-27515 Bremerhaven, Germany; [Petit, Jean Robert; Boutron, Claude] Univ Grenoble 1, CNRS, UMR 5183, Lab Glaciol &amp; Geophys Environm, F-38402 St Martin Dheres, France; [Delmonte, Barbara] Univ Milano Bicocca, Dipartimento Sci Ambiente &amp; Terr, Milan, Italy; [De Deckker, Patrick] Australian Natl Univ, Res Sch Earth Sci, Canberra, ACT 0200, Australia; [Fischer, Hubertus] Univ Bern, Inst Phys, CH-3012 Bern, Switzerland; [Fischer, Hubertus] Univ Bern, Oeschger Ctr Climate Change Res, CH-3012 Bern, Switzerland; [Cescon, Paolo; Barbante, Carlo] Univ Venice, Dept Environm Sci, I-30123 Venice, Italy</t>
  </si>
  <si>
    <t>Consiglio Nazionale delle Ricerche (CNR); Istituto per la Dinamica dei Processi Ambientali (IDPA-CNR); Universita Ca Foscari Venezia; University System of Ohio; Ohio State University; University System of Ohio; Ohio State University; Helmholtz Association; Alfred Wegener Institute, Helmholtz Centre for Polar &amp; Marine Research; Communaute Universite Grenoble Alpes; Universite Grenoble Alpes (UGA); Centre National de la Recherche Scientifique (CNRS); University of Milano-Bicocca; Australian National University; University of Bern; University of Bern; Universita Ca Foscari Venezia</t>
  </si>
  <si>
    <t>Gabrielli, P (corresponding author), Univ Venice, CNR, Inst Dynam Environm Proc, Dorsoduro 2137, I-30123 Venice, Italy.</t>
  </si>
  <si>
    <t>gabrielli.1@osu.edu</t>
  </si>
  <si>
    <t>Delmonte, Barbara/L-2555-2015; Barbante, Carlo/B-3195-2011; Fischer, Hubertus/A-1211-2014</t>
  </si>
  <si>
    <t>Delmonte, Barbara/0000-0002-9074-2061; Cescon, Paolo/0000-0003-1836-6759; Barbante, Carlo/0000-0003-4177-2288; Fischer, Hubertus/0000-0002-2787-4221</t>
  </si>
  <si>
    <t>Consorzio per l'Attuazione del Programma Nazionale delle Ricerche in Antartide; Institut Universitaire de France; Agence de l'Environnement et de la Maitrise de l'Energie; Institut National des Sciences de l'Univers; Universite Joseph Fourier of Grenoble; EU; Murray Darling Basin Commission; Australian Research Council</t>
  </si>
  <si>
    <t>Consorzio per l'Attuazione del Programma Nazionale delle Ricerche in Antartide; Institut Universitaire de France; Agence de l'Environnement et de la Maitrise de l'Energie; Institut National des Sciences de l'Univers; Universite Joseph Fourier of Grenoble; EU(European Union (EU)); Murray Darling Basin Commission; Australian Research Council(Australian Research Council)</t>
  </si>
  <si>
    <t>This work was supported in Italy by the Consorzio per l'Attuazione del Programma Nazionale delle Ricerche in Antartide, under projects on Environmental Contamination and Glaciology. In France it was supported by the Institut Universitaire de France, the Agence de l'Environnement et de la Maitrise de l'Energie, the Institut National des Sciences de l'Univers and the Universite Joseph Fourier of Grenoble.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239. P.D.D.'s work was funded by a Murray Darling Basin Commission award and the Australian Research Council. This is also contribution number 1387 of the Byrd Polar Research Center. We thank the guest editor Eric Wolff, Harry Elderfield and another anonymous reviewer for useful comments that significantly improved this manuscript and Mary Davis and Judith Shelley for editing the text. Finally the authors wish to thank all the scientific and logistic personnel working at Dome C, Antarctica.</t>
  </si>
  <si>
    <t>10.1016/j.quascirev.2009.09.002</t>
  </si>
  <si>
    <t>WOS:000274958000023</t>
  </si>
  <si>
    <t>Krinner, G; Petit, JR; Delmonte, B</t>
  </si>
  <si>
    <t>Krinner, Gerhard; Petit, J. -R.; Delmonte, B.</t>
  </si>
  <si>
    <t>Altitude of atmospheric tracer transport towards Antarctica in present and glacial climate</t>
  </si>
  <si>
    <t>EAST ANTARCTICA; ICE CORE; DOME-C; DUST TRANSPORT; SEA-ICE; PRECIPITATION; VARIABILITY; AEROSOL; MAXIMUM; VOSTOK</t>
  </si>
  <si>
    <t>The preferential altitude of transport of continental tracers towards Antarctica under present and Last Glacial Maximum (21 kyr BP) conditions is analysed using an atmospheric general circulation model with idealized tracers which are emitted at the surface of Australia and South America. It is shown that the difference between the preferential transport altitude of Australian and South American tracers is similar in glacial and interglacial climates. Australian tracers arriving in Antarctica are consistently transported at higher altitudes than tracers emitted in South America. The frequency of low-level transport is stronger at the LGM than at present, reflecting a more vigorous atmospheric circulation at the LGM as a consequence of increased baroclinicity. While the spatial patterns of the total tracer concentrations at the Antarctic surface differ for Australian and South American tracers, with the regions of maximum surface concentration being located to the south-east of the respective tracer sources, the spatial distribution of the part advected via upper atmospheric levels is very similar for the Australian and South American tracers, with a maximum over Queen Maud Land. The simulated changes in transport characteristics cannot explain observed glacial to interglacial variations of dust size spectra which have been interpreted as indicators of the relative intensity of upper and lower level atmospheric dust transport to Antarctica. (C) 2009 Elsevier Ltd. All rights reserved.</t>
  </si>
  <si>
    <t>[Krinner, Gerhard; Petit, J. -R.; Delmonte, B.] Ecole Natl Super Electrochim &amp; Electrome Grenoble, Thermodynam &amp; Physicochim Met Lab, CNRS, LGGE,INSU, F-38402 St Martin Dheres, France; [Krinner, Gerhard; Petit, J. -R.; Delmonte, B.] UJF Grenoble, Grenoble, France; [Delmonte, B.] Univ Milano Bicocca, DISAT, Milan, Italy</t>
  </si>
  <si>
    <t>Communaute Universite Grenoble Alpes; Institut National Polytechnique de Grenoble; Centre National de la Recherche Scientifique (CNRS); CNRS - National Institute for Earth Sciences &amp; Astronomy (INSU); Universite Grenoble Alpes (UGA); Communaute Universite Grenoble Alpes; Universite Grenoble Alpes (UGA); University of Milano-Bicocca</t>
  </si>
  <si>
    <t>Krinner, G (corresponding author), Ecole Natl Super Electrochim &amp; Electrome Grenoble, Thermodynam &amp; Physicochim Met Lab, CNRS, LGGE,INSU, 54 Rue Moliere,BP 96, F-38402 St Martin Dheres, France.</t>
  </si>
  <si>
    <t>krinner@ujf-grenoble.fr</t>
  </si>
  <si>
    <t>Krinner, Gerhard/A-6450-2011; Delmonte, Barbara/L-2555-2015; Krinner, Gerhard/AAB-8837-2022</t>
  </si>
  <si>
    <t>Delmonte, Barbara/0000-0002-9074-2061; Krinner, Gerhard/0000-0002-2959-5920</t>
  </si>
  <si>
    <t>European Commission</t>
  </si>
  <si>
    <t>European Commission(European Union (EU)European Commission Joint Research Centre)</t>
  </si>
  <si>
    <t>This work is a contribution to the European Project for Ice Coring in Antarctica (EPICA), a joint ESF (European Science Foundation)/EC scientific programme, funded by the European Commission and by national contributions from Belgium, Denmark, France, Germany, Italy, the Netherlands, Norway, Sweden, Switzerland and the United Kingdom. Complementary analyses were carried out with the French project ANR PICC. The Simulations were carried out on the Mirage platform (UJF Grenoble) and at IDRIS/CNRS. Helene Castebrunet made useful comments that helped to improve the manuscript.</t>
  </si>
  <si>
    <t>10.1016/j.quascirev.2009.06.020</t>
  </si>
  <si>
    <t>WOS:000274958000024</t>
  </si>
  <si>
    <t>Wolff, EW; Barbante, C; Becagli, S; Bigler, M; Boutron, CF; Castellano, E; de Angelis, M; Federer, U; Fischer, H; Fundel, F; Hansson, M; Hutterli, M; Jonsell, U; Karlin, T; Kaufmann, P; Lambert, F; Littot, GC; Mulvaney, R; Röthlisberger, R; Ruth, U; Severi, M; Siggaard-Andersen, ML; Sime, LC; Steffensen, JP; Stocker, TF; Traversi, R; Twarloh, B; Udisti, R; Wagenbach, D; Wegner, A</t>
  </si>
  <si>
    <t>Wolff, E. W.; Barbante, C.; Becagli, S.; Bigler, M.; Boutron, C. F.; Castellano, E.; de Angelis, M.; Federer, U.; Fischer, H.; Fundel, F.; Hansson, M.; Hutterli, M.; Jonsell, U.; Karlin, T.; Kaufmann, P.; Lambert, F.; Littot, G. C.; Mulvaney, R.; Roethlisberger, R.; Ruth, U.; Severi, M.; Siggaard-Andersen, M. L.; Sime, L. C.; Steffensen, J. P.; Stocker, T. F.; Traversi, R.; Twarloh, B.; Udisti, R.; Wagenbach, D.; Wegner, A.</t>
  </si>
  <si>
    <t>Changes in environment over the last 800,000 years from chemical analysis of the EPICA Dome C ice core</t>
  </si>
  <si>
    <t>GLACIAL MAXIMUM; EAST ANTARCTICA; CLIMATE VARIABILITY; MINERAL DUST; NITRATE; VOSTOK; TRANSPORT; CHEMISTRY; AEROSOL; RECORD</t>
  </si>
  <si>
    <t>The EPICA ice core from Dome C extends 3259 m in depth, and encompasses 800 ka of datable and sequential ice. Numerous chemical species have been measured along the length of the cores. Here we concentrate on interpreting the main low-resolution patterns of major ions. We extend the published record for non-sea-salt calcium, sea-salt sodium and non-sea-salt sulfate flux to 800 ka. The non-sea-salt calcium record confirms that terrestrial dust originating from South America closely mirrored Antarctic climate, both at orbital and millennial timescales. A major cause of the main trends is most likely climate in southern South America, which could be sensitive to subtle changes in atmospheric circulation. Sea-salt sodium also follows temperature, but With a threshold at low temperature. We re-examine the use of sodium as a sea ice proxy, concluding that it is probably reflecting extent, with high salt concentrations reflecting larger ice extents. With this interpretation, the sodium flux record indicates low ice extent operating as an amplifier in warm interglacials. Non-sea-salt sulfate flux is almost constant along the core, confirming the lack of change in marine productivity (for sulfur-producing organisms) in the areas of the Southern Ocean contributing to the flux at Dome C. For the first time we also present long records of reversible species such as nitrate and chloride, and show that the pattern of post-depositional losses described for shallower ice is maintained in older ice. It appears possible to use these concentrations to constrain snow accumulation rates in interglacial ice at this site, and the results suggest a possible correction to accumulation rates in one early interglacial. Taken together the chemistry records offer a number of constraints on the way the Earth system combined to give the major climate fluctuations of the late Quaternary period. (C) 2009 Elsevier Ltd. All rights reserved.</t>
  </si>
  <si>
    <t>[Wolff, E. W.; Hutterli, M.; Littot, G. C.; Mulvaney, R.; Roethlisberger, R.; Sime, L. C.] British Antarctic Survey, Cambridge CB3 0ET, England; [Fischer, H.; Fundel, F.; Ruth, U.; Twarloh, B.; Wegner, A.] Alfred Wegener Inst Polar &amp; Marine Res, D-27568 Bremerhaven, Germany; [Boutron, C. F.; de Angelis, M.] Lab Glaciol &amp; Geophys Environm, F-38402 St Martin Dheres, France; [Hansson, M.; Jonsell, U.; Karlin, T.] Stockholm Univ, Dept Phys Geog &amp; Quaternary Geol, S-10691 Stockholm, Sweden; [Bigler, M.; Federer, U.; Fischer, H.; Kaufmann, P.; Lambert, F.; Stocker, T. F.] Univ Bern, Inst Phys, CH-3012 Bern, Switzerland; [Bigler, M.; Siggaard-Andersen, M. L.; Steffensen, J. P.] Univ Copenhagen, Dept Geophys, DK-2100 Copenhagen O, Denmark; [Becagli, S.; Castellano, E.; Severi, M.; Traversi, R.; Udisti, R.] Univ Florence, Dept Chem, Analyt Chem Sect, I-50019 Florence, Italy; [Wagenbach, D.] Heidelberg Univ, Inst Umweltphys, D-69120 Heidelberg, Germany; [Barbante, C.] Univ Venice, Dept Environm Sci, I-30123 Venice, Italy; [Fischer, H.] Univ Bern, Oeschger Ctr Climate Change Res, CH-3012 Bern, Switzerland</t>
  </si>
  <si>
    <t>UK Research &amp; Innovation (UKRI); Natural Environment Research Council (NERC); NERC British Antarctic Survey; Helmholtz Association; Alfred Wegener Institute, Helmholtz Centre for Polar &amp; Marine Research; Stockholm University; University of Bern; University of Copenhagen; University of Florence; Ruprecht Karls University Heidelberg; Universita Ca Foscari Venezia; University of Bern</t>
  </si>
  <si>
    <t>Wolff, EW (corresponding author), British Antarctic Survey, Madingley Rd, Cambridge CB3 0ET, England.</t>
  </si>
  <si>
    <t>ewwo@bas.ac.uk</t>
  </si>
  <si>
    <t>Karlin, Torbjörn A/H-7839-2012; Lambert, Fabrice/M-2003-2014; Bigler, Matthias/HTT-3872-2023; Fundel, Felix/C-5469-2009; Jonsell, Ulf/F-3116-2015; Becagli, Silvia/GNW-2665-2022; Bishnoi, Mamta/AAQ-8346-2021; Sime, Louise/AAX-7730-2021; Stocker, Thomas F/B-1273-2013; Wolff, Eric W/D-7925-2014; Udisti, Roberto/M-7966-2015; Barbante, Carlo/B-3195-2011; Steffensen, Jorgen Peder/JFS-7831-2023; Sime, Louise/F-8058-2012; Severi, Mirko/J-2508-2012; Mulvaney, Robert/K-3929-2012; Traversi, Rita/M-7586-2015; Fischer, Hubertus/A-1211-2014</t>
  </si>
  <si>
    <t>Lambert, Fabrice/0000-0002-2192-024X; Bigler, Matthias/0000-0003-0184-4013; Jonsell, Ulf/0000-0001-6532-8590; Bishnoi, Mamta/0000-0003-4987-0536; Sime, Louise/0000-0002-9093-7926; Wolff, Eric W/0000-0002-5914-8531; Udisti, Roberto/0000-0003-4440-8238; Steffensen, Jorgen Peder/0000-0002-5516-1093; Sime, Louise/0000-0002-9093-7926; Severi, Mirko/0000-0003-1511-6762; Becagli, Silvia/0000-0003-3633-4849; Mulvaney, Robert/0000-0002-5372-8148; Traversi, Rita/0000-0002-9790-2195; Barbante, Carlo/0000-0003-4177-2288; Fischer, Hubertus/0000-0002-2787-4221</t>
  </si>
  <si>
    <t>EU (EPICA-MIS); NERC [bas0100024] Funding Source: UKRI; Natural Environment Research Council [bas0100024] Funding Source: researchfish</t>
  </si>
  <si>
    <t>EU (EPICA-MIS)(European Union (EU)); NERC(UK Research &amp; Innovation (UKRI)Natural Environment Research Council (NERC)); Natural Environment Research Council(UK Research &amp; Innovation (UKRI)Natural Environment Research Council (NERC))</t>
  </si>
  <si>
    <t>This work is a contribution to the European Project for Ice Coring in Antarctica (EPICA), a joint European Science Foundation/European Commission (EC) scientific programme, funded by the EU (EPICA-MIS) and by national contributions from Belgium, Denmark, France, Germany, Italy, The Netherlands, Norway, Sweden, Switzerland and the UK. The main logistic support at Dome C was provided by IPEV and PNRA.</t>
  </si>
  <si>
    <t>10.1016/j.quascirev.2009.06.013</t>
  </si>
  <si>
    <t>WOS:000274958000025</t>
  </si>
  <si>
    <t>Röthlisberger, R; Crosta, X; Abram, NJ; Armand, L; Wolff, EW</t>
  </si>
  <si>
    <t>Roethlisberger, Regine; Crosta, Xavier; Abram, Nerilie J.; Armand, Leanne; Wolff, Eric W.</t>
  </si>
  <si>
    <t>Potential and limitations of marine and ice core sea ice proxies: an example from the Indian Ocean sector</t>
  </si>
  <si>
    <t>LAST GLACIAL MAXIMUM; MAJOR DIATOM TAXA; SOUTHERN-OCEAN; SURFACE SEDIMENTS; SALT AEROSOL; FROST FLOWERS; ANTARCTICA; RECONSTRUCTION; BIOGEOGRAPHY; ATLANTIC</t>
  </si>
  <si>
    <t>Diatom assemblages in marine cores and sea salt deposition fluxes in ice cores have been used as sea ice proxies in the southern hemisphere. Here, a marine and an ice core proxy record for the Indian Ocean covering the last two glacial cycles are compared in order to illustrate their potential and limitations. The marine core was extracted in a location completely ice free under present-day conditions, and therefore was unable to record changes to the recent sea ice extent. Similarly, no sea ice was recorded at that location during the previous interglacial period. During the last glacial period, however, the site was seasonally covered by sea ice, and the diatom assemblages allowed an estimation of average seasonal sea ice presence. The ice core data originated from the East Antarctic plateau. The marine sodium present in the ice core was used as a proxy of the sea-ice coverage and, on average, a larger sea ice surface led to an increased sea-salt aerosol flux, seen e.g. at the last glacial inception. However, the response of the sea salt flux to increasing sea ice extent diminished during peak glacial conditions when only minimal variability was recorded in the ice core record. A first-order approximation is used to take this non-linear response of the ice core sea ice proxy into account. Based on the ice core proxy record, sea ice extent was reduced considerably during the warm episodes of the previous two interglacial periods compared to modern sea ice extent, in particular during the peak warmth of the Last Interglacial. The ice core proxy also showed a very strong precessional variability (pronounced spectral peak at 23 ka period) over the past 240 ka. The advantage of combining the two proxy records lies in the complementary nature of their response. While the ice core proxy showed limited sensitivity during full glacial conditions, the marine proxy recorded the seasonal sea-ice coverage. Once the sea ice retreated south of the location of the marine core, the ice core proxy responded to changes in sea ice extent. A composite of marine and ice core records may thus provide a data basis for a more detailed reconstruction of sea ice around Antarctica over the last few glacial-interglacial cycles. (C) 2009 Elsevier Ltd. All rights reserved.</t>
  </si>
  <si>
    <t>[Roethlisberger, Regine; Abram, Nerilie J.; Wolff, Eric W.] British Antarctic Survey, NERC, Cambridge CB3 0ET, England; [Crosta, Xavier] Univ Bordeaux 1, CNRS, UMR 5805, EPOC, F-33405 Talence, France; [Armand, Leanne] Univ Tasmania, CSIRO, Hobart, Tas 7001, Australia; [Armand, Leanne] Antarctic Climate &amp; Ecosyst Cooperat Res Ctr, Hobart, Tas 7001, Australia</t>
  </si>
  <si>
    <t>UK Research &amp; Innovation (UKRI); Natural Environment Research Council (NERC); NERC British Antarctic Survey; Universite de Bordeaux; Centre National de la Recherche Scientifique (CNRS); CNRS - National Institute for Earth Sciences &amp; Astronomy (INSU); Commonwealth Scientific &amp; Industrial Research Organisation (CSIRO); University of Tasmania; Antarctic Climate &amp; Ecosystems Cooperative Research Centre (ACE CRC)</t>
  </si>
  <si>
    <t>Röthlisberger, R (corresponding author), Fed Off Environm, Bern, Switzerland.</t>
  </si>
  <si>
    <t>regine.rothlisberger@googlemail.com; x.crosta@epoc.u-bordeaux1.fr; nabr@bas.ac.uk; larmand@science.mq.edu.au; ewwo@bas.ac.uk</t>
  </si>
  <si>
    <t>Wolff, Eric W/D-7925-2014; Abram, Nerilie/AAT-5171-2021; Armand, Leanne K/C-9004-2009</t>
  </si>
  <si>
    <t>Wolff, Eric W/0000-0002-5914-8531; Abram, Nerilie/0000-0003-1246-2344; Armand, Leanne/0000-0003-3995-308X</t>
  </si>
  <si>
    <t>EU; IPEV-TAAF; INSU through the PNEDC; CSIRO-University of Tasmania's program in Quantitative Marine Science (QMS); Antarctic Climate and Ecosystems Cooperative Research Centre (ACE CRC); Natural Environment Research Council [bas0100024] Funding Source: researchfish; NERC [bas0100024] Funding Source: UKRI</t>
  </si>
  <si>
    <t>EU(European Union (EU)); IPEV-TAAF; INSU through the PNEDC; CSIRO-University of Tasmania's program in Quantitative Marine Science (QMS); Antarctic Climate and Ecosystems Cooperative Research Centre (ACE CRC)(Australian GovernmentDepartment of Industry, Innovation and ScienceCooperative Research Centres (CRC) Programme); Natural Environment Research Council(UK Research &amp; Innovation (UKRI)Natural Environment Research Council (NERC)); NERC(UK Research &amp; Innovation (UKRI)Natural Environment Research Council (NERC))</t>
  </si>
  <si>
    <t>Parts of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UK. The main logistic support at Dome C was provided by IPEV and PNRA. This is EPICA publication no. 242. XC's research was supported by IPEV-TAAF and funded by INSU through the PNEDC (Programme national d'Etude de la Dynamique du Climat). LA's participation was supported by the CSIRO-University of Tasmania's program in Quantitative Marine Science (QMS) with additional support from Australian Government's Cooperative Research Centres Programme through the Antarctic Climate and Ecosystems Cooperative Research Centre (ACE CRC).</t>
  </si>
  <si>
    <t>10.1016/j.quascirev.2009.10.005</t>
  </si>
  <si>
    <t>WOS:000274958000026</t>
  </si>
  <si>
    <t>Divine, DV; Koç, N; Isaksson, E; Nielsen, S; Crosta, X; Godtliebsen, F</t>
  </si>
  <si>
    <t>Divine, D. V.; Koc, N.; Isaksson, E.; Nielsen, S.; Crosta, X.; Godtliebsen, F.</t>
  </si>
  <si>
    <t>Holocene Antarctic climate variability from ice and marine sediment cores: Insights on ocean-atmosphere interaction</t>
  </si>
  <si>
    <t>LAST GLACIAL MAXIMUM; SEA-SURFACE TEMPERATURE; SOUTHERN-OCEAN; HIGH-LATITUDE; DIATOM ASSEMBLAGES; PENINSULA REGION; ATLANTIC SECTOR; AGE CALIBRATION; INDIAN SECTOR; EXTENT</t>
  </si>
  <si>
    <t>Holocene climate variability in the southeast Atlantic sector of the Southern Ocean and Antarctic is assessed and quantified through integration of available marine sediment core and Antarctic ice core data. We use summer sea surface temperature (SSST) and sea ice presence (SIP) reconstructions from two marine sediment cores recovered north (50 degrees S) and South (53.2 degrees S) of the present day Antarctic Polar Front (APF), as well as an atmospheric temperature and sea ice proxy from the EPICA ice core from Dronning Maud Land (EDML). We find reasonably good agreement in the timing of climate evolution in the analyzed series. Almost all records show a gradual glacial-to-Holocene climate transition, interrupted by the Antarctic cold reversal around 13 000 cal yr BP, and early Holocene climatic optimum (HCO) at about 11000 cal yr BR During the early HCO, the seasonal ice cover retreats to south of 53 degrees S; it then readvances in the course of the mid- to late Holocene. The maximum winter sea ice edge position during the recent 10 000 years varied mainly within 51-53 degrees S, with sporadic growth to north of 50 degrees S, a position similar to that during the last glacial. The onset of the Neoglacial period after ca 4000 yr BP is associated with a steepening of the SSST gradient between the marine core sites, strengthening of the westerlies and cooling in the inland ice sheet. The agreement in timing between elevated SSST during the early HCO and decreased deuterium excess in EDML and other ice cores from different locations in the East Antarctic suggests that the retreat of sea ice during the early HCO and weakening of the APF was a general feature of the East Antarctic climate during that time. (C) 2009 Elsevier Ltd. All rights reserved.</t>
  </si>
  <si>
    <t>[Divine, D. V.; Koc, N.; Isaksson, E.; Nielsen, S.] Norwegian Polar Res Inst, Polar Environm Ctr, Tromso, Norway; [Crosta, X.] Univ Bordeaux, Dept Geol &amp; Oceanog, Bordeaux, France; [Divine, D. V.; Godtliebsen, F.] Univ Tromso, Dept Math &amp; Stat, Tromso, Norway; [Koc, N.] Univ Tromso, Dept Geol, Tromso, Norway</t>
  </si>
  <si>
    <t>Norwegian Polar Institute; Universite de Bordeaux; UiT The Arctic University of Tromso; UiT The Arctic University of Tromso</t>
  </si>
  <si>
    <t>Divine, DV (corresponding author), Norwegian Polar Res Inst, Polar Environm Ctr, Tromso, Norway.</t>
  </si>
  <si>
    <t>dmitry.divine@npolar.no</t>
  </si>
  <si>
    <t>Divine, Dmitry/0000-0003-0548-6698</t>
  </si>
  <si>
    <t>EU; Norwegian Research Council [176872/V30]</t>
  </si>
  <si>
    <t>EU(European Union (EU)); Norwegian Research Council(Research Council of Norway)</t>
  </si>
  <si>
    <t>This work is a Norwegian contribution to the European Project for Ice Coring in Antarctica (EPICA), a joint European Science Foundation/European Commission scientific programme, funded by the EU and by national contributions from Belgium, Denmark, France, Germany, Italy, Netherlands, Norway, Sweden, Switzerland, and the United Kingdom. The main logistic support was provided by IPEV and PNRA (at Dome C) and AWI (at Dronning Maud Land). D. Divine also acknowledges financial support from the Norwegian Research Council, eVita project 176872/V30. This is EPICA publication 247. The authors thank T. Roberts and S. Hudson (NPI) for improving the language. Two anonymous reviewers and the guest editor are gratefully acknowledged for their constructive comments.</t>
  </si>
  <si>
    <t>10.1016/j.quascirev.2009.11.012</t>
  </si>
  <si>
    <t>WOS:000274958000027</t>
  </si>
  <si>
    <t>Kaufmann, P; Fundel, F; Fischer, H; Bigler, M; Ruth, U; Udisti, R; Hansson, M; de Angelis, M; Barbante, C; Wolff, EW; Hutterli, M; Wagenbach, D</t>
  </si>
  <si>
    <t>Kaufmann, Patrik; Fundel, Felix; Fischer, Hubertus; Bigler, Matthias; Ruth, Urs; Udisti, Roberto; Hansson, Margareta; de Angelis, Martine; Barbante, Carlo; Wolff, Eric W.; Hutterli, Manuel; Wagenbach, Dietmar</t>
  </si>
  <si>
    <t>Ammonium and non-sea salt sulfate in the EPICA ice cores as indicator of biological activity in the Southern Ocean</t>
  </si>
  <si>
    <t>DRONNING MAUD LAND; COASTAL ANTARCTIC AEROSOL; BIOGENIC SULFUR EMISSIONS; MARINE BOUNDARY-LAYER; LAST GLACIAL MAXIMUM; PAST 2 KYR; DOME-C; ATMOSPHERIC CO2; PHYTOPLANKTON BLOOM; IRON</t>
  </si>
  <si>
    <t>Sulfate (SO42-) and ammonium (NH4+) flux records over the last 150,000 years from both Antarctic EPICA ice cores (European Project for Ice Coring in Antarctica) are presented. The ice core record from Dome C is influenced by the Indian sector of the Southern Ocean (SO), whereas Dronning Maud Land is facing the Atlantic sector. Generally, they reflect the past atmospheric aerosol load and, thus, potentially reveal the fingerprint of marine biogenic sources from the SO. The most important feature of both, the nssSO(4)(2-) as well as NH4+ flux records, is the absence of any significant glacial cycles, in contrary to the distinct transitions for mineral dust and sea salt aerosol over the last 150,000 years. This finding challenges the iron fertilization hypothesis on long time scales, as the significant changes in dust, e.g. from the last glacial maximum toward the Holocene have neither an impact on nssSO(4)(2-) nor on NH4+ fluxes found in interior Antarctica. The inter-site correlation of both species is weak, r(2) = 0.42 for the nssSO(4)(2-) flux and r(2) = 0.12 for the NH4+ flux respectively, emphasizing the local Source characteristics of biogenic aerosol from the SO. Millennial variability in NH4+ and nssSO(4)(2-) is within the uncertainty of our flux estimates. Correlation with mineral dust and sea ice derived sodium shows only a very weak influence of dust deposition on those insignificant changes in nssSO(4)(2-) flux for the Atlantic sector of the Southern Ocean, but also small transport changes or terrigeneous sulfate contributions may contribute to those variations at EDML. (C) 2009 Elsevier Ltd. All rights reserved.</t>
  </si>
  <si>
    <t>[Kaufmann, Patrik; Fischer, Hubertus] Univ Bern, Oeschger Ctr Climate Change Res, CH-3012 Bern, Switzerland; [Fundel, Felix; Fischer, Hubertus; Ruth, Urs] Alfred Wegener Inst Polar &amp; Marine Res, D-27568 Bremerhaven, Germany; [Bigler, Matthias] Univ Copenhagen, Niels Bohr Inst, Ctr Ice &amp; Climate, DK-2100 Copenhagen O, Denmark; [Udisti, Roberto; Hansson, Margareta] Univ Florence, Dept Chem, I-50019 Florence, Italy; [de Angelis, Martine] Stockholm Univ, Dept Phys Geog &amp; Quaternary Geol, S-10691 Stockholm, Sweden; [Barbante, Carlo] Lab Glaciol &amp; Geophys Environm, F-38402 St Martin Dheres, France; [Wolff, Eric W.] CNR, Inst Dynam Environm Proc, I-30123 Venice, Italy; [Wolff, Eric W.] Univ Venice, Dept Environm Sci, I-30123 Venice, Italy; [Hutterli, Manuel] British Antarctic Survey, Cambridge CB3 0ET, England; [Wagenbach, Dietmar] Heidelberg Univ, Inst Umweltphys, INF 229, D-69120 Heidelberg, Germany</t>
  </si>
  <si>
    <t>University of Bern; Helmholtz Association; Alfred Wegener Institute, Helmholtz Centre for Polar &amp; Marine Research; University of Copenhagen; Niels Bohr Institute; University of Florence; Stockholm University; Consiglio Nazionale delle Ricerche (CNR); Istituto per la Dinamica dei Processi Ambientali (IDPA-CNR); Universita Ca Foscari Venezia; UK Research &amp; Innovation (UKRI); Natural Environment Research Council (NERC); NERC British Antarctic Survey; Ruprecht Karls University Heidelberg</t>
  </si>
  <si>
    <t>Fischer, H (corresponding author), Univ Bern, Oeschger Ctr Climate Change Res, Sidlerstr 5, CH-3012 Bern, Switzerland.</t>
  </si>
  <si>
    <t>Udisti, Roberto/M-7966-2015; Bigler, Matthias/HTT-3872-2023; Bishnoi, Mamta/AAQ-8346-2021; Barbante, Carlo/B-3195-2011; Wolff, Eric W/D-7925-2014; Fischer, Hubertus/A-1211-2014</t>
  </si>
  <si>
    <t>Udisti, Roberto/0000-0003-4440-8238; Bigler, Matthias/0000-0003-0184-4013; Bishnoi, Mamta/0000-0003-4987-0536; Wolff, Eric W/0000-0002-5914-8531; Barbante, Carlo/0000-0003-4177-2288; Becagli, Silvia/0000-0003-3633-4849; Fischer, Hubertus/0000-0002-2787-4221</t>
  </si>
  <si>
    <t>Swiss National Science Foundation; Prince Albert II of Monaco Foundation; NERC [bas0100024] Funding Source: UKRI; Natural Environment Research Council [bas0100024] Funding Source: researchfish</t>
  </si>
  <si>
    <t>Swiss National Science Foundation(Swiss National Science Foundation (SNSF)); Prince Albert II of Monaco Foundation; NERC(UK Research &amp; Innovation (UKRI)Natural Environment Research Council (NERC)); Natural Environment Research Council(UK Research &amp; Innovation (UKRI)Natural Environment Research Council (NERC))</t>
  </si>
  <si>
    <t>Financial support by the Swiss National Science Foundation is acknowledged. We thank Susanne Preunkert, Martin Johnson and Thomas Stocker for fruitful comments and support. This document was produced with the financial help of the Prince Albert II of Monaco Foundation.</t>
  </si>
  <si>
    <t>10.1016/j.quascirev.2009.11.009</t>
  </si>
  <si>
    <t>WOS:000274958000028</t>
  </si>
  <si>
    <t>Bigler, M; Röthlisberger, R; Lambert, F; Wolff, EW; Castellano, E; Udisti, R; Stocker, TF; Fischer, H</t>
  </si>
  <si>
    <t>Bigler, Matthias; Roethlisberger, Regine; Lambert, Fabrice; Wolff, Eric W.; Castellano, Emiliano; Udisti, Roberto; Stocker, Thomas F.; Fischer, Hubertus</t>
  </si>
  <si>
    <t>Atmospheric decadal variability from high-resolution Dome C ice core records of aerosol constituents beyond the Last Interglacial</t>
  </si>
  <si>
    <t>SEA-SALT AEROSOL; EAST ANTARCTICA; SOUTHERN-OCEAN; GLACIAL MAXIMUM; DUST; CLIMATE; GREENLAND; SURFACE; MARINE; SECTOR</t>
  </si>
  <si>
    <t>Along the EPICA Dome C ice core, we measured concentrations of different water-soluble aerosol constituents and deduced total depositional flux records. Here we present high-resolution sodium, calcium, ammonium and nitrate data covering the last 173,000 years. The first three of these species are passive tracers and reveal source and long-range transport changes whereas nitrate is deposited reversibly. However, it can be used to check isotope-derived accumulation rate estimates, a prerequisite to calculate total depositional fluxes. During the last two transitions from glacial to interglacial periods, changes in the total depositional flux differ strongly for different aerosol species. The largest changes are observed in the terrestrial aerosol proxy non-sea salt calcium, only moderate changes occur in the marine sea salt indicator sodium, while ammonium, a proxy for marine bioproductivity, remains rather constant. In agreement with previous studies, we find that only considerable glacial-interglacial changes at both, the terrestrial and the marine sea salt aerosol source can explain the observed pronounced changes. The unprecedented high-resolution of our data allows for the first time the examination of decadal variability back to the penultimate glacial period. On the one hand, we find occasional fast shifts occurring within a few years: here we present such an event in the calcium record from the penultimate glacial period. On the other hand, we examine variation coefficients and pairwise correlation coefficients, both determined in 200-year windows. They generally reveal only moderate changes. During glacial periods, slightly lower variation coefficients are found, concurrent with slightly higher correlation coefficients, which points to a more uniform and stronger coupled atmospheric long-range transport of the different aerosol species to the East Antarctic Plateau and less influence of cyclonic activities during cold periods. The opposite is observed for interglacial periods with probably even reinforced importance of cyclonic influences during the Last Interglacial period, the Marine Isotope Stage 5.5. This period reveals no evidence for abrupt climatic changes in any of the species, however, the marine sea salt aerosol indicator sodium shows a distinct minimum followed by a pronounced increase. This pattern is explained by significantly reduced sea ice production in the Indian Southern Ocean sector, which is believed to be the dominant source of sodium deposited in Dome C during warm periods. (C) 2009 Elsevier Ltd. All rights reserved.</t>
  </si>
  <si>
    <t>[Bigler, Matthias; Lambert, Fabrice; Stocker, Thomas F.; Fischer, Hubertus] Univ Bern, Inst Phys, CH-3012 Bern, Switzerland; [Bigler, Matthias; Lambert, Fabrice; Stocker, Thomas F.; Fischer, Hubertus] Univ Bern, Oeschger Ctr Climate Change Res, CH-3012 Bern, Switzerland; [Bigler, Matthias] Univ Copenhagen, Niels Bohr Inst, Ctr Ice &amp; Climate, DK-2100 Copenhagen, Denmark; [Roethlisberger, Regine; Wolff, Eric W.] British Antarctic Survey, Nat Environm Res Council, Cambridge CB3 0ET, England; [Castellano, Emiliano; Udisti, Roberto] Univ Florence, Dept Chem, I-50019 Sesto Fiorentino, Italy</t>
  </si>
  <si>
    <t>University of Bern; University of Bern; University of Copenhagen; Niels Bohr Institute; UK Research &amp; Innovation (UKRI); Natural Environment Research Council (NERC); NERC British Antarctic Survey; University of Florence</t>
  </si>
  <si>
    <t>Bigler, M (corresponding author), Univ Bern, Inst Phys, Sidlerstr 5, CH-3012 Bern, Switzerland.</t>
  </si>
  <si>
    <t>bigler@climate.unibe.ch; regine.rothlisberger@googlemail.com; lambert@climate.unibe.ch; ewwo@bas.ac.uk; emiliano.castellano@unifi.it; udisti@unifi.it; stocker@climate.unibe.ch; hfischer@climate.unibe.ch</t>
  </si>
  <si>
    <t>Lambert, Fabrice/M-2003-2014; Stocker, Thomas F/B-1273-2013; Udisti, Roberto/M-7966-2015; Wolff, Eric W/D-7925-2014; Bishnoi, Mamta/AAQ-8346-2021; Bigler, Matthias/HTT-3872-2023; Fischer, Hubertus/A-1211-2014</t>
  </si>
  <si>
    <t>Lambert, Fabrice/0000-0002-2192-024X; Udisti, Roberto/0000-0003-4440-8238; Wolff, Eric W/0000-0002-5914-8531; Bishnoi, Mamta/0000-0003-4987-0536; Bigler, Matthias/0000-0003-0184-4013; Fischer, Hubertus/0000-0002-2787-4221; Becagli, Silvia/0000-0003-3633-4849</t>
  </si>
  <si>
    <t>EU (EPICA-MIS); Natural Environment Research Council [bas0100024] Funding Source: researchfish; NERC [bas0100024] Funding Source: UKRI</t>
  </si>
  <si>
    <t>EU (EPICA-MIS)(European Union (EU)); Natural Environment Research Council(UK Research &amp; Innovation (UKRI)Natural Environment Research Council (NERC)); NERC(UK Research &amp; Innovation (UKRI)Natural Environment Research Council (NERC))</t>
  </si>
  <si>
    <t>This work is a contribution to the European Project for Ice Coring in Antarctica (EPICA), a joint European Science Foundation/European Commission (EC) scientific programme, funded by the EU (EPICA-MIS) and by national contributions from Belgium, Denmark, France, Germany, Italy, The Netherlands, Norway, Sweden, Switzerland and the UK. The main logistic support at Dome C was provided by IPEV and PNRA. We thank all the persons involved in the fieldwork to obtain the comprehensive data set.</t>
  </si>
  <si>
    <t>10.1016/j.quascirev.2009.09.009</t>
  </si>
  <si>
    <t>WOS:000274958000029</t>
  </si>
  <si>
    <t>Faria, SH; Freitag, J; Kipfstuhl, S</t>
  </si>
  <si>
    <t>Faria, Sergio H.; Freitag, Johannes; Kipfstuhl, Sepp</t>
  </si>
  <si>
    <t>Polar ice structure and the integrity of ice-core paleoclimate records</t>
  </si>
  <si>
    <t>DRONNING MAUD LAND; ANTARCTIC ICE; RAMAN-SPECTRA; AIR BUBBLES; SIPLE-DOME; DEEP; MICROSTRUCTURE; GREENLAND; VOSTOK; DENSIFICATION</t>
  </si>
  <si>
    <t>Polar ice is a unique archive of the climatic conditions in the past. However, ice sheets flow, and this flow may affect the integrity of paleoclimate records. A useful method to analyze the effect of ice flow upon climate records is the combination of microstructure mapping with ice-core line-scanning. Microstructure and stratigraphy have been mapped along the entire EPICA-DML ice core with this combined method. On the macroscale the stratigraphy seems perfectly preserved down to ca 1700 m depth (MIS4), below which minor undulations start to develop. Layers inclined up to 15 degrees and millimeter-scale z-folds are observed below 2050 m depth. Notwithstanding, the EPICA-DML climate record appears not seriously disturbed down to ca 2400 m depth, which marks the climatic transition from the last interglacial (MIS5e) to the MIS6 glacial period. Below this depth the synchronization with the EPICA-Dome C record is lost, and stratigraphic disturbances appear up to the meter scale. On the microscopic scale, we observe dynamic recrystallization already in deep firn, leading to substantial microstructural changes prior to bubble close-off. The concentration of visible micro-inclusions in the Holocene part of the core seems to increase with depth, which could possibly indicate post-depositional formation of salts. In glacial period ice the concentration of visible micro-inclusions in certain layers is so high that these strata appear as light-scattering bands, often called cloudy bands. Another interesting stratigraphic feature is what we call bubble-free bands, viz. millimeter-thick strata deprived of bubbles and rich in clathrate hydrates, which are found within the bubble-hydrate transition zone (800-1200 m depth) and are probably caused by anomalously fast clathration. While there is hardly any interaction between visible micro-inclusions and grain boundaries down to 2500 m depth, in the deeper ice (warmer than -10 degrees C) many grain boundaries seem to harvest micro-inclusions. Here we discuss these observations and their relevance for the interpretation of climate records. (C) 2009 Elsevier Ltd. All rights reserved.</t>
  </si>
  <si>
    <t>[Faria, Sergio H.] Univ Gottingen, GZG Sect Crystallog, D-37077 Gottingen, Germany; [Freitag, Johannes; Kipfstuhl, Sepp] Alfred Wegener Inst Polar &amp; Marine Res, D-27568 Bremerhaven, Germany</t>
  </si>
  <si>
    <t>University of Gottingen; Helmholtz Association; Alfred Wegener Institute, Helmholtz Centre for Polar &amp; Marine Research</t>
  </si>
  <si>
    <t>Faria, SH (corresponding author), Univ Gottingen, GZG Sect Crystallog, Goldschmidtstr 1, D-37077 Gottingen, Germany.</t>
  </si>
  <si>
    <t>sh.faria@geo.uni-goettingen.de; johannes.freitag@awi.de; sepp.kipfstuhl@awi.de</t>
  </si>
  <si>
    <t>Faria, Sergio Henrique/K-9454-2013</t>
  </si>
  <si>
    <t>Faria, Sergio Henrique/0000-0002-8825-7518</t>
  </si>
  <si>
    <t>Deutsche Forschungsgerneinschaft (DFG) [SPP-1158, FA 840/1-1]; EU (EPICA-MIS)</t>
  </si>
  <si>
    <t>Deutsche Forschungsgerneinschaft (DFG)(German Research Foundation (DFG)); EU (EPICA-MIS)(European Union (EU))</t>
  </si>
  <si>
    <t>We thank the Editor of this issue (E. Wolff), as well as Y. lizuka and an anonymous referee for many constructive suggestions. Partial financial support is acknowledged from the Priority Program SPP-1158 of the Deutsche Forschungsgerneinschaft (DFG), grant FA 840/1-1. 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(at Dome C) and AWI (at Dronning Maud Land). This is EPICA publication no. 245.</t>
  </si>
  <si>
    <t>10.1016/j.quascirev.2009.10.016</t>
  </si>
  <si>
    <t>WOS:000274958000030</t>
  </si>
  <si>
    <t>Johannessen, OM; Volkov, VA; Pettersson, LH; Maderich, VS; Zheleznyak, MJ; Gao, YQ; Bobylev, LP; Stepanov, AV; Neelov, IA; Tishkov, VP; Nielsen, SP</t>
  </si>
  <si>
    <t>Johannessen, OM; Volkov, VA; Pettersson, LH; Maderich, VS; Zheleznyak, MJ; Gao, Y; Bobylev, LP; Stepanov, AV; Neelov, IA; Tishkov, VP; Nielsen, SP</t>
  </si>
  <si>
    <t>Johannessen, Ola M.; Volkov, Vladimir A.; Pettersson, Lasse H.; Maderich, Vladimir S.; Zheleznyak, Mark J.; Gao, Yongqi; Bobylev, Leonid P.; Stepanov, Andrey V.; Neelov, Ivan A.; Tishkov, Viktor P.; Nielsen, Sven P.</t>
  </si>
  <si>
    <t>Sources of anthropogenic pollution in the Nordic Seas and Arctic</t>
  </si>
  <si>
    <t>RADIOACTIVITY AND POLLUTION IN THE NORDIC SEAS AND ARCTIC REGION: OBSERVATIONS, MODELING AND SIMULATIONS</t>
  </si>
  <si>
    <t>Springer Praxis Books</t>
  </si>
  <si>
    <t>ISOPYCNIC COORDINATE MODEL; FUEL-REPROCESSING TRACERS; NORWEGIAN COASTAL CURRENT; RHONE RIVER PLUME; SEDIMENT TRANSPORT; NORTH-ATLANTIC; RADIONUCLIDE DISPERSION; OCEAN MODEL; RADIOACTIVE CONTAMINATION; NUMERICAL-SIMULATION</t>
  </si>
  <si>
    <t>[Johannessen, Ola M.; Pettersson, Lasse H.; Gao, Yongqi] Mohn Sverdrup Ctr, N-5006 Bergen, Norway; [Johannessen, Ola M.; Pettersson, Lasse H.; Gao, Yongqi] Nansen Environm &amp; Remote Sensing Ctr, N-5006 Bergen, Norway; [Johannessen, Ola M.] Univ Bergen, Inst Geophys, N-5007 Bergen, Norway; [Volkov, Vladimir A.; Bobylev, Leonid P.; Neelov, Ivan A.] Nansen Int Environm &amp; Remote Sensing Ctr, St Petersburg 199034, Russia; [Maderich, Vladimir S.; Zheleznyak, Mark J.] Inst Math Machines &amp; Syst Problems, UA-03187 Kiev, Ukraine; [Stepanov, Andrey V.; Tishkov, Viktor P.] VG Khlopin Radium Inst, St Petersburg 194021, Russia; [Neelov, Ivan A.] Arctic &amp; Antarctic Res Inst, St Petersburg 199397, Russia; [Nielsen, Sven P.] Tech Univ Denmark, Riso Natl Lab Sustainable Energy, DK-4000 Roskilde, Denmark</t>
  </si>
  <si>
    <t>Nansen Environmental &amp; Remote Sensing Center (NERSC); University of Bergen; Nansen Environmental &amp; Remote Sensing Center (NERSC); Arctic &amp; Antarctic Research Institute; Technical University of Denmark</t>
  </si>
  <si>
    <t>Johannessen, OM (corresponding author), Mohn Sverdrup Ctr, Thormohlensgate 47, N-5006 Bergen, Norway.</t>
  </si>
  <si>
    <t>ola.johannessen@nersc.no; vladimir.volkov@niersc.spb.ru; lasse.pettersson@nersc.no; vlad@immsp.kiev.ua; mark@immsp.kiev.ua; yongqi.gao@nersc.no; leonid.bobylev@niersc.spb.ru; stepanov@khlopin.ru; neelov@aari.nw.ru; tishkov@khlopin.ru; spni@risoe.dtu.dk</t>
  </si>
  <si>
    <t>Zheleznyak, Mark/H-6479-2011; gao, yongqi/N-9347-2014; Pettersson, Lasse Herbert/AAM-9908-2020; Zheleznyak, Mark/D-6800-2013; Bobylev, Leonid/L-4816-2017</t>
  </si>
  <si>
    <t>Zheleznyak, Mark/0000-0001-7723-6052;</t>
  </si>
  <si>
    <t>SPRINGER-VERLAG LONDON LTD</t>
  </si>
  <si>
    <t>GODALMING</t>
  </si>
  <si>
    <t>SWEETAPPLE HOUSE CATTESHALL RD FARNCOMBE, GODALMING GU7 1NH, SURREY, ENGLAND</t>
  </si>
  <si>
    <t>978-3-540-24232-1</t>
  </si>
  <si>
    <t>SPRINGER-PRAX BOOKS</t>
  </si>
  <si>
    <t>BOK43</t>
  </si>
  <si>
    <t>WOS:000276891400001</t>
  </si>
  <si>
    <t>Study region and environmental datasets</t>
  </si>
  <si>
    <t>gao, yongqi/N-9347-2014; Zheleznyak, Mark/D-6800-2013; Zheleznyak, Mark/H-6479-2011; Bobylev, Leonid/L-4816-2017; Pettersson, Lasse Herbert/AAM-9908-2020</t>
  </si>
  <si>
    <t>WOS:000276891400002</t>
  </si>
  <si>
    <t>Generic model system (GMS) for simulation of radioactive spread in the aquatic environment</t>
  </si>
  <si>
    <t>Pettersson, Lasse Herbert/AAM-9908-2020; Bobylev, Leonid/L-4816-2017; Zheleznyak, Mark/D-6800-2013; gao, yongqi/N-9347-2014; Zheleznyak, Mark/H-6479-2011</t>
  </si>
  <si>
    <t>WOS:000276891400003</t>
  </si>
  <si>
    <t>Studies of potential radioactive spread in the Nordic Seas and Arctic using the generic model system (GMS)</t>
  </si>
  <si>
    <t>Pettersson, Lasse Herbert/AAM-9908-2020; Bobylev, Leonid/L-4816-2017; gao, yongqi/N-9347-2014; Zheleznyak, Mark/H-6479-2011; Zheleznyak, Mark/D-6800-2013</t>
  </si>
  <si>
    <t>Zheleznyak, Mark/0000-0001-7723-6052</t>
  </si>
  <si>
    <t>WOS:000276891400004</t>
  </si>
  <si>
    <t>Studies of the spread of non-radioactive pollutants in the Arctic using the generic model system (GMS)</t>
  </si>
  <si>
    <t>gao, yongqi/N-9347-2014; Zheleznyak, Mark/D-6800-2013; Zheleznyak, Mark/H-6479-2011; Pettersson, Lasse Herbert/AAM-9908-2020; Bobylev, Leonid/L-4816-2017</t>
  </si>
  <si>
    <t>WOS:000276891400005</t>
  </si>
  <si>
    <t>Assessment and input to risk management</t>
  </si>
  <si>
    <t>Zheleznyak, Mark/H-6479-2011; Pettersson, Lasse Herbert/AAM-9908-2020; Zheleznyak, Mark/D-6800-2013; Bobylev, Leonid/L-4816-2017; gao, yongqi/N-9347-2014</t>
  </si>
  <si>
    <t>WOS:000276891400006</t>
  </si>
  <si>
    <t>Jenkins, WJ; Elder, KL; McNichol, AP; von Reden, K</t>
  </si>
  <si>
    <t>Jenkins, William J.; Elder, Kathryn L.; McNichol, Ann P.; von Reden, Karl</t>
  </si>
  <si>
    <t>THE PASSAGE OF THE BOMB RADIOCARBON PULSE INTO THE PACIFIC OCEAN</t>
  </si>
  <si>
    <t>RADIOCARBON</t>
  </si>
  <si>
    <t>20th International Radiocarbon Conference</t>
  </si>
  <si>
    <t>MAY 31-JUN 05, 2009</t>
  </si>
  <si>
    <t>Hawaii, HI</t>
  </si>
  <si>
    <t>ANTARCTIC INTERMEDIATE WATER; TRITIUM; CARBON; GRAPHITE; SEAWATER; TRACERS</t>
  </si>
  <si>
    <t>We report and compare radiocarbon observations made on 2 meridional oceanographic sections along 150 degrees W in the South Pacific in 1991 and 2005. The distributions reflect the progressive penetration of nuclear weapons-produced C-14 into the oceanic thermocline. The changes over the 14 yr between occupations are demonstrably large relative to any possible drift in our analytical standardization. The computed difference field based on the gridded data in the upper 1600 m of the section exhibits a significant decrease over time (approaching 40 to 50 parts per thousand in Delta C-14) in the upper 200-300 m, consistent with the decadal post-bomb decline in atmospheric C-14 levels. A strong positive anomaly (increase with time), centered on the low salinity core of the Antarctic Intermediate Water (AAIW), approaches 50-60 parts per thousand in Delta C-14, a clear signature of the downstream evolution of the C-14 transient in this water mass. We use this observation to estimate the transit time of AAIW from its source region in the southeast South Pacific and to compute the effective reservoir age of this water mass. The 2 sections show small but significant changes in the abyssal C-14 distributions. Between 1991 and 2005, Delta C-14 has increased by 9 parts per thousand below 2000 m north of 55 degrees S. This change is accompanied overall by a modest increase in salinity and dissolved oxygen, as well as a slight decrease in dissolved silica. Such changes are indicative of greater ventilation. Calculation of phosphate star also indicates that this may be due to a shift from the Southern Ocean toward North Atlantic Deep Water as the ventilation source of the abyssal South Pacific.</t>
  </si>
  <si>
    <t>[Jenkins, William J.; Elder, Kathryn L.; McNichol, Ann P.; von Reden, Karl] Woods Hole Oceanog Inst, Natl Ocean Sci Accelerator Mass Spectrometer Faci, Woods Hole, MA 02543 USA</t>
  </si>
  <si>
    <t>Woods Hole Oceanographic Institution</t>
  </si>
  <si>
    <t>Jenkins, WJ (corresponding author), Woods Hole Oceanog Inst, Natl Ocean Sci Accelerator Mass Spectrometer Faci, Woods Hole, MA 02543 USA.</t>
  </si>
  <si>
    <t>wjenkins@whoi.edu</t>
  </si>
  <si>
    <t>von Reden, Karl/0000-0001-6413-9018</t>
  </si>
  <si>
    <t>Division Of Ocean Sciences; Directorate For Geosciences [0824864] Funding Source: National Science Foundation; Division Of Ocean Sciences; Directorate For Geosciences [0825163, 0753487] Funding Source: National Science Foundation</t>
  </si>
  <si>
    <t>Division Of Ocean Sciences; Directorate For Geosciences(National Science Foundation (NSF)NSF - Directorate for Geosciences (GEO)); Division Of Ocean Sciences; Directorate For Geosciences(National Science Foundation (NSF)NSF - Directorate for Geosciences (GEO))</t>
  </si>
  <si>
    <t>0033-8222</t>
  </si>
  <si>
    <t>1945-5755</t>
  </si>
  <si>
    <t>Radiocarbon</t>
  </si>
  <si>
    <t>10.1017/S0033822200046257</t>
  </si>
  <si>
    <t>696JO</t>
  </si>
  <si>
    <t>WOS:000285437900033</t>
  </si>
  <si>
    <t>Scheckter, J</t>
  </si>
  <si>
    <t>Dixon, R; Birns, N</t>
  </si>
  <si>
    <t>Scheckter, John</t>
  </si>
  <si>
    <t>COLD DREAMS: NATIONAL EFFORTS AND GLOBAL VISIONS IN ANTARCTIC ARTS PROGRAMS</t>
  </si>
  <si>
    <t>READING ACROSS THE PACIFIC: AUSTRALIA-UNITED STATES INTELLECTUAL HISTORIES</t>
  </si>
  <si>
    <t>[Scheckter, John] Long Isl Univ, New York, NY USA</t>
  </si>
  <si>
    <t>Scheckter, J (corresponding author), Long Isl Univ, CW Post Campus, New York, NY USA.</t>
  </si>
  <si>
    <t>978-1-920899-66-0</t>
  </si>
  <si>
    <t>Literature, African, Australian, Canadian; Literature, American</t>
  </si>
  <si>
    <t>BBY30</t>
  </si>
  <si>
    <t>WOS:000308670700013</t>
  </si>
  <si>
    <t>Brito, MP; Griffiths, G</t>
  </si>
  <si>
    <t>Bris, R; Soares, CG; Martorell, S</t>
  </si>
  <si>
    <t>Brito, M. P.; Griffiths, G.</t>
  </si>
  <si>
    <t>On the use of expert judgment elicitation for autonomous underwater vehicle risk prediction and management</t>
  </si>
  <si>
    <t>RELIABILITY, RISK AND SAFETY: THEORY AND APPLICATIONS VOLS 1-3</t>
  </si>
  <si>
    <t>European Safety and Reliability Conference (ESREL 2009)</t>
  </si>
  <si>
    <t>SEP 07-10, 2009</t>
  </si>
  <si>
    <t>Prague, CZECH REPUBLIC</t>
  </si>
  <si>
    <t>RELIABILITY; NAVIGATION</t>
  </si>
  <si>
    <t>Autonomous underwater vehicles (AUVs) have been increasingly used to support marine science campaigns in Polar Regions. The Autosub3 is an AUV designed and operated by the National Oceanography Centre, Southampton. This AUV is used to support studies carried out by scientists funded by the UK Natural Environment Research Council. Autosub3 undertook campaigns in ice-covered seas, where the risk of loss was considered to be significant. Prior to this campaign we built a novel risk model based on independent experts' judgments. This study reports on the work carried out to build the risk model. In summary, an expert judgment elicitation exercise was carried out, where a group of ten world experts in AUV operation were asked to assign a probability of AUV loss given the emergence of a particular fault, a total of sixty three faults were considered. The aggregated risk estimates obtained from the expert judgments were used to create a risk model for four operating environments. A novel statistical survival function was adopted in order to estimate AUV survival with range. The Autosub3 survival function was used to estimate the risk of a campaign to the Antarctic, which took place in February 2009.</t>
  </si>
  <si>
    <t>[Brito, M. P.; Griffiths, G.] Univ Southampton, Natl Oceanog Ctr, Underwater Syst Lab, Southampton, Hants, England</t>
  </si>
  <si>
    <t>Brito, MP (corresponding author), Univ Southampton, Natl Oceanog Ctr, Underwater Syst Lab, Southampton, Hants, England.</t>
  </si>
  <si>
    <t>978-0-415-55509-8</t>
  </si>
  <si>
    <t>Computer Science, Theory &amp; Methods; Engineering, Electrical &amp; Electronic</t>
  </si>
  <si>
    <t>BQJ73</t>
  </si>
  <si>
    <t>WOS:000281188500169</t>
  </si>
  <si>
    <t>Kahru, M; Mitchell, BG</t>
  </si>
  <si>
    <t>Kahru, Mati; Mitchell, B. Greg</t>
  </si>
  <si>
    <t>Blending of ocean colour algorithms applied to the Southern Ocean</t>
  </si>
  <si>
    <t>REMOTE SENSING LETTERS</t>
  </si>
  <si>
    <t>ANTARCTIC PENINSULA WATERS; CHLOROPHYLL ALGORITHMS; BIOOPTICAL PROPERTIES; SATELLITE DATA; SEAWIFS</t>
  </si>
  <si>
    <t>A method of blending of a specific satellite ocean colour algorithm in the Southern Ocean (SO) with a generic algorithm elsewhere is proposed. The SO is known to have bio-optical properties that require a different bio-optical algorithm for retrieving chlorophyll-a concentration. Merging data retrieved with a specific algorithm in one area with data retrieved with another algorithm elsewhere has remained a problem. We use a blending scheme that uses both bio-optical properties and the location of the pixel relative to the mean position of the Subtropical Front to create a smooth transition from one algorithm to another. The method can be applied to other regions or variables after modification.</t>
  </si>
  <si>
    <t>[Kahru, Mati; Mitchell, B. Greg] Univ Calif San Diego, Scripps Inst Oceanog, La Jolla, CA 92093 USA</t>
  </si>
  <si>
    <t>University of California System; University of California San Diego; Scripps Institution of Oceanography</t>
  </si>
  <si>
    <t>Kahru, M (corresponding author), Univ Calif San Diego, Scripps Inst Oceanog, La Jolla, CA 92093 USA.</t>
  </si>
  <si>
    <t>mkahru@ucsd.edu</t>
  </si>
  <si>
    <t>NASA [NNG04GA60G, NAG5-7100]; NSF [OPP 95-30863, OPP02-30443]; Directorate For Geosciences; Office of Polar Programs (OPP) [0948338] Funding Source: National Science Foundation</t>
  </si>
  <si>
    <t>NASA(National Aeronautics &amp; Space Administration (NASA)); NSF(National Science Foundation (NSF)); Directorate For Geosciences; Office of Polar Programs (OPP)(National Science Foundation (NSF)NSF - Directorate for Geosciences (GEO))</t>
  </si>
  <si>
    <t>This work was supported by NASA Ocean Biogeochemistry grants NNG04GA60G, NAG5-7100 and by NSF grants OPP 95-30863, OPP02-30443.</t>
  </si>
  <si>
    <t>2150-704X</t>
  </si>
  <si>
    <t>2150-7058</t>
  </si>
  <si>
    <t>REMOTE SENS LETT</t>
  </si>
  <si>
    <t>Remote Sens. Lett.</t>
  </si>
  <si>
    <t>10.1080/01431160903547940</t>
  </si>
  <si>
    <t>794CC</t>
  </si>
  <si>
    <t>WOS:000292872000007</t>
  </si>
  <si>
    <t>Scott, KN</t>
  </si>
  <si>
    <t>Fitzmaurice, M; Ong, DM; Merkouris, P</t>
  </si>
  <si>
    <t>Scott, Karen N.</t>
  </si>
  <si>
    <t>Drilling at the Poles: environmental protection in the Antarctic and the Arctic</t>
  </si>
  <si>
    <t>RESEARCH HANDBOOK ON INTERNATIONAL ENVIRONMENTAL LAW</t>
  </si>
  <si>
    <t>Research Handbooks in International Law</t>
  </si>
  <si>
    <t>LAKE; SYSTEM; ICE</t>
  </si>
  <si>
    <t>[Scott, Karen N.] Univ Canterbury, Canterbury, New Zealand; [Scott, Karen N.] Univ Nottingham, Nottingham NG7 2RD, England</t>
  </si>
  <si>
    <t>University of Canterbury; University of Nottingham</t>
  </si>
  <si>
    <t>Scott, KN (corresponding author), Univ Canterbury, Canterbury, New Zealand.</t>
  </si>
  <si>
    <t>EDWARD ELGAR PUBLISHING LTD</t>
  </si>
  <si>
    <t>CHELTENHAM</t>
  </si>
  <si>
    <t>THE LYPIATTS, 15 LANSDOWN RD, CHELTENHAM GL50 2JA, GLOS, ENGLAND</t>
  </si>
  <si>
    <t>978-1-84720-124-9</t>
  </si>
  <si>
    <t>RES HB INT LAW</t>
  </si>
  <si>
    <t>Environmental Studies; Law</t>
  </si>
  <si>
    <t>Environmental Sciences &amp; Ecology; Government &amp; Law</t>
  </si>
  <si>
    <t>BCJ41</t>
  </si>
  <si>
    <t>WOS:000310283500031</t>
  </si>
  <si>
    <t>Rosa, KK; Vieira, R; Acuna, FF; Simoes, JC</t>
  </si>
  <si>
    <t>Rosa, Katia Kellem; Vieira, Rosemary; Acuna, Francisco Ferrando; Simoes, Jefferson Cardia</t>
  </si>
  <si>
    <t>GEOMORPHOLOGY AND GLACIAL SEDIMENTOLOGY APPLIED IN THE RECONSTRUCTION OF EVOLUTION OF THE ENVIRONMENT OF DEGLACIATION OF THE WANDA GLAZE, REI GEORGE ISLAND, ANTARCTICA</t>
  </si>
  <si>
    <t>REVISTA BRASILEIRA DE GEOMORFOLOGIA</t>
  </si>
  <si>
    <t>Portuguese</t>
  </si>
  <si>
    <t>Antarctic; King George Island; glacier Ecology; glacial sedimentation</t>
  </si>
  <si>
    <t>This article presents results of field activities carried on the XXVI OPERANTAR during the 2007/2008 summer, along the deglaciated area of Wanda glacier, King George Island, Antarctic. The glacier has experienced the retreating rate in recent decades, resulting in a sedimentary environment, with exposure of several landforms and deposits. These records are useful for the reconstruction of the evolution of this deglaciated environment. Data were obtained at laboratory analysis of sediments collected in the field and interpretation of aerial photos (2003) on the scale of 1: 50.000, provided by the SHOA/SAF (Servicio Hidrografico y Oceanogrefico de la armada de Chile/Servicio Aereo Fotogrametrico), and multi-years SPOT satellite images. The results show different stages of deglaciation for Wanda glacier with an acceleration of its retraction and loss of thickness in recent decades. Sedimentary records also indicate that the glacier has basal thermal regime wet.</t>
  </si>
  <si>
    <t>[Rosa, Katia Kellem; Vieira, Rosemary; Simoes, Jefferson Cardia] Univ Fed Rio Grande do Sul, Dept Geog, Inst Geociencias, Ctr Polar &amp; Climatol, Av Bento Goncalves 9500, BR-91501970 Porto Alegre, RS, Brazil; [Acuna, Francisco Ferrando] Univ Chile, Dept Geog, Santiago, Chile</t>
  </si>
  <si>
    <t>Universidade Federal do Rio Grande do Sul; Universidad de Chile</t>
  </si>
  <si>
    <t>Rosa, KK (corresponding author), Univ Fed Rio Grande do Sul, Dept Geog, Inst Geociencias, Ctr Polar &amp; Climatol, Av Bento Goncalves 9500, BR-91501970 Porto Alegre, RS, Brazil.</t>
  </si>
  <si>
    <t>katiakellem@yahoo.com.br; rosemary.vieira@ufrgs.com.br; fferrand@uchile.cl; jefferson.simoes@ufrgs.br</t>
  </si>
  <si>
    <t>Simoes, Jefferson Cardia/D-7232-2013</t>
  </si>
  <si>
    <t>Simoes, Jefferson Cardia/0000-0001-5555-3401</t>
  </si>
  <si>
    <t>UNIAO GEOMORFOLOGIA BRASILEIRA</t>
  </si>
  <si>
    <t>UBERLANDIA, BRAZIL</t>
  </si>
  <si>
    <t>UNIV FEDERAL UBERLANDIA, AV JOAO NAVES AVILA 2160, UBERLANDIA, BRAZIL, 00000, BRAZIL</t>
  </si>
  <si>
    <t>1519-1540</t>
  </si>
  <si>
    <t>2236-5664</t>
  </si>
  <si>
    <t>REV BRAS GEOMORFOL</t>
  </si>
  <si>
    <t>Rev. Bras. Geomorfol.</t>
  </si>
  <si>
    <t>V1I3M</t>
  </si>
  <si>
    <t>WOS:000216930500005</t>
  </si>
  <si>
    <t>González, PM</t>
  </si>
  <si>
    <t>Mancilla Gonzalez, Pablo</t>
  </si>
  <si>
    <t>THE GENESIS OF CHILEAN SCIENTIFIC KNOWLEDGE CONCERNING THE EXTREME SOUTHERN-ANTARCTIC TERRITORIES, 1820-1884</t>
  </si>
  <si>
    <t>Scientific Knowledge of Chile; Scientific Institutions of Chile; Men of Science in Chile Southern; Antarctic Territories of Chile</t>
  </si>
  <si>
    <t>The following article's primary focus is to describe chronologically through official sources and specialized bibliography, the genesis of Chilean scientific knowledge concerning the extreme southern-Antarctic territories from the geopolitical visionary appreciations by Bernardo O'Higgins, in the decade of 1820, until the publication of Scholarly Map by Alejandro Bertrand in 1884, as well as, identify the principal institutions and men of science that, together with their publications, acknowledge at both a national and international level, the scientific works executed in Chile concerning these zones which through time were transformed into the inquiry that transcended into the first half of the 20th century, developed governmental institutions, higher education, academic-scientific centers and the armed forces.</t>
  </si>
  <si>
    <t>[Mancilla Gonzalez, Pablo] Univ Santo Tomas, Vona Mar, Chile</t>
  </si>
  <si>
    <t>Universidad Santo Tomas</t>
  </si>
  <si>
    <t>González, PM (corresponding author), Univ Santo Tomas, Vona Mar, Chile.</t>
  </si>
  <si>
    <t>pmancillag@santotomas.cl</t>
  </si>
  <si>
    <t>Gonzalez, Pablo Mancilla/C-1931-2016</t>
  </si>
  <si>
    <t>V36FQ</t>
  </si>
  <si>
    <t>WOS:000215954500004</t>
  </si>
  <si>
    <t>Hall, CM; Saarinen, J</t>
  </si>
  <si>
    <t>Hall, C. Michael; Saarinen, Jarkko</t>
  </si>
  <si>
    <t>Polar Tourism: Definitions and Dimensions</t>
  </si>
  <si>
    <t>SCANDINAVIAN JOURNAL OF HOSPITALITY AND TOURISM</t>
  </si>
  <si>
    <t>Polar tourism; polar regions; Arctic; Antarctic; geopolitics</t>
  </si>
  <si>
    <t>CHALLENGES; IMAGES</t>
  </si>
  <si>
    <t>Polar regions are attracting more public, political, economic and scientific attention than ever before, with the role of tourism becoming increasingly recognised. Tourism activities are still relatively new in polar settings with the role of tourism primarily seen as highly beneficial with a capacity to contribute to socio-economic development, especially in the Arctic. However, the growth in tourism is also regarded by some commentators as potentially damaging to the polar environments, especially when combined with the effects of climate change. Yet in order to understand future change it is important that past and present tourism numbers can be benchmarked. The purpose of this paper is to discuss the definitions and dimensions of tourism in polar regions and how the term polar tourism can be understood. The paper aims to define polar tourism in a manner that is consistent with that of international tourism statistics in order to identify gaps in our knowledge base. Based on the existing statistics and overview of current levels of tourism in polar regions it is indicated that the number of visitors to high latitudes is already substantial, especially in the Arctic, and is continuing to grow.</t>
  </si>
  <si>
    <t>[Hall, C. Michael; Saarinen, Jarkko] Univ Oulu, Dept Geog, FIN-90014 Oulu, Finland; [Hall, C. Michael] Univ Canterbury, Canterbury, Kent, England; [Saarinen, Jarkko] Univ Oulu, Dept Human Geog, FIN-90014 Oulu, Finland</t>
  </si>
  <si>
    <t>University of Oulu; University of Oulu</t>
  </si>
  <si>
    <t>Saarinen, J (corresponding author), Univ Oulu, Dept Geog, POB 3000, FIN-90014 Oulu, Finland.</t>
  </si>
  <si>
    <t>jarkko.saarinen@oulu.fi</t>
  </si>
  <si>
    <t>Hall, Colin Michael/C-1439-2010; Saarinen, Jarkko/AAD-3227-2019; Hall, Colin Michael/AAT-6513-2021</t>
  </si>
  <si>
    <t>Hall, Colin Michael/0000-0002-7734-4587; Saarinen, Jarkko/0000-0002-9327-6932;</t>
  </si>
  <si>
    <t>1502-2250</t>
  </si>
  <si>
    <t>1502-2269</t>
  </si>
  <si>
    <t>SCAND J HOSP TOUR</t>
  </si>
  <si>
    <t>Scand. J. Hosp. Tour.</t>
  </si>
  <si>
    <t>PII 931092995</t>
  </si>
  <si>
    <t>10.1080/15022250.2010.521686</t>
  </si>
  <si>
    <t>Hospitality, Leisure, Sport &amp; Tourism; Sociology</t>
  </si>
  <si>
    <t>Social Sciences - Other Topics; Sociology</t>
  </si>
  <si>
    <t>695PO</t>
  </si>
  <si>
    <t>WOS:000285385200004</t>
  </si>
  <si>
    <t>Li, LiPing; Ma, JuHui; Wang, PanXing; Guo, Dong; Duan, MingKen; Guan, ShuXuan</t>
  </si>
  <si>
    <t>Multi-scale variation characteristics of polar vortex at 10 hPa in the Southern Hemisphere</t>
  </si>
  <si>
    <t>SCIENCES IN COLD AND ARID REGIONS</t>
  </si>
  <si>
    <t>circulation indices of polar vortex at 10 hPa; climatic state; anomalous state; ozone anomaly; Antarctic Oscillation</t>
  </si>
  <si>
    <t>By use of 1948-2007 NCEP/NCAR reanalysis monthly geopotential data, a set of circulation indices are defined to characterize the polar vortex at 10 hPa in the Southern Hemisphere, including area-(S), intensity-(P) and centre position-(.c, fc) indices. Seasonal variation, interannual anomalies and their possible causes of 10 hPa polar vortex in the Southern Hemisphere are analyzed by using these indices, the relationship between 10 hPa polar vortex strength and the Antarctic Oscillation are analyzed as well. The results show that: (1) the polar region at 10 hPa in the Southern Hemisphere is controlled by anticyclone (cyclone) from Dec. to Jan. (from Mar. to Oct.), Feb. and Nov. are circulation transition seasons. (2) Intensity index (P) and area index (S) of anticyclone (cyclone) in Jan. (Jul.) show a significant spike in the late 1970s, the anticyclone (cyclone) enhances (weakens) from extremely weak (strong) oscillation to near the climatic mean before a spike, anticyclone tends to the mean state from very strong oscillation and cyclone oscillates in the weaker state after the spike. (3) There is significant interdecadal change for the anticyclone center in Jan., while markedly interannual variation for cyclone center in July. (4) The ozone anomalies can cause the interannual anomaly of the polar anticyclone at 10 hPa in the Southern Hemisphere in Jan. (positive correlation between them), but it is not related to the polar cyclone anomalies. (5) There is notable negative correlation between the polar vortex intensity index P and the Antarctic Oscillation index (AAOI), thus AAOI can be represented by P.</t>
  </si>
  <si>
    <t>Nanjing Univ Informat Sci &amp; Technol, Minist Educ, Key Lab Meteorol Disaster Cooperat, Minist &amp; Prov Govt, Nanjing 210044, Jiangsu, Peoples R China; [Li, LiPing] Nanjing Univ Informat Sci &amp; Technol, Coll Atmospher Sci, 219 Ningliu Rd, Nanjing 210044, Jiangsu, Peoples R China</t>
  </si>
  <si>
    <t>Nanjing University of Information Science &amp; Technology; Nanjing University of Information Science &amp; Technology</t>
  </si>
  <si>
    <t>Li, LP (corresponding author), Nanjing Univ Informat Sci &amp; Technol, Coll Atmospher Sci, 219 Ningliu Rd, Nanjing 210044, Jiangsu, Peoples R China.</t>
  </si>
  <si>
    <t>National Key Technology RD Program [2007BAC29B02]; National Natural Science Foundation Director Fund [40940008]</t>
  </si>
  <si>
    <t>National Key Technology RD Program(National Key Technology R&amp;D Program); National Natural Science Foundation Director Fund</t>
  </si>
  <si>
    <t>The authors are very thankful to two reviewers for their helpful suggestions. This project is supported by National Key Technology R&amp;D Program (Grant No. 2007BAC29B02) and National Natural Science Foundation Director Fund (Grant No. 40940008)</t>
  </si>
  <si>
    <t>EPHRATA</t>
  </si>
  <si>
    <t>300 WEST CHESNUT ST, EPHRATA, PA 17522 USA</t>
  </si>
  <si>
    <t>1674-3822</t>
  </si>
  <si>
    <t>SCI COLD ARID REG</t>
  </si>
  <si>
    <t>Sci. Cold Arid Reg.</t>
  </si>
  <si>
    <t>V9F8Q</t>
  </si>
  <si>
    <t>WOS:000422273900010</t>
  </si>
  <si>
    <t>Zhang, SK; DongChen, EC; Li, F; Huang, JF; Li, YS; Wang, ZM; Zhang, XH</t>
  </si>
  <si>
    <t>Zhang, ShengKai; DongChen, E.; Li, Fei; Huang, JiFeng; Li, YuanSheng; Wang, Zemin; Zhang, XiaoHong</t>
  </si>
  <si>
    <t>The tidal signals extraction from GPS data on the Amery Ice Shelf, Antarctica</t>
  </si>
  <si>
    <t>Antarctica; Amery Ice Shelf; GPS; tidal signal</t>
  </si>
  <si>
    <t>Tidal motion is the source of short-term vertical motion that an ice shelf experiences, and hence has a significant impact on ice shelves. During the 2003/2004 Austral summer season, five days of GPS measurements were carried out on the front of the Amery Ice Shelf (AIS), East Antarctica, by the 20th Chinese National Antarctica Research Expedition (CHINARE). The GPS data was processed using GAMIT/GLOBK software with 2-hour static data segment and the vertical precision is less than 0.18 m. To verify our results for the vertical component, we compare the ice shelf GPS tidal signal with a tidal result derived from tide gauge measurements at China's Zhongshan Station on Antarctica. Comparison of the GPS results with the tide gauge were in good agreement in amplitude at the few cm level, which indicates that the tide under the front of Amery Ice Shelf is irregular semidiurnal tide, the maximal tidal differences is approximately 2 m. GPS data can be used to validate the ocean tide model around the Antarctic area and such studies are important to improve our knowledge of the Antarctic ice shelf mass balance and dynamical models of ice sheet/ocean interaction.</t>
  </si>
  <si>
    <t>[Zhang, ShengKai; DongChen, E.; Li, Fei; Huang, JiFeng; Wang, Zemin; Zhang, XiaoHong] Wuhan Univ, Chinese Antarctic Ctr Surveying &amp; Mapping, Sch Geodesy &amp; Geomat, Wuhan 430079, Hubei, Peoples R China; [Zhang, ShengKai; DongChen, E.; Li, Fei; Huang, JiFeng; Wang, Zemin] State Bur Surveying &amp; Mapping, Key Lab Polar Surveying &amp; Mapping, Wuhan 430079, Hubei, Peoples R China; [Li, YuanSheng] Polar Res Inst China, Shanghai 200136, Peoples R China</t>
  </si>
  <si>
    <t>Wuhan University; Polar Research Institute of China</t>
  </si>
  <si>
    <t>Zhang, SK (corresponding author), Wuhan Univ, Chinese Antarctic Ctr Surveying &amp; Mapping, Sch Geodesy &amp; Geomat, Wuhan 430079, Hubei, Peoples R China.</t>
  </si>
  <si>
    <t>zskai@whu.edu.cn</t>
  </si>
  <si>
    <t>Zhang, Xiaohong/L-7412-2019; ZeMin, Wang/AAU-3422-2020</t>
  </si>
  <si>
    <t>National Natural Science Foundation of China [40806076]; State Key Laboratory of Cryospheric Science, Chinese Arctic and Antarctic Administration [20070206]; Key Laboratory of Polar Surveying and Mapping, State Bureau of Surveying and Mapping [200805]</t>
  </si>
  <si>
    <t>National Natural Science Foundation of China(National Natural Science Foundation of China (NSFC)); State Key Laboratory of Cryospheric Science, Chinese Arctic and Antarctic Administration; Key Laboratory of Polar Surveying and Mapping, State Bureau of Surveying and Mapping</t>
  </si>
  <si>
    <t>The authors are very thankful to all of the field team members of ANARE and CHINARE. The tide gauge data are provided by Australia Antarctic Division (AAD) and Australia National Tide Center (NTC). This project is supported by the National Natural Science Foundation of China (40806076), State Key Laboratory of Cryospheric Science, Chinese Arctic and Antarctic Administration (20070206) and Key Laboratory of Polar Surveying and Mapping, State Bureau of Surveying and Mapping (200805).</t>
  </si>
  <si>
    <t>V9F9O</t>
  </si>
  <si>
    <t>WOS:000422276300002</t>
  </si>
  <si>
    <t>Hein, A</t>
  </si>
  <si>
    <t>Hein, Andrew</t>
  </si>
  <si>
    <t>The Heart of the Great Alone: Scott, Shackleton and Antarctic Photography</t>
  </si>
  <si>
    <t>SCOTTISH GEOGRAPHICAL JOURNAL</t>
  </si>
  <si>
    <t>[Hein, Andrew] Univ Edinburgh, Edinburgh EH8 9YL, Midlothian, Scotland</t>
  </si>
  <si>
    <t>Hein, A (corresponding author), Univ Edinburgh, Edinburgh EH8 9YL, Midlothian, Scotland.</t>
  </si>
  <si>
    <t>Hein, Andrew/JWO-3756-2024</t>
  </si>
  <si>
    <t>4 PARK SQUARE, MILTON PARK, ABINGDON OX14 4RN, OXFORDSHIRE, ENGLAND</t>
  </si>
  <si>
    <t>1470-2541</t>
  </si>
  <si>
    <t>SCOT GEOGR J</t>
  </si>
  <si>
    <t>Scott. Geogr. J.</t>
  </si>
  <si>
    <t>596HC</t>
  </si>
  <si>
    <t>WOS:000277674800007</t>
  </si>
  <si>
    <t>McAteer, CA; Daly, JS; Flowerdew, MJ; Whitehouse, MJ</t>
  </si>
  <si>
    <t>McAteer, Claire A.; Daly, J. Stephen; Flowerdew, Michael J.; Whitehouse, Martin J.</t>
  </si>
  <si>
    <t>Dalradian Grampian Group affinity for the Bowmore Sandstone Group, Islay, SW Scotland</t>
  </si>
  <si>
    <t>SCOTTISH JOURNAL OF GEOLOGY</t>
  </si>
  <si>
    <t>PB ZIRCON GEOCHRONOLOGY; DETRITAL ZIRCON; GRENVILLE PROVINCE; MOINE SUPERGROUP; NW SCOTLAND; LAURENTIAN PROVENANCE; PROTEROZOIC BASEMENT; ISOTOPIC EVIDENCE; EVOLUTION; IRELAND</t>
  </si>
  <si>
    <t>Whole-rock Sm-Nd model ages of 1601 Ma (lower Laggan Formation) and 1674 Ma (upper Blackrock Formation) suggest a late Palaeoproterozoic, early Mesoproterozoic source for the rnetasediments of the Bowmore Sandstone Group, central Islay, SW Scotland. In situ U-Pb detrital zircon (SIMS) analyses show that the group was deposited after 1003 Ma +/- 19 Ma in a basin dominated by Mesoproterozoic detritus, with some Palaeoproterozoic material and minimal Archaean input. The data are consistent with Laurentian sources, mostly Grenville (possibly including reworked sedimentary material from the southwestern Grenville Province), but with some input from Ketilidian, Labradorian, Pinwarian and Archaean terranes. Previous correlations with the Torridonian and the upper Dalradian are no longer tellable given the paucity of Archaean detritus in the Bowmore Sandstone Group. However, the data are comparable to parts of the Dalradian Grampian Group, in particular, the Glen Spean Subgroup (Upper Grampian Group, Strathtummel succession). It is proposed that the Bowmore Sandstone Group was deposited in an eastern Grampian Group basin, similar to the Strathtummel and Cromdale basins, which are also dominated by Grenville detritus.</t>
  </si>
  <si>
    <t>[McAteer, Claire A.; Daly, J. Stephen] Univ Coll Dublin, UCD Sch Geol Sci, Dublin 4, Ireland; [Flowerdew, Michael J.] British Antarctic Survey, Cambridge CB3 0ET, England; [Whitehouse, Martin J.] Swedish Museum Nat Hist, Lab Isotope Geol, S-10405 Stockholm, Sweden</t>
  </si>
  <si>
    <t>University College Dublin; UK Research &amp; Innovation (UKRI); Natural Environment Research Council (NERC); NERC British Antarctic Survey; Swedish Museum of Natural History</t>
  </si>
  <si>
    <t>McAteer, CA (corresponding author), Univ Coll Dublin, UCD Sch Geol Sci, Dublin 4, Ireland.</t>
  </si>
  <si>
    <t>claireamcateer@gmail.com</t>
  </si>
  <si>
    <t>Daly, J. Stephen/B-4836-2012; Whitehouse, Martin/E-1425-2013</t>
  </si>
  <si>
    <t>Daly, J. Stephen/0000-0001-6390-905X; Whitehouse, Martin/0000-0003-2227-577X; Flowerdew, Michael/0000-0002-9710-2593</t>
  </si>
  <si>
    <t>UCD Research Demonstratorship; EU 'SYNTHESYS'; Irish Geological Association; IRCSET [SC/2002/248]; NERC [bas0100026] Funding Source: UKRI; Natural Environment Research Council [bas0100026] Funding Source: researchfish</t>
  </si>
  <si>
    <t>UCD Research Demonstratorship; EU 'SYNTHESYS'; Irish Geological Association; IRCSET(Irish Research Council for Science, Engineering and Technology); NERC(UK Research &amp; Innovation (UKRI)Natural Environment Research Council (NERC)); Natural Environment Research Council(UK Research &amp; Innovation (UKRI)Natural Environment Research Council (NERC))</t>
  </si>
  <si>
    <t>Tom Culligan and Mick Murphy are thanked for their help at the School of Geological Sciences, University College Dublin. Thanks also to Lev Ilyinsky and Kerstin Linden at the NORDSIM facility, Stockholm. We also thank Nick Marsh and the late Tim Brewer (University of Leicester) for XRF analyses. Peter Cawood, Rob Strachan and editor Colin Braithwaite are thanked for thorough and constructive reviews. This research was funded by a UCD Research Demonstratorship, an EU 'SYNTHESYS' grant and an Irish Geological Association travel grant awarded to C. McAteer, and IRCSET Basic Research grant SC/2002/248 awarded to J.S. Daly. This paper is NORDSIM contribution 258.</t>
  </si>
  <si>
    <t>0036-9276</t>
  </si>
  <si>
    <t>SCOT J GEOL</t>
  </si>
  <si>
    <t>Scott. J. Geol.</t>
  </si>
  <si>
    <t>10.1144/0036-9276/01-408</t>
  </si>
  <si>
    <t>694HD</t>
  </si>
  <si>
    <t>WOS:000285284700001</t>
  </si>
  <si>
    <t>Wu, AS; Angal, A; Xiong, J; Cao, CY</t>
  </si>
  <si>
    <t>Meynart, R; Neeck, SP; Shimoda, H</t>
  </si>
  <si>
    <t>Wu, Aisheng; Angal, Amit; Xiong, Jack; Cao, Changyong</t>
  </si>
  <si>
    <t>Using CEOS reference standard test sites to track the calibration stability of NOAA-19 AVHRR reflective solar channels</t>
  </si>
  <si>
    <t>SENSORS, SYSTEMS, AND NEXT-GENERATION SATELLITES XIV</t>
  </si>
  <si>
    <t>Conference on Sensors, Systems, and Next-Generation Satellites XIV</t>
  </si>
  <si>
    <t>SEP 20-23, 2010</t>
  </si>
  <si>
    <t>Toulouse, FRANCE</t>
  </si>
  <si>
    <t>AVHRR; calibration; stability; CEOS; MODIS</t>
  </si>
  <si>
    <t>BIDIRECTIONAL REFLECTANCE; MODIS; SURFACE</t>
  </si>
  <si>
    <t>In recent years, there is an increasing interest to establish a global integrated network of calibration sites for the purpose of tracking sensor performance, conducting cross-sensor comparison and assessing data quality and consistency. Based on such a need, the Committee on Earth Observation Satellites (CEOS) proposed eight instrumented sites for which surface measurements can be acquired through field campaigns and five pseudo-invariant desert sites typically consisting of sand dunes. In this study, we select one site from each category to study the calibration stability of reflective solar channels of NOAA-19 Advanced Very High Resolution Radiometer (AVHRR) (launched on February 6, 2009). Since AVHRR does not have an onboard calibrator for the reflective solar channels and vicarious calibration often needs long-term observations to derive reliable trends, this study will provide an early assessment of sensor on-orbit calibration performance and establish a preliminary trend to examine its calibration consistency with other sensors. The Antarctic Dome C site is selected primarily to monitor the on-orbit calibration performance whereas Libya 4 test site is used to evaluate the cross-calibration consistency of AVHRR with other sensors. A site-specific Bi-directional Reflectance Distribution Function (BRDF) model developed based on observations made by Moderate Resolution Imaging Spectroradiometer (MODIS) is used to normalize AVHRR observed Top-of-Atmosphere (TOA) reflectances. Impact due to calibration applied to NOAA-19 AVHRR L1B is assessed separately using a constant detector response. Results show that for NOAA-19 AVHRR solar channels 1 and 2, variations in reflectance during the first year after launch are still around 6% and more than 10%, respectively, either due to sensor change or improper adjustment of calibration coefficients. While two sites provide consistent trends for the visible channel, the Dome C site is more suitable for the near-infrared channel as impacts of the absorption by atmospheric water vapor are minimal.</t>
  </si>
  <si>
    <t>[Wu, Aisheng] Sigma Space Corp, 4801 Forbes Blvd, Lanham, MD 20706 USA; [Angal, Amit] Sci Syst &amp; Applicat Inc, Lanham, MD 20706 USA; [Xiong, Jack] NASA, Sci &amp; Explorat Directorate, GSFC, Greenbelt, MD 20771 USA; [Cao, Changyong] NOAA, NESDIS, STAR, Camp Springs, MD 20746 USA</t>
  </si>
  <si>
    <t>Science Systems and Applications Inc; National Aeronautics &amp; Space Administration (NASA); NASA Goddard Space Flight Center; National Oceanic Atmospheric Admin (NOAA) - USA</t>
  </si>
  <si>
    <t>Wu, AS (corresponding author), Sigma Space Corp, 4801 Forbes Blvd, Lanham, MD 20706 USA.</t>
  </si>
  <si>
    <t>Xiong, Xiaoxiong (Jack)/J-9869-2012; Cao, Changyong/AAP-7605-2021</t>
  </si>
  <si>
    <t>978-0-8194-8343-0</t>
  </si>
  <si>
    <t>10.1117/12.864601</t>
  </si>
  <si>
    <t>BTQ25</t>
  </si>
  <si>
    <t>WOS:000287754800058</t>
  </si>
  <si>
    <t>Adebayo, M</t>
  </si>
  <si>
    <t>Broadhurst, S; Machon, J</t>
  </si>
  <si>
    <t>Adebayo, Mojisola</t>
  </si>
  <si>
    <t>The Supernatural Embodied Text: Creating Moj of the Antarctic with the Living and the Dead</t>
  </si>
  <si>
    <t>SENSUALITIES/TEXTUALITIES AND TECHNOLOGIES: WRITINGS OF THE BODY IN 21ST CENTURY PERFORMANCE</t>
  </si>
  <si>
    <t>978-0-23024-853-3</t>
  </si>
  <si>
    <t>10.1057/9780230248533</t>
  </si>
  <si>
    <t>Art; Theater</t>
  </si>
  <si>
    <t>BWL90</t>
  </si>
  <si>
    <t>WOS:000294208400009</t>
  </si>
  <si>
    <t>Dai, LY; Che, T</t>
  </si>
  <si>
    <t>Guo, H; Wang, C</t>
  </si>
  <si>
    <t>Dai, Liyun; Che, Tao</t>
  </si>
  <si>
    <t>Cross-platform calibration of SMMR, SSM/I and AMSR-E passive microwave brightness temperature</t>
  </si>
  <si>
    <t>SIXTH INTERNATIONAL SYMPOSIUM ON DIGITAL EARTH: DATA PROCESSING AND APPLICATIONS</t>
  </si>
  <si>
    <t>6th International Symposium on Digital Earth - Data Processing and Applications</t>
  </si>
  <si>
    <t>SEP 09-12, 2009</t>
  </si>
  <si>
    <t>Chinese Nat Comm Int Soc Digital Earth/Ctr Earth Observ Digital Earth, Chi, Beijing, PEOPLES R CHINA</t>
  </si>
  <si>
    <t>Chinese Nat Comm Int Soc Digital Earth/Ctr Earth Observ Digital Earth, Chi</t>
  </si>
  <si>
    <t>Brightness temperature; Passive microwave; Cross-platform calibration; diurnal cycle of temperature; SMMR; SSM/I</t>
  </si>
  <si>
    <t>TIME-SERIES; ANTARCTICA; MELT; SOIL; F11</t>
  </si>
  <si>
    <t>The long time series of passive microwave satellite data (SMMR, SSM/I and AMSR-E) have provided important information about the earth surface science and climate research in the past three decades. Due to the update of satellite-based radiometers and their platforms, some systematic parameters are different, and there are biases among brightness temperature in different periods, which lead to inaccuracy of some parameters' retrieval. In order to obtain consistent brightness temperature datasets, and provide convenience for the researchers using these data, it is necessary to calibrate the brightness temperature from different sensors. Considering the difference between the variance of brightness temperature from different sensors on cold and warm region at the cross time, this paper analyzed the brightness temperature on the cold and warm region respectively. On the cold region, because the diurnal temperature variation is very small, the influence on brightness temperature caused by difference of the satellites overpass time during the overlap period can be ignored. The brightness temperature data at 18GHz and 37GHz channels of Nimbus-7 and 19GHz, 37GHz channels of DMSP on the Antarctic or the Greenland glacier during the overlap period were analyzed. On the warm region, due to the reason that the daily variance of temperature contributes a lot to the difference of brightness temperature from different sensors during the overlap period, the diurnal cycle of surface temperature on the Sahara desert region was analyzed, and base on it, the influence of temperature to brightness temperature was eliminated. Finally, considering the two regions, the cross coefficients of calibration were estimated.</t>
  </si>
  <si>
    <t>[Dai, Liyun; Che, Tao] Chinese Acad Sci, Cold &amp; Arid Reg Environm &amp; Engn Res Inst, Lanzhou 730000, Peoples R China</t>
  </si>
  <si>
    <t>Chinese Academy of Sciences; Cold &amp; Arid Regions Environmental &amp; Engineering Research Institute, CAS</t>
  </si>
  <si>
    <t>Dai, LY (corresponding author), Chinese Acad Sci, Cold &amp; Arid Reg Environm &amp; Engn Res Inst, Lanzhou 730000, Peoples R China.</t>
  </si>
  <si>
    <t>dlydai@163.com</t>
  </si>
  <si>
    <t>DAI, LIYUN/A-1450-2015; Che, Tao/K-7136-2013</t>
  </si>
  <si>
    <t>DAI, LIYUN/0000-0001-8664-9430; Che, Tao/0000-0001-6848-7271</t>
  </si>
  <si>
    <t>978-0-8194-8364-5</t>
  </si>
  <si>
    <t>10.1117/12.873150</t>
  </si>
  <si>
    <t>Remote Sensing; Optics; Imaging Science &amp; Photographic Technology</t>
  </si>
  <si>
    <t>BTQ37</t>
  </si>
  <si>
    <t>WOS:000287764600002</t>
  </si>
  <si>
    <t>Milligan, M; Ade, P; Aubin, F; Baccigalupi, C; Bao, CY; Borrill, J; Cantalupo, C; Chapman, D; Didier, J; Dobbs, M; Grainger, W; Hanany, S; Hillbrand, S; Hubmayr, J; Hyland, P; Jaffe, A; Johnson, B; Kisner, T; Klein, J; Korotkov, A; Leach, S; Lee, A; Levinson, L; Limon, M; MacDermid, K; Matsumura, T; Miller, A; Pascale, E; Polsgrove, D; Ponthieu, N; Raach, K; Reichborn-Kjennerud, B; Sagiv, I; Tran, H; Tucker, GS; Vinokurov, Y; Yadav, A; Zaldarriaga, M; Zilic, K</t>
  </si>
  <si>
    <t>Radziwill, NM; Bridger, A</t>
  </si>
  <si>
    <t>Milligan, Michael; Ade, Peter; Aubin, Francois; Baccigalupi, Carlo; Bao, Chaoyun; Borrill, Julian; Cantalupo, Christopher; Chapman, Daniel; Didier, Joy; Dobbs, Matt; Grainger, Will; Hanany, Shaul; Hillbrand, Seth; Hubmayr, Johannes; Hyland, Peter; Jaffe, Andrew; Johnson, Bradley; Kisner, Theodore; Klein, Jeff; Korotkov, Andrei; Leach, Sam; Lee, Adrian; Levinson, Lorne; Limon, Michele; MacDermid, Kevin; Matsumura, Tomotake; Miller, Amber; Pascale, Enzo; Polsgrove, Daniel; Ponthieu, Nicolas; Raach, Kate; Reichborn-Kjennerud, Britt; Sagiv, Ilan; Tran, Huan; Tucker, Gregory S.; Vinokurov, Yury; Yadav, Amit; Zaldarriaga, Matias; Zilic, Kyle</t>
  </si>
  <si>
    <t>Software systems for operation, control, and monitoring of the EBEX instrument</t>
  </si>
  <si>
    <t>SOFTWARE AND CYBERINFRASTRUCTURE FOR ASTRONOMY</t>
  </si>
  <si>
    <t>Conference On Software and Cyberinfrastructure for Astronomy</t>
  </si>
  <si>
    <t>JUN 27-30, 2010</t>
  </si>
  <si>
    <t>CMB; millimeter-wave telescopes; flight control systems; ballooning; data handling</t>
  </si>
  <si>
    <t>MICROWAVE; POLARIZATION</t>
  </si>
  <si>
    <t>We present the hardware and software systems implementing autonomous operation, distributed real-time monitoring, and control for the EBEX instrument. EBEX is a NASA-funded balloon-borne microwave polarimeter designed for a 14 day Antarctic flight that circumnavigates the pole. To meet its science goals the EBEX instrument autonomously executes several tasks in parallel: it collects attitude data and maintains pointing control in order to adhere to an observing schedule; tunes and operates up to 1920 TES bolometers and 120 SQUID amplifiers controlled by as many as 30 embedded computers; coordinates and dispatches jobs across an onboard computer network to manage this detector readout system; logs over 3 GiB/hour of science and housekeeping data to an onboard disk storage array; responds to a variety of commands and exogenous events; and downlinks multiple heterogeneous data streams representing a selected subset of the total logged data. Most of the systems implementing these functions have been tested during a recent engineering flight of the payload, and have proven to meet the target requirements. The EBEX ground segment couples uplink and downlink hardware to a client-server software stack, enabling real-time monitoring and command responsibility to be distributed across the public internet or other standard computer networks. Using the emerging dirfile standard as a uniform intermediate data format, a variety of front end programs provide access to different components and views of the downlinked data products. This distributed architecture was demonstrated operating across multiple widely dispersed sites prior to and during the EBEX engineering flight.</t>
  </si>
  <si>
    <t>[Milligan, Michael; Bao, Chaoyun; Hanany, Shaul; Klein, Jeff; Polsgrove, Daniel; Raach, Kate; Sagiv, Ilan; Zilic, Kyle] Univ Minnesota, Sch Phys &amp; Astron, Minneapolis, MN 55455 USA; [Ade, Peter; Grainger, Will; Pascale, Enzo] Cardiff Univ, Cardiff CF24 3AA, Wales; [Aubin, Francois; Dobbs, Matt; Hyland, Peter; MacDermid, Kevin] McGill Univ, Montreal, PQ H3A 2T8, Canada; [Baccigalupi, Carlo; Leach, Sam] Scuola Int Super Studi Avanzati, I-34151 Trieste, Italy; [Borrill, Julian; Cantalupo, Christopher; Kisner, Theodore] Lawrence Berkeley Natl Lab, Berkeley, CA 94720 USA; [Chapman, Daniel; Didier, Joy; Hillbrand, Seth; Limon, Michele; Miller, Amber; Reichborn-Kjennerud, Britt] Columbia Univ, New York, NY 10027 USA; [Hubmayr, Johannes] NIST, Boulder, CO 80303 USA; [Jaffe, Andrew] Imperial Coll, London SW7 2AZ, England; [Johnson, Bradley; Lee, Adrian] Univ Calif Berkeley, Berkeley, CA 94720 USA; [Korotkov, Andrei; Tucker, Gregory S.; Vinokurov, Yury] Brown Univ, Providence, RI 02912 USA; [Levinson, Lorne] Weizmann Inst Sci, IL-76100 Rehovot, Israel; [Matsumura, Tomotake] CALTECH, Pasadena, CA 91125 USA; [Ponthieu, Nicolas] Univ Paris Sud, Inst Astrophys Spatiale, F-91405 Orsay, France; [Yadav, Amit] Inst Adv Study, Princeton, NJ 08540 USA</t>
  </si>
  <si>
    <t>University of Minnesota System; University of Minnesota Twin Cities; Cardiff University; McGill University; International School for Advanced Studies (SISSA); United States Department of Energy (DOE); Lawrence Berkeley National Laboratory; Columbia University; National Institute of Standards &amp; Technology (NIST) - USA; Imperial College London; University of California System; University of California Berkeley; Brown University; Weizmann Institute of Science; California Institute of Technology; Universite Paris Saclay; Sorbonne Universite; Universite Paris Cite; Institute for Advanced Study - USA</t>
  </si>
  <si>
    <t>Milligan, M (corresponding author), Univ Minnesota, Sch Phys &amp; Astron, Minneapolis, MN 55455 USA.</t>
  </si>
  <si>
    <t>Pascale, Enzo/A-3665-2012; Matsumura, Tomotake/T-2710-2017</t>
  </si>
  <si>
    <t>Pascale, Enzo/0000-0002-3242-8154; Ade, Peter/0000-0002-5127-0401; Matsumura, Tomotake/0000-0001-9002-0686; Dobbs, Matt/0000-0001-7166-6422; Milligan, Michael/0009-0007-1317-3137; Johnson, Bradley/0000-0002-6898-8938; Limon, Michele/0000-0002-5900-2698</t>
  </si>
  <si>
    <t>NASA [NNG04GC03G, NNG05GE62G, NNX08AG40G, NNX07AP36H]; National Science Foundation [AST 0705134]; French Centre national de la recherche scientifique (CNRS); UK Science and Technology Facilities Council (STFC); U.S. Department of Energy [DE-AC02-05CH11231]; Canadian Space Agency; Natural Sciences and Engineering Research Council; Canadian Institute for Advanced Research; Canadian Foundation for Innovation; Canada Research Chairs program; STFC [ST/G002711/1] Funding Source: UKRI</t>
  </si>
  <si>
    <t>NASA(National Aeronautics &amp; Space Administration (NASA)); National Science Foundation(National Science Foundation (NSF)); French Centre national de la recherche scientifique (CNRS)(Centre National de la Recherche Scientifique (CNRS)); UK Science and Technology Facilities Council (STFC)(UK Research &amp; Innovation (UKRI)Science &amp; Technology Facilities Council (STFC)); U.S. Department of Energy(United States Department of Energy (DOE)); Canadian Space Agency(Canadian Space Agency); Natural Sciences and Engineering Research Council(Natural Sciences and Engineering Research Council of Canada (NSERC)); Canadian Institute for Advanced Research(Canadian Institute for Advanced Research (CIFAR)); Canadian Foundation for Innovation(Canada Foundation for Innovation); Canada Research Chairs program(Canada Research Chairs); STFC(UK Research &amp; Innovation (UKRI)Science &amp; Technology Facilities Council (STFC))</t>
  </si>
  <si>
    <t>EBEX is supported by NASA through grants number NNG04GC03G, NNG05GE62G, NNX08AG40G, and NNX07AP36H. Additional support comes from the National Science Foundation through grant number AST 0705134, the French Centre national de la recherche scientifique (CNRS), and the UK Science and Technology Facilities Council (STFC). This project makes use of the resources of the Minnesota Supercomputing Institute and of the National Energy Research Scientific Computing Center (NERSC), which is supported by the office of Science of the U.S. Department of Energy under contract No. DE-AC02-05CH11231. The McGill authors acknowledge funding from the Canadian Space Agency, Natural Sciences and Engineering Research Council, Canadian Institute for Advanced Research, Canadian Foundation for Innovation and Canada Research Chairs program.</t>
  </si>
  <si>
    <t>978-0-81948-230-3</t>
  </si>
  <si>
    <t>10.1117/12.857583</t>
  </si>
  <si>
    <t>Astronomy &amp; Astrophysics; Computer Science, Software Engineering; Optics</t>
  </si>
  <si>
    <t>Astronomy &amp; Astrophysics; Computer Science; Optics</t>
  </si>
  <si>
    <t>BSU84</t>
  </si>
  <si>
    <t>WOS:000285839500007</t>
  </si>
  <si>
    <t>Xu, LZ; Yang, SH</t>
  </si>
  <si>
    <t>Xu, Lingzhe; Yang, Shihai</t>
  </si>
  <si>
    <t>Research of remote control for Chinese Antarctica telescope based on Iridium satellite communication</t>
  </si>
  <si>
    <t>remote control system; Iridium satellite; data transmission</t>
  </si>
  <si>
    <t>Astronomers are ever dreaming of sites with best seeing on the Earth surface for celestial observation, and the Antarctica is one of a few such sites only left owing to the global air pollution. However, Antarctica region is largely unaccessible for human being due to lacking of fundamental living conditions, travel facilities and effective ways of communication. Worst of all, the popular internet source as a general way of communication scarcely exists there. Facing such a dilemma and as a solution remote control and data transmission for telescopes through iridium satellite communication has been put forward for the Chinese network Antarctic Schmidt Telescopes 3 (AST3), which is currently under all round research and development. This paper presents iridium satellite-based remote control application adapted to telescope control. The pioneer work in China involves hardware and software configuration utilizing techniques for reliable and secure communication, which is outlined in the paper too.</t>
  </si>
  <si>
    <t>[Xu, Lingzhe; Yang, Shihai] Chinese Acad Sci, Nanjing Inst Astron Opt &amp; Technol, Natl Astron Observ, Nanjing 210042, Peoples R China</t>
  </si>
  <si>
    <t>Xu, LZ (corresponding author), Chinese Acad Sci, Nanjing Inst Astron Opt &amp; Technol, Natl Astron Observ, Nanjing 210042, Peoples R China.</t>
  </si>
  <si>
    <t>Yang, Shihai/J-1593-2012</t>
  </si>
  <si>
    <t>77402L</t>
  </si>
  <si>
    <t>10.1117/12.856227</t>
  </si>
  <si>
    <t>WOS:000285839500086</t>
  </si>
  <si>
    <t>Agapitov, OV; Grytsai, AV; Salyuk, DA</t>
  </si>
  <si>
    <t>Agapitov, O. V.; Grytsai, A. V.; Salyuk, D. A.</t>
  </si>
  <si>
    <t>LARGE-SCALE ROSSBY WAVES IN THE ANTARCTIC STRATOSPHERE</t>
  </si>
  <si>
    <t>SPACE SCIENCE AND TECHNOLOGY-KOSMICNA NAUKA I TEHNOLOGIA</t>
  </si>
  <si>
    <t>Ukrainian</t>
  </si>
  <si>
    <t>Spring variations in the Antarctic total ozone content are analysed basing on satellite observation data. Deviations of the total ozone content distribution from zonally-symmetrical one are explained as the impact of large-scale Rossby waves propagating at the lower stratosphere heights. We consider the waves with zonal numbers 1-3 which play a leading part in the high-latitude stratosphere. It is shown that the observed pattern corresponds to the Rossby wave dispersion relation with allowance made for zonal wind velocity.</t>
  </si>
  <si>
    <t>[Agapitov, O. V.; Grytsai, A. V.; Salyuk, D. A.] Taras Shevchenko Natl Univ Kyiv, Kiev, Ukraine</t>
  </si>
  <si>
    <t>Ministry of Education &amp; Science of Ukraine; Taras Shevchenko National University of Kyiv</t>
  </si>
  <si>
    <t>Agapitov, OV (corresponding author), Taras Shevchenko Natl Univ Kyiv, Kiev, Ukraine.</t>
  </si>
  <si>
    <t>Grytsai, Asen/AAS-7114-2020; AGAPITOV, OLEKSIY/O-7922-2019</t>
  </si>
  <si>
    <t>AGAPITOV, OLEKSIY/0000-0001-6427-1596</t>
  </si>
  <si>
    <t>PUBLISHING HOUSE AKADEMPERIODYKA</t>
  </si>
  <si>
    <t>KYIV</t>
  </si>
  <si>
    <t>PUBLISHING HOUSE AKADEMPERIODYKA, KYIV, 00000, UKRAINE</t>
  </si>
  <si>
    <t>1561-8889</t>
  </si>
  <si>
    <t>2518-1459</t>
  </si>
  <si>
    <t>SPACE SCI TECHNOL</t>
  </si>
  <si>
    <t>Space Sci. Technol.</t>
  </si>
  <si>
    <t>10.15407/knit2010.05.005</t>
  </si>
  <si>
    <t>VE7CH</t>
  </si>
  <si>
    <t>WOS:000440104900001</t>
  </si>
  <si>
    <t>Grytsai, AV; Evtushevsky, OM; Milinevsky, GP; Grytsai, ZI</t>
  </si>
  <si>
    <t>Grytsai, A. V.; Evtushevsky, O. M.; Milinevsky, G. P.; Grytsai, Z. I.</t>
  </si>
  <si>
    <t>OZONE DISTRIBUTION IN THE ANTARCTIC REGION FROM DATA OF 30-YEAR SATELLITE MEASUREMENTS</t>
  </si>
  <si>
    <t>Some features of the Antarctic ozone distribution and its variations are studied for a 30-year period (1979-2008) of satellite measurements made with the TOMS and OMI satellite spectrometers. The changes of the ozone hole parameters are analysed and multi-year variations of the quasi-stationary planetary wave characteristics in the atmosphere over the Antarctic region are studied. The conclusion on stopping both the ozone level diminution and the ozone holecarea increase since the late 1990s is made from the analysis of trends in the ozone hole characteristics. It is shown that the quasi-stationary waves cause the following: steady zonal asymmetry of the ozone distribution with ozone hole displacement relatively the South Pole into Atlantic longitudinal sector; a systematical eastward shift of the low ozone level region which is statistically reliable in the latitude range from 50 to 80 degrees S and which reached 50 degrees by longitude during the last 30 years. At the same time, a long-term change of the maximum position is insignificant. The retention of the regular eastward shift of quasi-stationary wave minimum during three decades is indicative of the existence of a dynamical factor changing the ozone hole asymmetry independently on tendencies in the ozone levels.</t>
  </si>
  <si>
    <t>[Grytsai, A. V.; Evtushevsky, O. M.; Milinevsky, G. P.; Grytsai, Z. I.] Taras Shevchenko Natl Univ Kyiv, Kiev, Ukraine</t>
  </si>
  <si>
    <t>Grytsai, AV (corresponding author), Taras Shevchenko Natl Univ Kyiv, Kiev, Ukraine.</t>
  </si>
  <si>
    <t>Evtushevsky, Oleksandr O.M./F-2065-2017; Grytsai, Asen/AAS-7114-2020; Milinevsky, Gennadi/AAD-8801-2019</t>
  </si>
  <si>
    <t>Evtushevsky, Oleksandr O.M./0000-0003-0582-559X; Milinevsky, Gennadi/0000-0002-2342-2615</t>
  </si>
  <si>
    <t>10.15407/knit2010.01.020</t>
  </si>
  <si>
    <t>VE7BW</t>
  </si>
  <si>
    <t>WOS:000440102300002</t>
  </si>
  <si>
    <t>Bluhm, B; Watts, D; Huettmann, F</t>
  </si>
  <si>
    <t>Cushman, SA; Huettmann, F</t>
  </si>
  <si>
    <t>Bluhm, Bodil; Watts, David; Huettmann, Falk</t>
  </si>
  <si>
    <t>Free Database Availability, Metadata and the Internet: An Example of Two High Latitude Components of the Census of Marine Life</t>
  </si>
  <si>
    <t>SPATIAL COMPLEXITY, INFORMATICS, AND WILDLIFE CONSERVATION</t>
  </si>
  <si>
    <t>CLIMATE-CHANGE; BIODIVERSITY; SEA; INFORMATICS</t>
  </si>
  <si>
    <t>[Bluhm, Bodil] Univ Alaska Fairbanks, Sch Fisheries &amp; Ocean Sci, Fairbanks, AK 99775 USA; [Watts, David] Australian Antarctic Div, Australian Antarctic Data Ctr, Kingston, Tas, Australia; [Huettmann, Falk] Univ Alaska Fairbanks, Inst Arctic Biol, Dept Biol &amp; Wildlife, EWHALE Lab, Fairbanks, AK 99775 USA</t>
  </si>
  <si>
    <t>University of Alaska System; University of Alaska Fairbanks; Australian Antarctic Division; University of Alaska System; University of Alaska Fairbanks</t>
  </si>
  <si>
    <t>Bluhm, B (corresponding author), Univ Alaska Fairbanks, Sch Fisheries &amp; Ocean Sci, POB 757220, Fairbanks, AK 99775 USA.</t>
  </si>
  <si>
    <t>bluhm@ims.uaf.edu; fffh@uaf.edu</t>
  </si>
  <si>
    <t>Bluhm, Bodil/E-7165-2015</t>
  </si>
  <si>
    <t>Bluhm, Bodil/0000-0002-4584-7796; Watts, David/0000-0002-0373-1971</t>
  </si>
  <si>
    <t>978-4-431-87770-7</t>
  </si>
  <si>
    <t>10.1007/978-4-431-87771-4_13</t>
  </si>
  <si>
    <t>10.1007/978-4-431-87771-4</t>
  </si>
  <si>
    <t>Computer Science, Interdisciplinary Applications; Ecology; Environmental Sciences; Geography, Physical; Geosciences, Multidisciplinary; Remote Sensing</t>
  </si>
  <si>
    <t>Computer Science; Environmental Sciences &amp; Ecology; Physical Geography; Geology; Remote Sensing</t>
  </si>
  <si>
    <t>BNH56</t>
  </si>
  <si>
    <t>WOS:000274569600013</t>
  </si>
  <si>
    <t>Hill, DJ; Dolan, AM; Haywood, AM; Hunter, SJ; Stoll, DK</t>
  </si>
  <si>
    <t>Hill, Daniel J.; Dolan, Aisling M.; Haywood, Alan M.; Hunter, Stephen J.; Stoll, Danielle K.</t>
  </si>
  <si>
    <t>Sensitivity of the Greenland Ice Sheet to Pliocene sea surface temperatures</t>
  </si>
  <si>
    <t>STRATIGRAPHY</t>
  </si>
  <si>
    <t>MIDDLE PLIOCENE; RAFTED DEBRIS; JOINT INVESTIGATIONS; BOUNDARY-CONDITIONS; CONTINENTAL ICE; RAFTING HISTORY; EAST GREENLAND; ARCTIC-OCEAN; CLIMATE; LEVEL</t>
  </si>
  <si>
    <t>The history of the GrIS (Greenland Ice Sheet), particularly in warm climates of the pre-Quaternary, is poorly known. IRD (ice-rafted debris) records suggest that the ice sheet has existed, at least transiently, since the Miocene and potentially since as long ago as the Eocene. As melting of the GrIS is a key uncertainty in future predictions of climate and sea-level, understanding its behaviour and role within the climate system during past warm periods could provide important constraints. The Pliocene has been identified as a key period for understanding warmer than modern climates. Detailed micropalaeontological analyses of the mid-Piacenzian Warm Period (3.264 - 3.025 Ma) have produced a series of SST (sea-surface temperature) reconstructions (PRISM2-AVE, PRISM2-MAX, PRISM2-MIN and PRISM3). Use of these different SSTs within the Hadley Centre GCM (General Circulation Model) and BASISM (British Antarctic Survey Ice Sheet Model), consistently show large reductions of Pliocene Greenland ice volumes compared to modern. The changes in climate introduced by the use of different SST reconstructions do change the predicted ice volumes, mainly through precipitation feedbacks. However, the models show a relatively low sensitivity of modelled Greenland ice volumes to different mid-Piacenzian SST reconstructions, with the largest SST induced changes being 20% of Pliocene ice volume or less than a metre of sea-level rise.</t>
  </si>
  <si>
    <t>[Hill, Daniel J.] British Geol Survey, Keyworth NG12 5GG, Notts, England; [Dolan, Aisling M.; Haywood, Alan M.; Hunter, Stephen J.] Univ Leeds, Sch Earth &amp; Environm, Leeds LS2 9JT, W Yorkshire, England; [Stoll, Danielle K.] US Geol Survey, Natl Ctr 926A, Reston, VA 20192 USA</t>
  </si>
  <si>
    <t>UK Research &amp; Innovation (UKRI); Natural Environment Research Council (NERC); NERC British Geological Survey; University of Leeds; United States Department of the Interior; United States Geological Survey</t>
  </si>
  <si>
    <t>Hill, DJ (corresponding author), British Geol Survey, Keyworth NG12 5GG, Notts, England.</t>
  </si>
  <si>
    <t>dahi@bgs.ac.uk</t>
  </si>
  <si>
    <t>Dolan, Aisling M/D-2625-2012</t>
  </si>
  <si>
    <t>Dowsett, Danielle/0000-0001-5686-6944; Hill, Daniel/0000-0001-5492-3925; Dolan, Aisling/0000-0002-9585-9648</t>
  </si>
  <si>
    <t>MICRO PRESS</t>
  </si>
  <si>
    <t>FLUSHING</t>
  </si>
  <si>
    <t>6530 KISSENA BLVD, FLUSHING, NY 11367 USA</t>
  </si>
  <si>
    <t>1547-139X</t>
  </si>
  <si>
    <t>2331-656X</t>
  </si>
  <si>
    <t>Stratigraphy</t>
  </si>
  <si>
    <t>684BJ</t>
  </si>
  <si>
    <t>WOS:000284521700002</t>
  </si>
  <si>
    <t>Dowsett, H; Robinson, M; Haywood, A; Salzmann, U; Hill, D; Sohl, L; Chandler, M; Williams, M; Foley, K; Stoll, D</t>
  </si>
  <si>
    <t>Dowsett, Harry; Robinson, Marci; Haywood, Alan; Salzmann, Ulrich; Hill, Daniel; Sohl, Linda; Chandler, Mark; Williams, Mark; Foley, Kevin; Stoll, Danielle</t>
  </si>
  <si>
    <t>The PRISM3D paleoenvironmental reconstruction</t>
  </si>
  <si>
    <t>PLIOCENE SEA-LEVEL; SOUTHERN VICTORIA LAND; NORTH-ATLANTIC OCEAN; DRY VALLEYS REGION; MIDDLE PLIOCENE; ICE-SHEET; TRANSANTARCTIC MOUNTAINS; SURFACE TEMPERATURES; CHEILOSTOME BRYOZOANS; ANTARCTIC PENINSULA</t>
  </si>
  <si>
    <t>The Pliocene Research, Interpretation and Synoptic Mapping (PRISM) paleoenvironmental reconstruction is an internally consistent and comprehensive global synthesis of a past interval of relatively warm and stable climate. It is regularly used in model studies that aim to better understand Pliocene climate, to improve model performance in future climate scenarios, and to distinguish model-dependent climate effects. The PRISM reconstruction is constantly evolving in order to incorporate additional geographic sites and environmental parameters, and is continuously refined by independent research findings. The new PRISM three dimensional (3D) reconstruction differs from previous PRISM reconstructions in that it includes a subsurface ocean temperature reconstruction, integrates geochemical sea surface temperature proxies to supplement the faunal-based temperature estimates, and uses numerical models for the first time to augment fossil data. Here we describe the components of PRISM3D and describe new findings specific to the new reconstruction. Highlights of the new PRISM3D reconstruction include removal of Hudson Bay and the Great Lakes and creation of open waterways in locations where the current bedrock elevation is less than 25m above modem sea level, due lathe removal of the West Antarctic Ice Sheet and the reduction of the East Antarctic Ice Sheet. The mid-Piacenzian oceans were characterized by a reduced east-west temperature gradient in the equatorial Pacific, but PRISM3D data do not imply permanent El Nino conditions. The reduced equator-to-pole temperature gradient that characterized previous PRISM reconstructions is supported by significant displacement of vegetation belts toward the poles, is extended into the Arctic Ocean, and is confirmed by multiple proxies in PRISM3D. Arctic warmth coupled with increased dryness suggests the formation of warm and salty paleo North Atlantic Deep Water (NADW) and a more vigorous thermohaline circulation system that may have provided the enhanced ocean heat transport necessary to move warm surface water to the Arctic. New deep,ocean temperature data also suggests greater warmth and further southward penetration of paleo NADW.</t>
  </si>
  <si>
    <t>[Dowsett, Harry; Robinson, Marci; Foley, Kevin; Stoll, Danielle] US Geol Survey, Eastern Geol &amp; Paleoclimate Sci Ctr, Reston, VA 22033 USA; [Haywood, Alan] Univ Leeds, Sch Earth &amp; Environm, Leeds LS2 9JT, W Yorkshire, England; [Salzmann, Ulrich] Northumbria Univ, Sch Appl Sci, Newcastle Upon Tyne NE1 8ST, Tyne &amp; Wear, England; [Hill, Daniel; Williams, Mark] British Geol Survey, Keyworth NG12 5GG, Notts, England; [Sohl, Linda; Chandler, Mark] Columbia Univ, NASA GISS, New York, NY 10025 USA; [Williams, Mark] Univ Leicester, Dept Geol, Leicester LE1 7RH, Leics, England</t>
  </si>
  <si>
    <t>United States Department of the Interior; United States Geological Survey; University of Leeds; Northumbria University; UK Research &amp; Innovation (UKRI); Natural Environment Research Council (NERC); NERC British Geological Survey; National Aeronautics &amp; Space Administration (NASA); NASA Goddard Space Flight Center; Goddard Institute for Space Studies; Columbia University; University of Leicester</t>
  </si>
  <si>
    <t>Dowsett, H (corresponding author), US Geol Survey, Eastern Geol &amp; Paleoclimate Sci Ctr, Reston, VA 22033 USA.</t>
  </si>
  <si>
    <t>hdowsett@usgs.gov</t>
  </si>
  <si>
    <t>Sohl, Linda E/N-7303-2016; Salzmann, Ulrich/H-9929-2017; Williams, Mark/B-7590-2009</t>
  </si>
  <si>
    <t>Salzmann, Ulrich/0000-0001-5598-5327; Dowsett, Harry/0000-0003-1983-7524; Williams, Mark/0000-0002-7987-6069; Hill, Daniel/0000-0001-5492-3925; Dowsett, Danielle/0000-0001-5686-6944</t>
  </si>
  <si>
    <t>USGS Office of Global Change; Mendenhall Postdoctoral Fellowship Program; UK Natural Environment Research Council; Leverhulme Trust; NSF [ATM-0323516]; NASA/GISS</t>
  </si>
  <si>
    <t>USGS Office of Global Change; Mendenhall Postdoctoral Fellowship Program; UK Natural Environment Research Council(UK Research &amp; Innovation (UKRI)Natural Environment Research Council (NERC)); Leverhulme Trust(Leverhulme Trust); NSF(National Science Foundation (NSF)); NASA/GISS(National Aeronautics &amp; Space Administration (NASA))</t>
  </si>
  <si>
    <t>This is a product of the USGS PRISM (Pliocene Research, Interpretation and Synoptic Mapping) Project. HD and MR acknowledge the support of the USGS Office of Global Change and the Mendenhall Postdoctoral Fellowship Program. This work formed part of the British Antarctic Survey (BAS) core science programme GEACEP (Greenhouse to Icehouse Evolution of the Antarctic Cryosphere and Palaeoenvironment). DH acknowledges the UK Natural Environment Research Council for a PhD scholarship, and AM acknowledges the Leverhulme Trust for the award of a Phillip Leverhulme Prize. MC and LS acknowledge the NSF Paleoclimate Program, Grant No. ATM-0323516 and the NASA/GISS Climate Modeling Program. The Integrated Ocean Drilling Program (IODP) and its predecessors (DSDP and ODP) provided marine core samples used in this study.</t>
  </si>
  <si>
    <t>WOS:000284521700003</t>
  </si>
  <si>
    <t>Clark, N; Williams, M; Okamura, B; Smellie, J; Nelson, A; Knowles, T; Taylor, P; Leng, M; Zalasiewicz, J; Haywood, A</t>
  </si>
  <si>
    <t>Clark, Nicola; Williams, Mark; Okamura, Beth; Smellie, John; Nelson, Anna; Knowles, Tanya; Taylor, Paul; Leng, Melanie; Zalasiewicz, Jan; Haywood, Alan</t>
  </si>
  <si>
    <t>Early Pliocene Weddell Sea seasonality determined from bryozoans</t>
  </si>
  <si>
    <t>JAMES-ROSS-ISLAND; NORTHERN ANTARCTIC PENINSULA; SEDIMENTATION; STRATIGRAPHY; TEMPERATURE; SALINITY; REGION; SIZE</t>
  </si>
  <si>
    <t>Early Pliocene cheilostome bryozoans are preserved in a glacigenic diamictite at Cascade Cliffs, James Ross Island, northern Antarctic Peninsula. Several different marine bryozoan genera were incorporated into the diamictite during Pliocene ice advance(s). Bryozoan zooid-size Mean Annual Range of Temperature (zs-MART) analysis provides estimates of seasonality which suggest that mean annual marine temperatures for the James Ross Island region varied by at least 4.3 degrees C and possibly by as much as 10.3 degrees C during the Early Pliocene. This represents much greater seasonality for the northern Weddell Sea than seen at the present day (MART ca 2 degrees C). A cluster of zs-MART values between 6.6 degrees C and 7.7 degrees C from four colonies of the bryozoan Dakariella are considered to represent the most reliable range of seasonality estimates. Although we cannot determine absolute sea temperatures, increased seasonality signals an overall warmer climate for the Weddell Sea region at the time that the bryozoans were living.</t>
  </si>
  <si>
    <t>[Clark, Nicola; Williams, Mark; Smellie, John; Zalasiewicz, Jan] Univ Leicester, Dept Geol, Leicester LE1 7RH, Leics, England; [Leng, Melanie] British Geol Survey, NERC Isotope Geosci Lab, Keyworth NG12 5GG, Notts, England; [Okamura, Beth] Nat Hist Museum, Dept Zool, London SW7 5BD, England; [Nelson, Anna] British Antarctic Survey, Cambridge CB3 2EQ, England; [Knowles, Tanya] Nat Hist Museum, Dept Palaeontol, London SW7 5BD, England; [Taylor, Paul] Univ London Imperial Coll Sci Technol &amp; Med, London SW7 2BP, England; [Haywood, Alan] Univ Leeds, Sch Earth &amp; Environm, Leeds LS2 9JT, W Yorkshire, England</t>
  </si>
  <si>
    <t>University of Leicester; UK Research &amp; Innovation (UKRI); Natural Environment Research Council (NERC); NERC British Geological Survey; Natural History Museum London; UK Research &amp; Innovation (UKRI); Natural Environment Research Council (NERC); NERC British Antarctic Survey; Natural History Museum London; Imperial College London; University of Leeds</t>
  </si>
  <si>
    <t>Clark, N (corresponding author), Univ Leicester, Dept Geol, Leicester LE1 7RH, Leics, England.</t>
  </si>
  <si>
    <t>nc118@le.ac.uk</t>
  </si>
  <si>
    <t>; Williams, Mark/B-7590-2009</t>
  </si>
  <si>
    <t>Taylor, Paul/0000-0002-3127-080X; Leng, Melanie/0000-0003-1115-5166; Williams, Mark/0000-0002-7987-6069</t>
  </si>
  <si>
    <t>NERC [nigl010001] Funding Source: UKRI; Natural Environment Research Council [nigl010001] Funding Source: researchfish</t>
  </si>
  <si>
    <t>WOS:000284521700008</t>
  </si>
  <si>
    <t>Winter, D; Sjunneskog, C; Harwood, D</t>
  </si>
  <si>
    <t>Winter, Diane; Sjunneskog, Charlotte; Harwood, David</t>
  </si>
  <si>
    <t>Early to mid-Pliocene environmentally constrained diatom assemblages from the AND-1B drillcore, McMurdo Sound, Antarctica</t>
  </si>
  <si>
    <t>PRINCE-CHARLES MOUNTAINS; SEA-SURFACE TEMPERATURES; SOUTHERN-OCEAN SEDIMENTS; LAST GLACIAL MAXIMUM; ROSS-SEA; ICE-SHEET; LATE PLEISTOCENE; OKHOTSK SEA; INTERANNUAL VARIABILITY; OCEANOGRAPHIC CONTROL</t>
  </si>
  <si>
    <t>An extended lower to mid-Pliocene stratigraphic record of near-shore environmental variation in the southwestern Ross Sea, Antarctica is preserved in ANDRILL's McMurdo Ice Shelf Project AND-1B drillcore. A 94 meter-thick sequence of three diatomite and diatomaceous mudstone intervals represents the highest latitude record (78 S) of persistent open-marine conditions on the Antarctic continental shelf, in response to a protracted period of Pliocene warmth. This core provides new chronostratigraphic control for Antarctic paleoclimatic events, and describes a sequence of distinct diatom assemblages comprised of both extant and extinct species that are unknown on the Antarctic shelf today. Common taxa include those with modern distributions close to the Polar Frontal Zone (e.g. Shionodiscus tetraoestrupii, Stellarima stellaris, Thalassionema nitzschioides), suggesting marine temperatures in the southwestern Ross Sea warmer than at present. Representatives of the modern sea-ice assemblage (e.g. Fragliariopsis curia, Stellarima microtrias) and cold open-marine species associated with the retreating sea-ice front (e.g. Eucampia antarctica var. recta) are also present, but in much lower abundance than in the Ross Sea today as suggested by core top and surface sample data. The co-occurrence of species from these three distinct modern environments in Pliocene sediments, in close proximity to the continent, suggests that Modern ecological zonal concepts cannot be applied directly in Pliocene paleoenvironmental analyses. Species present in the 4 m-thick lowest diatomite unit (similar to 4.5 Ma) indicate a cold open marine environment, with the period of deposition likely comprising the length of one interglacial period. The middle diatomite unit (similar to 4.1-4.3 Ma; 14m) records warmer and perhaps seasonally mixed conditions with often abundant Thalassionema nitzschioides and Shionodiscus tetraoestrupii and little evidence of sea-ice associated species. Documentation of changes in diatom assemblages through the upper 75m-thick diatomite interval (similar to 3.3-3.6 Ma) offers the opportunity to resolve environmental limits of Pliocene diatom species that will serve as a guide to diatom-based paleoenvironmental interpretatioins for other Pliocene deposits. This upper unit records deposition during several glacial/interglacial cycles indicating an extended interval with open marine productivity during the mid-Pliocene. In addition, environmental associations for extinct species are inferred by their co-occurrence with extant taxa. Persistent intervals of pure diatomite suggest high productivity in an open-marine setting and minimal tip no influence of sea ice. Commonly occurring species can be placed in five ecological categories; Neritic/Stratified, Warm, Cold/Sea Ice, Heavy/Wind Mixed and Mixed. Comparison of this long diatom-bearing interval with coeval Antarctic deposits presents a regional and continental picture of Pliocene warmth, suggesting East Antarctic Ice Sheet was smaller with sub-polar marginal conditions.</t>
  </si>
  <si>
    <t>[Winter, Diane; Harwood, David] Univ Nebraska, Dept Geosci, Lincoln, NE 68588 USA; [Sjunneskog, Charlotte] Florida State Univ, Antarctic Res Facil, Tallahassee, FL 32306 USA</t>
  </si>
  <si>
    <t>University of Nebraska System; University of Nebraska Lincoln; State University System of Florida; Florida State University</t>
  </si>
  <si>
    <t>Winter, D (corresponding author), Rhithron Associates Inc, Missoula, MT 59804 USA.</t>
  </si>
  <si>
    <t>dwinter1@juno.com</t>
  </si>
  <si>
    <t>National Science Foundation [0342484]; US National Science Foundation; NZ Foundation for Research; Italian Antarctic Research Program; German Science Foundation; Alfred Wegener Institute; U.S. Antarctic Program (USAP); Raytheon Polar Services Corporation (RPSC); Antarctica New Zealand</t>
  </si>
  <si>
    <t>National Science Foundation(National Science Foundation (NSF)); US National Science Foundation(National Science Foundation (NSF)); NZ Foundation for Research; Italian Antarctic Research Program; German Science Foundation(German Research Foundation (DFG)); Alfred Wegener Institute; U.S. Antarctic Program (USAP); Raytheon Polar Services Corporation (RPSC); Antarctica New Zealand</t>
  </si>
  <si>
    <t>Reviews by Drs. Kevin McCartney and Catherine Stickley provided many useful comments and suggestions, adding much to this work. This material is based upon work supported by the National Science Foundation under Cooperative Agreement No. 0342484 through subawards administered by the ANDRILL Science Management Office at the University of Nebraska-Lincoln, and issued through Northern Illinois University (for the MIS Project), as part of the ANDRILL U.S. Science Support Program. Any opinions, findings, and conclusions or recommendations expressed in this material are those of the author(s) and do not necessarily reflect the views of the National Science Foundation.; 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(USAP) and Raytheon Polar Services Corporation (RPSC) supported the science team at McMurdo Station and in the Crary Science and Engineering Laboratory, while Antarctica New Zealand supported the drilling team at Scott Base. Scientific studies are jointly supported by the US National Science Foundation, NZ Foundation for Research, the Italian Antarctic Research Program, the German Science Foundation and the Alfred Wegener Institute.</t>
  </si>
  <si>
    <t>WOS:000284521700009</t>
  </si>
  <si>
    <t>Newman, PA</t>
  </si>
  <si>
    <t>Polvani, LM; Sobel, AH; Waugh, DW</t>
  </si>
  <si>
    <t>Newman, Paul A.</t>
  </si>
  <si>
    <t>Chemistry and Dynamics of the Antarctic Ozone Hole</t>
  </si>
  <si>
    <t>STRATOSPHERE: DYNAMICS, TRANSPORT, AND CHEMISTRY</t>
  </si>
  <si>
    <t>Geophysical Monograph Book Series</t>
  </si>
  <si>
    <t>INTERHEMISPHERIC DIFFERENCES; STRATOSPHERIC CHLORINE; POLAR VORTEX; WINTER; UNCERTAINTIES; TRANSPORT; DEPLETION; RECOVERY; AEROSOL; LOSSES</t>
  </si>
  <si>
    <t>The Antarctic ozone hole is caused by human-produced chlorine and bromine compounds. The unique cold conditions of the Antarctic lower stratosphere in winter and spring allow for the development of polar stratospheric clouds. Chemical reactions on these stratospheric cloud particle surfaces (heterogeneous chemistry) release chlorine from reservoir species into highly reactive species that are easily photolyzed. Chlorine and bromine catalytic cycles result in massive ozone depletion during August and September. By early October, ozone is completely destroyed in the lower stratosphere over Antarctica. The amount of total ozone began a downward trend in the 1970s and stopped in the early 1990s. Current models indicate an ozone hole return date around 2067.</t>
  </si>
  <si>
    <t>NASA, Goddard Space Flight Ctr, Greenbelt, MD 20771 USA</t>
  </si>
  <si>
    <t>Newman, PA (corresponding author), NASA, Goddard Space Flight Ctr, Code 613-3, Greenbelt, MD 20771 USA.</t>
  </si>
  <si>
    <t>Paul.A.Newman@nasa.gov</t>
  </si>
  <si>
    <t>Newman, Paul A/D-6208-2012</t>
  </si>
  <si>
    <t>0065-8448</t>
  </si>
  <si>
    <t>978-0-87590-479-5</t>
  </si>
  <si>
    <t>GEOPHYS MONOGR SER</t>
  </si>
  <si>
    <t>10.1029/2009GM000873</t>
  </si>
  <si>
    <t>10.1029/GM190</t>
  </si>
  <si>
    <t>BUS88</t>
  </si>
  <si>
    <t>WOS:000290245500011</t>
  </si>
  <si>
    <t>Mikhalevich, AV</t>
  </si>
  <si>
    <t>Gevona, JT</t>
  </si>
  <si>
    <t>Mikhalevich, A. -V.</t>
  </si>
  <si>
    <t>RESULTS OF THE ELECTRON MICROSCOPIC STUDY OF THE ANTARCTIC SPECIES CONOTROCHAMMINA ANTARCTICA SAIDOVA, 1975 (FORAMINIFERA)</t>
  </si>
  <si>
    <t>SYNTHETIC AND INTEGRATIVE BIOLOGY: PARTS AND SYSTEMS, DESIGN THEORY AND APPLICATIONS</t>
  </si>
  <si>
    <t>Biotechnology in Agriculture Industry and Medicine</t>
  </si>
  <si>
    <t>The study of the shell wall of Antarctic species C antarctica Saidova, 1975 in SEM was carried on for the first time. The character and disposition of sand particles, pseudopore openings and inner and outer organic linings and thin structure of the apertural collar was revealed. The character and position of the aperture of this species and of the genus Conotrochammina on which there were some contradictory data in the previous literature was clarified The taxonomic position of the genus was changed it was moved from the subclass Textulariana to the subclass Hormosinana according to the terminal position of its aperture beginning from the initial stage of its shell.</t>
  </si>
  <si>
    <t>Mikhalevich, AV (corresponding author), RAS, Inst Zool, Univ Skaya Naberezhnaya 1, St Petersburg, Russia.</t>
  </si>
  <si>
    <t>978-1-60876-678-9</t>
  </si>
  <si>
    <t>BIOTECH AGR IND MED</t>
  </si>
  <si>
    <t>BQQ03</t>
  </si>
  <si>
    <t>WOS:000281522100005</t>
  </si>
  <si>
    <t>Böning, C; Timmermann, R; Danilov, S; Schröter, J</t>
  </si>
  <si>
    <t>Flechtner, F; Gruber, TH; Mandea, M; Rothacher, M; Schone, T; Wickert, J</t>
  </si>
  <si>
    <t>Boening, Carmen; Timmermann, Ralph; Danilov, Sergey; Schroeter, Jens</t>
  </si>
  <si>
    <t>Antarctic Circumpolar Current Transport Variability in GRACE Gravity Solutions and Numerical Ocean Model Simulations</t>
  </si>
  <si>
    <t>SYSTEM EARTH VIA GEODETIC-GEOPHYSICAL SPACE TECHNIQUES</t>
  </si>
  <si>
    <t>Advanced Technologies in Earth Sciences</t>
  </si>
  <si>
    <t>DRAKE PASSAGE; ANNULAR MODE; CIRCULATION</t>
  </si>
  <si>
    <t>[Boening, Carmen; Timmermann, Ralph; Danilov, Sergey; Schroeter, Jens] Alfred Wegener Inst Polar &amp; Marine Res, D-27570 Bremerhaven, Germany</t>
  </si>
  <si>
    <t>Böning, C (corresponding author), Alfred Wegener Inst Polar &amp; Marine Res, D-27570 Bremerhaven, Germany.</t>
  </si>
  <si>
    <t>Danilov, Sergey/S-6184-2016; Schröter, Jens G/H-8806-2016</t>
  </si>
  <si>
    <t>Danilov, Sergey/0000-0001-8098-182X; Schröter, Jens G/0000-0002-9240-5798; Blackwood, Carmen/0000-0003-0823-1949</t>
  </si>
  <si>
    <t>2190-1635</t>
  </si>
  <si>
    <t>978-3-642-10227-1</t>
  </si>
  <si>
    <t>ADV TECHNOL EARTH SC</t>
  </si>
  <si>
    <t>10.1007/978-3-642-10228-8_15</t>
  </si>
  <si>
    <t>10.1007/978-3-642-10228-8</t>
  </si>
  <si>
    <t>BQH23</t>
  </si>
  <si>
    <t>WOS:000281003500015</t>
  </si>
  <si>
    <t>Berkman, PA</t>
  </si>
  <si>
    <t>Berkman, Paul Arthur</t>
  </si>
  <si>
    <t>Biodiversity stewardship in international spaces</t>
  </si>
  <si>
    <t>SYSTEMATICS AND BIODIVERSITY</t>
  </si>
  <si>
    <t>International Issues Conference on Biodiversity</t>
  </si>
  <si>
    <t>JAN, 2010</t>
  </si>
  <si>
    <t>Cambridge, MA</t>
  </si>
  <si>
    <t>Antarctica; biodiversity; common interests; deep sea; future; global; high seas; international; ocean; stewardship</t>
  </si>
  <si>
    <t>Nearly 70% of Earth's surface lies beyond national boundaries - in the deep sea, high seas and Antarctica. Regimes to govern these international spaces originated after the Second World War, representing a fundamental governance transition and challenge in our civilization to balance national interests along with common interests on a global scale. For Earth's biota, such stewardship involves the dynamics of interconnected ecosystems with issues of sustainable development, environmental security and the interplay of diverse institutions. For international spaces, which also include outer space, it was the Antarctic Treaty that began setting standards for species conservation. With advice from the Scientific Committee on Antarctic Research, conservation measures evolved into the 1980 Convention on the Conservation of Antarctic Marine Living Resources, which introduced an ecosystem approach for the rational use of 'harvested, dependent and related populations' living south of the Antarctic Convergence - an ecologically defined area with global importance because of its extensive biomass. With the 1982 United Nations Convention on the Law of the Sea, humankind made a huge leap to manage the world ocean holistically across national and international zones that include the high seas and deep sea, which is considered the 'common heritage of mankind' with equitable sharing of mineral resources but not biological resources. While the 1992 Convention on Biological Diversity establishes conservation of biological diversity as a 'common concern of humankind' with scope over processes and activities regardless of where their effects occur, bioprospecting and equitable sharing of genetic-resource benefits remain unresolved from the deep sea and other international spaces. Integrating land, water, atmosphere and biota with forcing from the Sun - the 1992 United Nations Framework Convention on Climate Change provides a management strategy for the Earth system. On this planetary scale, balancing the governance of nation states and international spaces is critical to conserving Earth's biodiversity.</t>
  </si>
  <si>
    <t>[Berkman, Paul Arthur] Univ Cambridge, Scott Polar Res Inst, Arctic Ocean Geopolit Programme, Cambridge CB2 1ER, England; [Berkman, Paul Arthur] Univ Calif Santa Barbara, Governance Sustainable Dev Program, Bren Sch Environm Sci &amp; Management, Santa Barbara, CA 93106 USA</t>
  </si>
  <si>
    <t>University of Cambridge; University of California System; University of California Santa Barbara</t>
  </si>
  <si>
    <t>Berkman, PA (corresponding author), Univ Cambridge, Scott Polar Res Inst, Arctic Ocean Geopolit Programme, Cambridge CB2 1ER, England.</t>
  </si>
  <si>
    <t>pb426@cam.ac.uk</t>
  </si>
  <si>
    <t>1477-2000</t>
  </si>
  <si>
    <t>SYST BIODIVERS</t>
  </si>
  <si>
    <t>Syst. Biodivers.</t>
  </si>
  <si>
    <t>PII 926994427</t>
  </si>
  <si>
    <t>10.1080/14772000.2010.512623</t>
  </si>
  <si>
    <t>Biodiversity Conservation; Biology</t>
  </si>
  <si>
    <t>Biodiversity &amp; Conservation; Life Sciences &amp; Biomedicine - Other Topics</t>
  </si>
  <si>
    <t>650KZ</t>
  </si>
  <si>
    <t>WOS:000281849700001</t>
  </si>
  <si>
    <t>Brackett, GL</t>
  </si>
  <si>
    <t>Brackett, G. L.</t>
  </si>
  <si>
    <t>At the End of the Earth: How Polar Ice and Imagination Shape the World</t>
  </si>
  <si>
    <t>TERRAE INCOGNITAE-THE JOURNAL OF THE SOCIETY FOR THE HISTORY OF DISCOVERIES</t>
  </si>
  <si>
    <t>Arctic; Antarctica; empiricism versus imagination; polar regions; Romantic Sublime</t>
  </si>
  <si>
    <t>This article explores the historical relationship between the polar regions and their representation in Western literature, starting with classical texts and working through several important journals of discovery in the Renaissance while referencing the defining maps of the age. Working chronologically, it also traces the impact of Cook's journals on the imaginative work of the Romantic Period, and investigates the impact of the Age of Exploration on the twentieth-century view of the polar realms. The central tenet of this article is that the Arctic and the Antarctic are critical reference points for understanding humanity's place in the world; and, as perception of the poles has changed, so has our collective human understanding. The exploration illustrates a paradox: that while our scientific understanding of polar regions has increased, the declining mythical power of these terrae incognitae has eliminated a critical reverence we once had for them.</t>
  </si>
  <si>
    <t>[Brackett, G. L.] Pace Univ, Pace Plaza, New York, NY 10038 USA</t>
  </si>
  <si>
    <t>Pace University</t>
  </si>
  <si>
    <t>Brackett, GL (corresponding author), Pace Univ, Pace Plaza, New York, NY 10038 USA.</t>
  </si>
  <si>
    <t>gbrackett@pace.edu</t>
  </si>
  <si>
    <t>0082-2884</t>
  </si>
  <si>
    <t>2040-8706</t>
  </si>
  <si>
    <t>TERR INCOGN</t>
  </si>
  <si>
    <t>Terr. Incogn.</t>
  </si>
  <si>
    <t>10.1179/008228810X12755564743480</t>
  </si>
  <si>
    <t>V3G7J</t>
  </si>
  <si>
    <t>WOS:000218240600003</t>
  </si>
  <si>
    <t>Collier, SJ</t>
  </si>
  <si>
    <t>Collier, S. J.</t>
  </si>
  <si>
    <t>Pilgrims on the Ice: Robert Falcon Scott's First Antarctic Expedition</t>
  </si>
  <si>
    <t>WOS:000218240600007</t>
  </si>
  <si>
    <t>Havenith, G</t>
  </si>
  <si>
    <t>Li, Y; Qui, YP; Luo, XN; Li, JS</t>
  </si>
  <si>
    <t>Havenith, George</t>
  </si>
  <si>
    <t>Benchmarking Functionality of Historical Cold Weather Clothing: Robert F. Scott, Roald Amundsen, George Mallory</t>
  </si>
  <si>
    <t>TEXTILE BIOENGINEERING AND INFORMATICS SYMPOSIUM PROCEEDINGS, VOLS 1-3</t>
  </si>
  <si>
    <t>3rd International Symposium of Textile Bioengineering and Informatics</t>
  </si>
  <si>
    <t>MAY 28-30, 2010</t>
  </si>
  <si>
    <t>Coll Textiles, Shanghai, PEOPLES R CHINA</t>
  </si>
  <si>
    <t>Coll Textiles</t>
  </si>
  <si>
    <t>clothing insulation; altitude; Antarctic; cold; explorer</t>
  </si>
  <si>
    <t>TEMPERATURE; ALTITUDES; TEXTILES; PRESSURE</t>
  </si>
  <si>
    <t>Replica clothing as worn by Robert F. Scott and Roald Amundsen in their race to be the first on the South Pole and by George Mallory in his ascent of Everest was tested for thermal insulative properties. These were benchmarked against modern day explorer clothing. Results are discussed in terms of insulation, insulation per weight, and wind protection. Further the effects of the clothing on energy consumption were considered as well as the effect of altitude on insulation and on energy consumption. The biggest advantage of modern clothing seems to be its lower weight. Scott's clothing resulted in extra energy usage for the wearers and provided less insulation than Amundsen's, though sufficient while active. The Mallory clothing had a low energy requirement due to the incorporation of 'slippery' silk layers. Its insulation would have been sufficient down to -30 degrees C in low wind. If wind were to increase, the clothing would however not have provided the required insulation.</t>
  </si>
  <si>
    <t>Univ Loughborough, Dept Ergon Human Sci, Loughborough LE11 3TU, Leics, England</t>
  </si>
  <si>
    <t>Loughborough University</t>
  </si>
  <si>
    <t>Havenith, G (corresponding author), Univ Loughborough, Dept Ergon Human Sci, Loughborough LE11 3TU, Leics, England.</t>
  </si>
  <si>
    <t>G.Havenith@lboro.ac.uk</t>
  </si>
  <si>
    <t>Havenith, George/B-8579-2008</t>
  </si>
  <si>
    <t>Havenith, George/0000-0001-6223-4265</t>
  </si>
  <si>
    <t>TEXTILE BIOENGINEERING &amp; INFORMATICS SOCIETY LTD</t>
  </si>
  <si>
    <t>HONG KONG SAR</t>
  </si>
  <si>
    <t>TBIS 2010 SECRETARIAT MN104, HONG KONG POLYTECHNIC UNIV, HONG KONG SAR, 0000, PEOPLES R CHINA</t>
  </si>
  <si>
    <t>10.3993/tbis2010214</t>
  </si>
  <si>
    <t>Engineering, Biomedical; Materials Science, Biomaterials</t>
  </si>
  <si>
    <t>Engineering; Materials Science</t>
  </si>
  <si>
    <t>BRN79</t>
  </si>
  <si>
    <t>WOS:000283206000211</t>
  </si>
  <si>
    <t>Faure, G; Mensing, TM</t>
  </si>
  <si>
    <t>Faure, Gunter; Mensing, Teresa M.</t>
  </si>
  <si>
    <t>Central Transantarctic Mountains</t>
  </si>
  <si>
    <t>TRANSANTARCTIC MOUNTAINS: ROCKS, ICE, METEORITES AND WATER</t>
  </si>
  <si>
    <t>EARLY PALEOZOIC HISTORY; NIMROD GLACIER AREA; ANTARCTIC MARGIN; ROSS OROGEN; SHACKLETON LIMESTONE; BEARDMORE GROUP; RANGE; AGE; TECTONICS; EVOLUTION</t>
  </si>
  <si>
    <t>[Faure, Gunter] Ohio State Univ, Sch Earth Sci, Columbus, OH 43210 USA; [Faure, Gunter] Ohio State Univ, Byrd Polar Res Ctr, Columbus, OH 43210 USA; [Mensing, Teresa M.] Ohio State Univ, Sch Earth Sci, Marion, OH 43302 USA; [Mensing, Teresa M.] Ohio State Univ, Byrd Polar Res Ctr, Marion, OH 43302 USA</t>
  </si>
  <si>
    <t>University System of Ohio; Ohio State University; University System of Ohio; Ohio State University; University System of Ohio; Ohio State University; University System of Ohio; Ohio State University</t>
  </si>
  <si>
    <t>Faure, G (corresponding author), Ohio State Univ, Sch Earth Sci, 275 Mendenhall Lab,125 S Oval Mall, Columbus, OH 43210 USA.</t>
  </si>
  <si>
    <t>faure.1@osu.edu; mensing.1@osu.edu</t>
  </si>
  <si>
    <t>978-1-4020-8406-5</t>
  </si>
  <si>
    <t>10.1007/978-90-481-9390-5_5</t>
  </si>
  <si>
    <t>10.1007/978-90-481-9390-5</t>
  </si>
  <si>
    <t>BST41</t>
  </si>
  <si>
    <t>WOS:000285742300005</t>
  </si>
  <si>
    <t>Cenozoic Volcanoes</t>
  </si>
  <si>
    <t>NORTHERN VICTORIA-LAND; ANTARCTIC ICE-SHEET; HUT-POINT-PENINSULA; MCMURDO-SOUND REGION; ROSS-ISLAND AREA; MT-EREBUS; BROWN-PENINSULA; TRANSANTARCTIC MOUNTAINS; GLACIAL HISTORY; ELEMENT GEOCHEMISTRY</t>
  </si>
  <si>
    <t>faure.1@osu.edu; mensing.1@osu.edu; faure.1@osu.edu; mensing.1@osu.edu</t>
  </si>
  <si>
    <t>10.1007/978-90-481-9390-5_16</t>
  </si>
  <si>
    <t>WOS:000285742300016</t>
  </si>
  <si>
    <t>The East Antarctic Ice Sheet</t>
  </si>
  <si>
    <t>OXYGEN-ISOTOPE FRACTIONATION; SEA-LEVEL CHANGES; CLIMATIC RECORD; VICTORIA LAND; SUBGLACIAL LAKES; CARBON-DIOXIDE; TEPHRA LAYERS; VOLCANIC ASH; ALLAN HILLS; ROSS-ISLAND</t>
  </si>
  <si>
    <t>10.1007/978-90-481-9390-5_17</t>
  </si>
  <si>
    <t>WOS:000285742300017</t>
  </si>
  <si>
    <t>Glaciaton of Southern Victoria Land</t>
  </si>
  <si>
    <t>VANDA WRIGHT VALLEY; MCMURDO DRY VALLEYS; ROSS ICE SHELF; SURFACE EXPOSURE AGES; BASIN ANTARCTIC LAKE; TRANSANTARCTIC MOUNTAINS; TAYLOR VALLEY; CHEMICAL EVOLUTION; ECOLOGICAL MODEL; RESIDENCE TIMES</t>
  </si>
  <si>
    <t>10.1007/978-90-481-9390-5_19</t>
  </si>
  <si>
    <t>WOS:000285742300019</t>
  </si>
  <si>
    <t>Spiridonov, V; Casanova, B</t>
  </si>
  <si>
    <t>Schram, FR; Klein, JCV</t>
  </si>
  <si>
    <t>Spiridonov, Vassily; Casanova, Bernadette</t>
  </si>
  <si>
    <t>ORDER EUPHAUSIACEA DANA, 1852</t>
  </si>
  <si>
    <t>TREATISE ON ZOOLOGY-ANATOMY, TAXONOMY, BIOLOGY: THE CRUSTACEA, VOL 9, PT A: EUCARIDA: EUPHAUSIACEA, AMPHIONIDACEA, AND DECAPODA (PARTIM)</t>
  </si>
  <si>
    <t>MEGANYCTIPHANES-NORVEGICA CRUSTACEA; PELAGIC ORGANISMS EUPHAUSIACEA; DAYTIME SURFACE SWARMS; ANTARCTIC KRILL; LARVAL DEVELOPMENT; SUPERBA DANA; FUNCTIONAL-MORPHOLOGY; NORTHERN KRILL; DIAGNOSTIC-VALUE; GASTRIC MILL</t>
  </si>
  <si>
    <t>[Spiridonov, Vassily] Russian Acad Sci, PP Shirshov Inst Oceanol, Moscow 117997, Russia; [Casanova, Bernadette] Univ Aix Marseille 1, Lab Biol Anim Plancton, F-13331 Marseille, France; [Casanova, Bernadette] Univ Aix Marseille 1, F-13331 Marseille, France</t>
  </si>
  <si>
    <t>Russian Academy of Sciences; Shirshov Institute of Oceanology; Aix-Marseille Universite; Aix-Marseille Universite</t>
  </si>
  <si>
    <t>Spiridonov, V (corresponding author), Russian Acad Sci, PP Shirshov Inst Oceanol, Nakhimov Ave 36, Moscow 117997, Russia.</t>
  </si>
  <si>
    <t>vspiridonov@wwf.ru</t>
  </si>
  <si>
    <t>978-90-04-18780-1; 978-90-04-16441-3</t>
  </si>
  <si>
    <t>10.1163/ej.9789004164413.i-562</t>
  </si>
  <si>
    <t>BHN34</t>
  </si>
  <si>
    <t>WOS:000325970300002</t>
  </si>
  <si>
    <t>Sutherland, WJ; Clout, M; Côté, IM; Daszak, P; Depledge, MH; Fellman, L; Fleishman, E; Garthwaite, R; Gibbons, DW; De Lurio, J; Impey, AJ; Lickorish, F; Lindenmayer, D; Madgwick, J; Margerison, C; Maynard, T; Peck, LS; Pretty, J; Prior, S; Redford, KH; Scharlemann, JPW; Spalding, M; Watkinson, AR</t>
  </si>
  <si>
    <t>Sutherland, William J.; Clout, Mick; Cote, Isabelle M.; Daszak, Peter; Depledge, Michael H.; Fellman, Liz; Fleishman, Erica; Garthwaite, Rachel; Gibbons, David W.; De Lurio, Jennifer; Impey, Andrew J.; Lickorish, Fiona; Lindenmayer, David; Madgwick, Jane; Margerison, Ceri; Maynard, Trevor; Peck, Lloyd S.; Pretty, Jules; Prior, Stephanie; Redford, Kent H.; Scharlemann, Joern P. W.; Spalding, Mark; Watkinson, Andrew R.</t>
  </si>
  <si>
    <t>A horizon scan of global conservation issues for 2010</t>
  </si>
  <si>
    <t>TRENDS IN ECOLOGY &amp; EVOLUTION</t>
  </si>
  <si>
    <t>INDO-PACIFIC LIONFISH; SILVER NANOPARTICLES; PTEROIS-VOLITANS; PLASTIC DEBRIS; ASSISTED COLONIZATION; MARINE-ENVIRONMENT; CHANGING CLIMATE; BIODIVERSITY; TRANSPORT</t>
  </si>
  <si>
    <t>Horizon scanning identifies emerging issues in a given field sufficiently early to conduct research to inform policy and practice. Our group of horizon scanners, including academics and researchers, convened to identify fifteen nascent issues that could affect the conservation of biological diversity. These include the impacts of and potential human responses to climate change, novel biological and digital technologies, novel pollutants and invasive species. We expect to repeat this process and collation annually.</t>
  </si>
  <si>
    <t>[Sutherland, William J.; Prior, Stephanie] Univ Cambridge, Dept Zool, Cambridge CB2 3EJ, England; [Clout, Mick] Univ Auckland, Sch Biol Sci, Ctr Biodivers &amp; Biosecur, Auckland 1, New Zealand; [Cote, Isabelle M.] Simon Fraser Univ, Dept Biol Sci, Burnaby, BC V5A 1S6, Canada; [Daszak, Peter] Wildlife Trust, New York, NY 10001 USA; [Depledge, Michael H.] Peninsula Med Sch, Plymouth PL6 8BU, Devon, England; [Fellman, Liz; Impey, Andrew J.] NERC, Swindon SN2 1EU, Wilts, England; [Fleishman, Erica] Univ Calif Santa Barbara, Bren Sch Environm Sci &amp; Management, Santa Barbara, CA 93106 USA; [Garthwaite, Rachel] Royal Soc, London SW1Y 5AG, England; [Gibbons, David W.] Royal Soc Protect Birds, Sandy SG19 2DL, Beds, England; [De Lurio, Jennifer] Environm Agcy, Bath BA2 9ES, Avon, England; [Lickorish, Fiona] Defra, London SW1P 3JR, England; [Lindenmayer, David] Australian Natl Univ, Fenner Sch Environm &amp; Soc, Canberra, ACT 0200, Australia; [Madgwick, Jane] Wetlands Int, NL-6700 AL Wageningen, Netherlands; [Margerison, Ceri] British Ecol Soc, London WC1N 2JL, England; [Maynard, Trevor] Lloyds, London EC3M 7HA, England; [Peck, Lloyd S.] British Antarctic Survey, Nat Environm Res Council, Cambridge CB3 0ET, England; [Pretty, Jules] Univ Essex, Dept Biol Sci, Ctr Environm &amp; Soc, Colchester CO4 3SQ, Essex, England; [Redford, Kent H.] Wildlife Conservat Soc, WCS Inst, Bronx, NY 10460 USA; [Scharlemann, Joern P. W.] World Conservat Monitoring Ctr, United Nations Environm Programme, Cambridge CB3 0DL, England; [Spalding, Mark] Nature Conservancy, Global Marine Team, Newmarket CB8 8AW, Suffolk, England; [Watkinson, Andrew R.] Univ E Anglia, Sch Environm Sci, Norwich NR4 7TJ, Norfolk, England</t>
  </si>
  <si>
    <t>University of Cambridge; University of Auckland; Simon Fraser University; University of Plymouth; UK Research &amp; Innovation (UKRI); Natural Environment Research Council (NERC); University of California System; University of California Santa Barbara; Royal Society for Protection of Birds; Australian National University; UK Research &amp; Innovation (UKRI); Natural Environment Research Council (NERC); NERC British Antarctic Survey; University of Essex; Wildlife Conservation Society; University of East Anglia</t>
  </si>
  <si>
    <t>Sutherland, WJ (corresponding author), Univ Cambridge, Dept Zool, Downing St, Cambridge CB2 3EJ, England.</t>
  </si>
  <si>
    <t>w.sutherland@zoo.cam.ac.uk</t>
  </si>
  <si>
    <t>Pretty, Jules/D-4071-2012; daszak, peter/U-4588-2017; Lindenmayer, David/P-7183-2017; Cote, Isabelle/ABD-5898-2021; Scharlemann, Jorn/A-4737-2008; Watkinson, Andrew R/N-1649-2013; Sutherland, William/B-1291-2013; Spalding, Mark/GVU-0739-2022</t>
  </si>
  <si>
    <t>daszak, peter/0000-0002-2046-5695; Scharlemann, Jorn/0000-0002-2834-6367; Pretty, Jules/0000-0002-3897-6581; Depledge, Michael/0000-0002-7216-0439; Spalding, Mark/0000-0001-9456-4533; Lickorish, Fiona/0000-0002-0696-202X; Clout, Mick/0000-0003-2864-4628; Sutherland, William/0000-0002-6498-0437</t>
  </si>
  <si>
    <t>UK Natural Environment Research Council; NERC [bas0100025, NE/C004442/1, NE/F523350/1] Funding Source: UKRI; Natural Environment Research Council [bas0100025, NE/C004442/1, NE/F523350/1] Funding Source: researchfish; Direct For Social, Behav &amp; Economic Scie; Division Of Behavioral and Cognitive Sci [0826779] Funding Source: National Science Foundation</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</si>
  <si>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 For Social, Behav &amp; Economic Scie; Division Of Behavioral and Cognitive Sci(National Science Foundation (NSF)NSF - Directorate for Social, Behavioral &amp; Economic Sciences (SBE))</t>
  </si>
  <si>
    <t>We thank the UK Natural Environment Research Council for funding the exercise. This is an activity of the Cambridge Conservation Initiative and we thank the steering group for useful comments. WS is supported by the Arcadia Fund. We also thank, Craig Baker-Austin, Sarah Bardsley, Nick Dulvy, Joe Fargione, Benedict Gove, Josef Hargrave, Bob McCready, John Smellie and Simon Tokumine for their valuable contributions to the issue collection exercise, Lynn Dicks for useful contributions to the meeting, and the referees for their hyperefficiency.</t>
  </si>
  <si>
    <t>ELSEVIER SCIENCE LONDON</t>
  </si>
  <si>
    <t>84 THEOBALDS RD, LONDON WC1X 8RR, ENGLAND</t>
  </si>
  <si>
    <t>0169-5347</t>
  </si>
  <si>
    <t>1872-8383</t>
  </si>
  <si>
    <t>TRENDS ECOL EVOL</t>
  </si>
  <si>
    <t>Trends Ecol. Evol.</t>
  </si>
  <si>
    <t>10.1016/j.tree.2009.10.003</t>
  </si>
  <si>
    <t>Ecology; Evolutionary Biology; Genetics &amp; Heredity</t>
  </si>
  <si>
    <t>Environmental Sciences &amp; Ecology; Evolutionary Biology; Genetics &amp; Heredity</t>
  </si>
  <si>
    <t>549SL</t>
  </si>
  <si>
    <t>WOS:000274074500001</t>
  </si>
  <si>
    <t>Kocur, Z; Kozak, M; Neruda, M; Bohac, L</t>
  </si>
  <si>
    <t>Asszisztencia Congress Bureau Ltd</t>
  </si>
  <si>
    <t>Kocur, Zbynek; Kozak, Milos; Neruda, Marek; Bohac, Leos</t>
  </si>
  <si>
    <t>Analyzing of Data Flows at Czech Antarctic Station</t>
  </si>
  <si>
    <t>TSP 2010: 33RD INTERNATIONAL CONFERENCE ON TELECOMMUNICATIONS AND SIGNAL PROCESSING</t>
  </si>
  <si>
    <t>33rd International Conference on Telecommunication and Signal Processing</t>
  </si>
  <si>
    <t>AUG 17-20, 2010</t>
  </si>
  <si>
    <t>Vienna, AUSTRIA</t>
  </si>
  <si>
    <t>Paper deals with data transmission behind polar circle with respect to multimedia content and reliable data transport. Two different transmission algorithms are discussed in the paper. The first one is common periodic transfer used for transmission of collected data. The second one is transmission on demand trigged by scientists in Czech Republic.</t>
  </si>
  <si>
    <t>[Kocur, Zbynek; Kozak, Milos; Neruda, Marek; Bohac, Leos] Czech Tech Univ, Fac Elect Engn, Dept Telecommun Engn, CR-16635 Prague, Czech Republic</t>
  </si>
  <si>
    <t>Czech Technical University Prague</t>
  </si>
  <si>
    <t>Kocur, Z (corresponding author), Czech Tech Univ, Fac Elect Engn, Dept Telecommun Engn, CR-16635 Prague, Czech Republic.</t>
  </si>
  <si>
    <t>polarnici@comtel.cz</t>
  </si>
  <si>
    <t>Neruda, Marek/ABE-6847-2021; Kocur, Zbynek/GXN-4404-2022; Boháč, Leoš/D-5990-2013</t>
  </si>
  <si>
    <t>Neruda, Marek/0000-0003-2783-6505; Kocur, Zbynek/0000-0001-8233-671X; /0000-0002-3189-9296</t>
  </si>
  <si>
    <t>ASSZISZTENCIA CONGRESS BUREAU LTD</t>
  </si>
  <si>
    <t>BUDAPEST</t>
  </si>
  <si>
    <t>HEGEDUS GYULA U 20, BUDAPEST, H-1136, HUNGARY</t>
  </si>
  <si>
    <t>978-963-88981-0-4</t>
  </si>
  <si>
    <t>Computer Science, Hardware &amp; Architecture; Telecommunications</t>
  </si>
  <si>
    <t>Computer Science; Telecommunications</t>
  </si>
  <si>
    <t>BUX62</t>
  </si>
  <si>
    <t>WOS:000290635200048</t>
  </si>
  <si>
    <t>Bernhard, G; Booth, CR; Ehramjian, JC</t>
  </si>
  <si>
    <t>Gao, W; Schmoldt, DL; Slusser, JR</t>
  </si>
  <si>
    <t>Bernhard, Germar; Booth, Charles R.; Ehramjian, James C.</t>
  </si>
  <si>
    <t>Climatology of Ultraviolet Radiation at High Latitudes Derived from Measurements of the National Science Foundation's Ultraviolet Spectral Irradiance Monitoring Network</t>
  </si>
  <si>
    <t>UV RADIATION IN GLOBAL CLIMATE CHANGE: MEASUREMENTS, MODELING AND EFFECTS ON ECOSYSTEMS</t>
  </si>
  <si>
    <t>solar ultraviolet radiation; Antarctica; Arctic</t>
  </si>
  <si>
    <t>SOLAR-RADIATION; SURFACE ALBEDO; UV-B; OZONE; ALASKA; CLOUD; ANTARCTICA; TRENDS; BARROW</t>
  </si>
  <si>
    <t>Solar ultraviolet (UV) radiation has been measured at seven sites of the National Science Foundation's UV Spectral Irradiance Monitoring Network (UVSIMN) for up to 20 years. Data are used to establish a UV climatology for each site and to quantify differences between sites. Most locations are at high latitudes and include the South Pole; two research stations at the Antarctic coast (McMurdo and Palmer); the city of Ushuaia at the tip of South America; the Arctic village of Barrow; and Summit, a research camp established at the top of Greenland's ice sheet. UV levels at San Diego, California were also analyzed as an example of a lower-latitude location. The climatologies focus on the UV Index, which was derived from measured solar spectra of global irradiance. For each site and day of year, the average, median, and maximum UV Index at solar noon, as well as 10(th) and 90(th) percentile values, were calculated. Measurements were also compared with pre-ozone-hole UV levels estimated from historical measurements of total ozone. The analysis indicates a large effect of the ozone hole on the UV Index at the three Antarctic sites, and to a lesser extent at Ushuaia. UV Indices measured at South Pole during the ozone hole period (October and November) are 20%-80% larger than measurements at comparable solar elevations during summer months. During October and November, the average UV Index between 1991 and 2006 was 55%-85% larger than the estimate for the years 1963-1980. The UV Index at McMurdo shows a similar asymmetry about the solstice. In October and November, the average UV Index is about 30%-60% higher now than it was historically. The largest UV Index ever measured at Palmer was 14.8. This value exceeds the maximum UV Index of 12.0 observed at San Diego. While the average UV Index at Ushuaia is fairly symmetrical about the solstice, maximum UV Indices as high as 11.5 have occurred in October at times when the ozone hole passed over the city. The annual cycle of UV radiation at Barrow is governed by large seasonal changes of total ozone, albedo, and cloud cover. The UV Index does not exceed 5 due to less severe ozone depletion over the Arctic: changes in UV over the last 30 years are on average less than +/- 8%. A comparison of UV levels at network locations reveals that differences between sites greatly depend upon the selection of the quantity used for the comparison. Average noontime UV Indices at San Diego during summer are considerably larger than noontime UV levels under the ozone hole at all Antarctic sites. The difference diminishes, however, when daily doses are compared because of the effect of 24 hours of sunlight during Antarctic summers. Data analysis further revealed that broken clouds at the South Pole can enhance spectral UV irradiance at 400 nm by up to 30% above the clear-sky value due to multiple reflections between the snow-covered surface and the cloud ceiling.</t>
  </si>
  <si>
    <t>[Bernhard, Germar; Booth, Charles R.; Ehramjian, James C.] Biospher Inc, San Diego, CA USA</t>
  </si>
  <si>
    <t>Bernhard, G (corresponding author), Biospher Inc, 5340 Riley St, San Diego, CA USA.</t>
  </si>
  <si>
    <t>bernhard@biospherical.com; booth@biospherical.com; jime@biospherical.com</t>
  </si>
  <si>
    <t>Bernhard, Germar H/B-4460-2018; Bernhard, Germar/AAZ-7169-2020</t>
  </si>
  <si>
    <t>Bernhard, Germar/0000-0002-1264-0756</t>
  </si>
  <si>
    <t>TSINGHUA UNIVERSITY PRESS</t>
  </si>
  <si>
    <t>TSINGHUA UNIVERSITY HAIDIANQU, BEIJING 100084, PEOPLES R CHINA</t>
  </si>
  <si>
    <t>978-7-302-20360-5</t>
  </si>
  <si>
    <t>10.1007/978-3-642-03313-1_3</t>
  </si>
  <si>
    <t>10.1007/978-3-642-03313-1</t>
  </si>
  <si>
    <t>Ecology; Environmental Sciences; Meteorology &amp; Atmospheric Sciences</t>
  </si>
  <si>
    <t>BOX64</t>
  </si>
  <si>
    <t>WOS:000277962100003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</si>
</sst>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105</v>
      </c>
      <c r="AH2">
        <v>21</v>
      </c>
      <c r="AI2">
        <v>22</v>
      </c>
      <c r="AJ2">
        <v>0</v>
      </c>
      <c r="AK2">
        <v>17</v>
      </c>
      <c r="AL2" t="s">
        <v>91</v>
      </c>
      <c r="AM2" t="s">
        <v>92</v>
      </c>
      <c r="AN2" t="s">
        <v>93</v>
      </c>
      <c r="AO2" t="s">
        <v>94</v>
      </c>
      <c r="AP2" t="s">
        <v>95</v>
      </c>
      <c r="AQ2" t="s">
        <v>74</v>
      </c>
      <c r="AR2" t="s">
        <v>96</v>
      </c>
      <c r="AS2" t="s">
        <v>97</v>
      </c>
      <c r="AT2" t="s">
        <v>98</v>
      </c>
      <c r="AU2">
        <v>2010</v>
      </c>
      <c r="AV2">
        <v>115</v>
      </c>
      <c r="AW2" t="s">
        <v>74</v>
      </c>
      <c r="AX2" t="s">
        <v>74</v>
      </c>
      <c r="AY2" t="s">
        <v>74</v>
      </c>
      <c r="AZ2" t="s">
        <v>74</v>
      </c>
      <c r="BA2" t="s">
        <v>74</v>
      </c>
      <c r="BB2" t="s">
        <v>74</v>
      </c>
      <c r="BC2" t="s">
        <v>74</v>
      </c>
      <c r="BD2" t="s">
        <v>99</v>
      </c>
      <c r="BE2" t="s">
        <v>100</v>
      </c>
      <c r="BF2" t="str">
        <f>HYPERLINK("http://dx.doi.org/10.1029/2008JC005043","http://dx.doi.org/10.1029/2008JC005043")</f>
        <v>http://dx.doi.org/10.1029/2008JC005043</v>
      </c>
      <c r="BG2" t="s">
        <v>74</v>
      </c>
      <c r="BH2" t="s">
        <v>74</v>
      </c>
      <c r="BI2">
        <v>20</v>
      </c>
      <c r="BJ2" t="s">
        <v>101</v>
      </c>
      <c r="BK2" t="s">
        <v>102</v>
      </c>
      <c r="BL2" t="s">
        <v>101</v>
      </c>
      <c r="BM2" t="s">
        <v>103</v>
      </c>
      <c r="BN2" t="s">
        <v>74</v>
      </c>
      <c r="BO2" t="s">
        <v>104</v>
      </c>
      <c r="BP2" t="s">
        <v>74</v>
      </c>
      <c r="BQ2" t="s">
        <v>74</v>
      </c>
      <c r="BR2" t="s">
        <v>105</v>
      </c>
      <c r="BS2" t="s">
        <v>106</v>
      </c>
      <c r="BT2" t="str">
        <f>HYPERLINK("https%3A%2F%2Fwww.webofscience.com%2Fwos%2Fwoscc%2Ffull-record%2FWOS:000276829800001","View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111</v>
      </c>
      <c r="O3" t="s">
        <v>112</v>
      </c>
      <c r="P3" t="s">
        <v>113</v>
      </c>
      <c r="Q3" t="s">
        <v>114</v>
      </c>
      <c r="R3" t="s">
        <v>74</v>
      </c>
      <c r="S3" t="s">
        <v>74</v>
      </c>
      <c r="T3" t="s">
        <v>74</v>
      </c>
      <c r="U3" t="s">
        <v>115</v>
      </c>
      <c r="V3" t="s">
        <v>116</v>
      </c>
      <c r="W3" t="s">
        <v>117</v>
      </c>
      <c r="X3" t="s">
        <v>118</v>
      </c>
      <c r="Y3" t="s">
        <v>119</v>
      </c>
      <c r="Z3" t="s">
        <v>120</v>
      </c>
      <c r="AA3" t="s">
        <v>74</v>
      </c>
      <c r="AB3" t="s">
        <v>74</v>
      </c>
      <c r="AC3" t="s">
        <v>74</v>
      </c>
      <c r="AD3" t="s">
        <v>74</v>
      </c>
      <c r="AE3" t="s">
        <v>74</v>
      </c>
      <c r="AF3" t="s">
        <v>74</v>
      </c>
      <c r="AG3">
        <v>35</v>
      </c>
      <c r="AH3">
        <v>11</v>
      </c>
      <c r="AI3">
        <v>14</v>
      </c>
      <c r="AJ3">
        <v>0</v>
      </c>
      <c r="AK3">
        <v>13</v>
      </c>
      <c r="AL3" t="s">
        <v>121</v>
      </c>
      <c r="AM3" t="s">
        <v>92</v>
      </c>
      <c r="AN3" t="s">
        <v>122</v>
      </c>
      <c r="AO3" t="s">
        <v>123</v>
      </c>
      <c r="AP3" t="s">
        <v>74</v>
      </c>
      <c r="AQ3" t="s">
        <v>74</v>
      </c>
      <c r="AR3" t="s">
        <v>124</v>
      </c>
      <c r="AS3" t="s">
        <v>125</v>
      </c>
      <c r="AT3" t="s">
        <v>98</v>
      </c>
      <c r="AU3">
        <v>2010</v>
      </c>
      <c r="AV3">
        <v>114</v>
      </c>
      <c r="AW3">
        <v>14</v>
      </c>
      <c r="AX3" t="s">
        <v>74</v>
      </c>
      <c r="AY3" t="s">
        <v>74</v>
      </c>
      <c r="AZ3" t="s">
        <v>74</v>
      </c>
      <c r="BA3" t="s">
        <v>74</v>
      </c>
      <c r="BB3">
        <v>4785</v>
      </c>
      <c r="BC3">
        <v>4790</v>
      </c>
      <c r="BD3" t="s">
        <v>74</v>
      </c>
      <c r="BE3" t="s">
        <v>126</v>
      </c>
      <c r="BF3" t="str">
        <f>HYPERLINK("http://dx.doi.org/10.1021/jp909875k","http://dx.doi.org/10.1021/jp909875k")</f>
        <v>http://dx.doi.org/10.1021/jp909875k</v>
      </c>
      <c r="BG3" t="s">
        <v>74</v>
      </c>
      <c r="BH3" t="s">
        <v>74</v>
      </c>
      <c r="BI3">
        <v>6</v>
      </c>
      <c r="BJ3" t="s">
        <v>127</v>
      </c>
      <c r="BK3" t="s">
        <v>128</v>
      </c>
      <c r="BL3" t="s">
        <v>129</v>
      </c>
      <c r="BM3" t="s">
        <v>130</v>
      </c>
      <c r="BN3">
        <v>20041692</v>
      </c>
      <c r="BO3" t="s">
        <v>74</v>
      </c>
      <c r="BP3" t="s">
        <v>74</v>
      </c>
      <c r="BQ3" t="s">
        <v>74</v>
      </c>
      <c r="BR3" t="s">
        <v>105</v>
      </c>
      <c r="BS3" t="s">
        <v>131</v>
      </c>
      <c r="BT3" t="str">
        <f>HYPERLINK("https%3A%2F%2Fwww.webofscience.com%2Fwos%2Fwoscc%2Ffull-record%2FWOS:000276341300013","View Full Record in Web of Science")</f>
        <v>View Full Record in Web of Science</v>
      </c>
    </row>
    <row r="4" spans="1:72" x14ac:dyDescent="0.15">
      <c r="A4" t="s">
        <v>72</v>
      </c>
      <c r="B4" t="s">
        <v>132</v>
      </c>
      <c r="C4" t="s">
        <v>74</v>
      </c>
      <c r="D4" t="s">
        <v>74</v>
      </c>
      <c r="E4" t="s">
        <v>74</v>
      </c>
      <c r="F4" t="s">
        <v>133</v>
      </c>
      <c r="G4" t="s">
        <v>74</v>
      </c>
      <c r="H4" t="s">
        <v>74</v>
      </c>
      <c r="I4" t="s">
        <v>134</v>
      </c>
      <c r="J4" t="s">
        <v>135</v>
      </c>
      <c r="K4" t="s">
        <v>74</v>
      </c>
      <c r="L4" t="s">
        <v>74</v>
      </c>
      <c r="M4" t="s">
        <v>78</v>
      </c>
      <c r="N4" t="s">
        <v>79</v>
      </c>
      <c r="O4" t="s">
        <v>74</v>
      </c>
      <c r="P4" t="s">
        <v>74</v>
      </c>
      <c r="Q4" t="s">
        <v>74</v>
      </c>
      <c r="R4" t="s">
        <v>74</v>
      </c>
      <c r="S4" t="s">
        <v>74</v>
      </c>
      <c r="T4" t="s">
        <v>136</v>
      </c>
      <c r="U4" t="s">
        <v>137</v>
      </c>
      <c r="V4" t="s">
        <v>138</v>
      </c>
      <c r="W4" t="s">
        <v>139</v>
      </c>
      <c r="X4" t="s">
        <v>140</v>
      </c>
      <c r="Y4" t="s">
        <v>141</v>
      </c>
      <c r="Z4" t="s">
        <v>142</v>
      </c>
      <c r="AA4" t="s">
        <v>74</v>
      </c>
      <c r="AB4" t="s">
        <v>143</v>
      </c>
      <c r="AC4" t="s">
        <v>74</v>
      </c>
      <c r="AD4" t="s">
        <v>74</v>
      </c>
      <c r="AE4" t="s">
        <v>74</v>
      </c>
      <c r="AF4" t="s">
        <v>74</v>
      </c>
      <c r="AG4">
        <v>63</v>
      </c>
      <c r="AH4">
        <v>67</v>
      </c>
      <c r="AI4">
        <v>82</v>
      </c>
      <c r="AJ4">
        <v>3</v>
      </c>
      <c r="AK4">
        <v>67</v>
      </c>
      <c r="AL4" t="s">
        <v>144</v>
      </c>
      <c r="AM4" t="s">
        <v>145</v>
      </c>
      <c r="AN4" t="s">
        <v>146</v>
      </c>
      <c r="AO4" t="s">
        <v>147</v>
      </c>
      <c r="AP4" t="s">
        <v>148</v>
      </c>
      <c r="AQ4" t="s">
        <v>74</v>
      </c>
      <c r="AR4" t="s">
        <v>149</v>
      </c>
      <c r="AS4" t="s">
        <v>150</v>
      </c>
      <c r="AT4" t="s">
        <v>98</v>
      </c>
      <c r="AU4">
        <v>2010</v>
      </c>
      <c r="AV4">
        <v>270</v>
      </c>
      <c r="AW4" t="s">
        <v>151</v>
      </c>
      <c r="AX4" t="s">
        <v>74</v>
      </c>
      <c r="AY4" t="s">
        <v>74</v>
      </c>
      <c r="AZ4" t="s">
        <v>152</v>
      </c>
      <c r="BA4" t="s">
        <v>74</v>
      </c>
      <c r="BB4">
        <v>1</v>
      </c>
      <c r="BC4">
        <v>10</v>
      </c>
      <c r="BD4" t="s">
        <v>74</v>
      </c>
      <c r="BE4" t="s">
        <v>153</v>
      </c>
      <c r="BF4" t="str">
        <f>HYPERLINK("http://dx.doi.org/10.1016/j.margeo.2009.12.010","http://dx.doi.org/10.1016/j.margeo.2009.12.010")</f>
        <v>http://dx.doi.org/10.1016/j.margeo.2009.12.010</v>
      </c>
      <c r="BG4" t="s">
        <v>74</v>
      </c>
      <c r="BH4" t="s">
        <v>74</v>
      </c>
      <c r="BI4">
        <v>10</v>
      </c>
      <c r="BJ4" t="s">
        <v>154</v>
      </c>
      <c r="BK4" t="s">
        <v>102</v>
      </c>
      <c r="BL4" t="s">
        <v>155</v>
      </c>
      <c r="BM4" t="s">
        <v>156</v>
      </c>
      <c r="BN4" t="s">
        <v>74</v>
      </c>
      <c r="BO4" t="s">
        <v>74</v>
      </c>
      <c r="BP4" t="s">
        <v>74</v>
      </c>
      <c r="BQ4" t="s">
        <v>74</v>
      </c>
      <c r="BR4" t="s">
        <v>105</v>
      </c>
      <c r="BS4" t="s">
        <v>157</v>
      </c>
      <c r="BT4" t="str">
        <f>HYPERLINK("https%3A%2F%2Fwww.webofscience.com%2Fwos%2Fwoscc%2Ffull-record%2FWOS:000276137100001","View Full Record in Web of Science")</f>
        <v>View Full Record in Web of Science</v>
      </c>
    </row>
    <row r="5" spans="1:72" x14ac:dyDescent="0.15">
      <c r="A5" t="s">
        <v>72</v>
      </c>
      <c r="B5" t="s">
        <v>158</v>
      </c>
      <c r="C5" t="s">
        <v>74</v>
      </c>
      <c r="D5" t="s">
        <v>74</v>
      </c>
      <c r="E5" t="s">
        <v>74</v>
      </c>
      <c r="F5" t="s">
        <v>159</v>
      </c>
      <c r="G5" t="s">
        <v>74</v>
      </c>
      <c r="H5" t="s">
        <v>74</v>
      </c>
      <c r="I5" t="s">
        <v>160</v>
      </c>
      <c r="J5" t="s">
        <v>135</v>
      </c>
      <c r="K5" t="s">
        <v>74</v>
      </c>
      <c r="L5" t="s">
        <v>74</v>
      </c>
      <c r="M5" t="s">
        <v>78</v>
      </c>
      <c r="N5" t="s">
        <v>79</v>
      </c>
      <c r="O5" t="s">
        <v>74</v>
      </c>
      <c r="P5" t="s">
        <v>74</v>
      </c>
      <c r="Q5" t="s">
        <v>74</v>
      </c>
      <c r="R5" t="s">
        <v>74</v>
      </c>
      <c r="S5" t="s">
        <v>74</v>
      </c>
      <c r="T5" t="s">
        <v>161</v>
      </c>
      <c r="U5" t="s">
        <v>162</v>
      </c>
      <c r="V5" t="s">
        <v>163</v>
      </c>
      <c r="W5" t="s">
        <v>164</v>
      </c>
      <c r="X5" t="s">
        <v>165</v>
      </c>
      <c r="Y5" t="s">
        <v>166</v>
      </c>
      <c r="Z5" t="s">
        <v>167</v>
      </c>
      <c r="AA5" t="s">
        <v>168</v>
      </c>
      <c r="AB5" t="s">
        <v>169</v>
      </c>
      <c r="AC5" t="s">
        <v>170</v>
      </c>
      <c r="AD5" t="s">
        <v>171</v>
      </c>
      <c r="AE5" t="s">
        <v>172</v>
      </c>
      <c r="AF5" t="s">
        <v>74</v>
      </c>
      <c r="AG5">
        <v>76</v>
      </c>
      <c r="AH5">
        <v>34</v>
      </c>
      <c r="AI5">
        <v>43</v>
      </c>
      <c r="AJ5">
        <v>1</v>
      </c>
      <c r="AK5">
        <v>25</v>
      </c>
      <c r="AL5" t="s">
        <v>173</v>
      </c>
      <c r="AM5" t="s">
        <v>145</v>
      </c>
      <c r="AN5" t="s">
        <v>174</v>
      </c>
      <c r="AO5" t="s">
        <v>147</v>
      </c>
      <c r="AP5" t="s">
        <v>74</v>
      </c>
      <c r="AQ5" t="s">
        <v>74</v>
      </c>
      <c r="AR5" t="s">
        <v>149</v>
      </c>
      <c r="AS5" t="s">
        <v>150</v>
      </c>
      <c r="AT5" t="s">
        <v>98</v>
      </c>
      <c r="AU5">
        <v>2010</v>
      </c>
      <c r="AV5">
        <v>270</v>
      </c>
      <c r="AW5" t="s">
        <v>151</v>
      </c>
      <c r="AX5" t="s">
        <v>74</v>
      </c>
      <c r="AY5" t="s">
        <v>74</v>
      </c>
      <c r="AZ5" t="s">
        <v>152</v>
      </c>
      <c r="BA5" t="s">
        <v>74</v>
      </c>
      <c r="BB5">
        <v>11</v>
      </c>
      <c r="BC5">
        <v>29</v>
      </c>
      <c r="BD5" t="s">
        <v>74</v>
      </c>
      <c r="BE5" t="s">
        <v>175</v>
      </c>
      <c r="BF5" t="str">
        <f>HYPERLINK("http://dx.doi.org/10.1016/j.margeo.2009.10.022","http://dx.doi.org/10.1016/j.margeo.2009.10.022")</f>
        <v>http://dx.doi.org/10.1016/j.margeo.2009.10.022</v>
      </c>
      <c r="BG5" t="s">
        <v>74</v>
      </c>
      <c r="BH5" t="s">
        <v>74</v>
      </c>
      <c r="BI5">
        <v>19</v>
      </c>
      <c r="BJ5" t="s">
        <v>154</v>
      </c>
      <c r="BK5" t="s">
        <v>102</v>
      </c>
      <c r="BL5" t="s">
        <v>155</v>
      </c>
      <c r="BM5" t="s">
        <v>156</v>
      </c>
      <c r="BN5" t="s">
        <v>74</v>
      </c>
      <c r="BO5" t="s">
        <v>74</v>
      </c>
      <c r="BP5" t="s">
        <v>74</v>
      </c>
      <c r="BQ5" t="s">
        <v>74</v>
      </c>
      <c r="BR5" t="s">
        <v>105</v>
      </c>
      <c r="BS5" t="s">
        <v>176</v>
      </c>
      <c r="BT5" t="str">
        <f>HYPERLINK("https%3A%2F%2Fwww.webofscience.com%2Fwos%2Fwoscc%2Ffull-record%2FWOS:000276137100002","View Full Record in Web of Science")</f>
        <v>View Full Record in Web of Science</v>
      </c>
    </row>
    <row r="6" spans="1:72" x14ac:dyDescent="0.15">
      <c r="A6" t="s">
        <v>72</v>
      </c>
      <c r="B6" t="s">
        <v>177</v>
      </c>
      <c r="C6" t="s">
        <v>74</v>
      </c>
      <c r="D6" t="s">
        <v>74</v>
      </c>
      <c r="E6" t="s">
        <v>74</v>
      </c>
      <c r="F6" t="s">
        <v>178</v>
      </c>
      <c r="G6" t="s">
        <v>74</v>
      </c>
      <c r="H6" t="s">
        <v>74</v>
      </c>
      <c r="I6" t="s">
        <v>179</v>
      </c>
      <c r="J6" t="s">
        <v>135</v>
      </c>
      <c r="K6" t="s">
        <v>74</v>
      </c>
      <c r="L6" t="s">
        <v>74</v>
      </c>
      <c r="M6" t="s">
        <v>78</v>
      </c>
      <c r="N6" t="s">
        <v>79</v>
      </c>
      <c r="O6" t="s">
        <v>74</v>
      </c>
      <c r="P6" t="s">
        <v>74</v>
      </c>
      <c r="Q6" t="s">
        <v>74</v>
      </c>
      <c r="R6" t="s">
        <v>74</v>
      </c>
      <c r="S6" t="s">
        <v>74</v>
      </c>
      <c r="T6" t="s">
        <v>180</v>
      </c>
      <c r="U6" t="s">
        <v>181</v>
      </c>
      <c r="V6" t="s">
        <v>182</v>
      </c>
      <c r="W6" t="s">
        <v>183</v>
      </c>
      <c r="X6" t="s">
        <v>184</v>
      </c>
      <c r="Y6" t="s">
        <v>185</v>
      </c>
      <c r="Z6" t="s">
        <v>186</v>
      </c>
      <c r="AA6" t="s">
        <v>168</v>
      </c>
      <c r="AB6" t="s">
        <v>169</v>
      </c>
      <c r="AC6" t="s">
        <v>187</v>
      </c>
      <c r="AD6" t="s">
        <v>188</v>
      </c>
      <c r="AE6" t="s">
        <v>189</v>
      </c>
      <c r="AF6" t="s">
        <v>74</v>
      </c>
      <c r="AG6">
        <v>92</v>
      </c>
      <c r="AH6">
        <v>52</v>
      </c>
      <c r="AI6">
        <v>62</v>
      </c>
      <c r="AJ6">
        <v>0</v>
      </c>
      <c r="AK6">
        <v>36</v>
      </c>
      <c r="AL6" t="s">
        <v>144</v>
      </c>
      <c r="AM6" t="s">
        <v>145</v>
      </c>
      <c r="AN6" t="s">
        <v>146</v>
      </c>
      <c r="AO6" t="s">
        <v>147</v>
      </c>
      <c r="AP6" t="s">
        <v>148</v>
      </c>
      <c r="AQ6" t="s">
        <v>74</v>
      </c>
      <c r="AR6" t="s">
        <v>149</v>
      </c>
      <c r="AS6" t="s">
        <v>150</v>
      </c>
      <c r="AT6" t="s">
        <v>98</v>
      </c>
      <c r="AU6">
        <v>2010</v>
      </c>
      <c r="AV6">
        <v>270</v>
      </c>
      <c r="AW6" t="s">
        <v>151</v>
      </c>
      <c r="AX6" t="s">
        <v>74</v>
      </c>
      <c r="AY6" t="s">
        <v>74</v>
      </c>
      <c r="AZ6" t="s">
        <v>152</v>
      </c>
      <c r="BA6" t="s">
        <v>74</v>
      </c>
      <c r="BB6">
        <v>30</v>
      </c>
      <c r="BC6">
        <v>44</v>
      </c>
      <c r="BD6" t="s">
        <v>74</v>
      </c>
      <c r="BE6" t="s">
        <v>190</v>
      </c>
      <c r="BF6" t="str">
        <f>HYPERLINK("http://dx.doi.org/10.1016/j.margeo.2009.10.019","http://dx.doi.org/10.1016/j.margeo.2009.10.019")</f>
        <v>http://dx.doi.org/10.1016/j.margeo.2009.10.019</v>
      </c>
      <c r="BG6" t="s">
        <v>74</v>
      </c>
      <c r="BH6" t="s">
        <v>74</v>
      </c>
      <c r="BI6">
        <v>15</v>
      </c>
      <c r="BJ6" t="s">
        <v>154</v>
      </c>
      <c r="BK6" t="s">
        <v>102</v>
      </c>
      <c r="BL6" t="s">
        <v>155</v>
      </c>
      <c r="BM6" t="s">
        <v>156</v>
      </c>
      <c r="BN6" t="s">
        <v>74</v>
      </c>
      <c r="BO6" t="s">
        <v>74</v>
      </c>
      <c r="BP6" t="s">
        <v>74</v>
      </c>
      <c r="BQ6" t="s">
        <v>74</v>
      </c>
      <c r="BR6" t="s">
        <v>105</v>
      </c>
      <c r="BS6" t="s">
        <v>191</v>
      </c>
      <c r="BT6" t="str">
        <f>HYPERLINK("https%3A%2F%2Fwww.webofscience.com%2Fwos%2Fwoscc%2Ffull-record%2FWOS:000276137100003","View Full Record in Web of Science")</f>
        <v>View Full Record in Web of Science</v>
      </c>
    </row>
    <row r="7" spans="1:72" x14ac:dyDescent="0.15">
      <c r="A7" t="s">
        <v>72</v>
      </c>
      <c r="B7" t="s">
        <v>192</v>
      </c>
      <c r="C7" t="s">
        <v>74</v>
      </c>
      <c r="D7" t="s">
        <v>74</v>
      </c>
      <c r="E7" t="s">
        <v>74</v>
      </c>
      <c r="F7" t="s">
        <v>193</v>
      </c>
      <c r="G7" t="s">
        <v>74</v>
      </c>
      <c r="H7" t="s">
        <v>74</v>
      </c>
      <c r="I7" t="s">
        <v>194</v>
      </c>
      <c r="J7" t="s">
        <v>135</v>
      </c>
      <c r="K7" t="s">
        <v>74</v>
      </c>
      <c r="L7" t="s">
        <v>74</v>
      </c>
      <c r="M7" t="s">
        <v>78</v>
      </c>
      <c r="N7" t="s">
        <v>79</v>
      </c>
      <c r="O7" t="s">
        <v>74</v>
      </c>
      <c r="P7" t="s">
        <v>74</v>
      </c>
      <c r="Q7" t="s">
        <v>74</v>
      </c>
      <c r="R7" t="s">
        <v>74</v>
      </c>
      <c r="S7" t="s">
        <v>74</v>
      </c>
      <c r="T7" t="s">
        <v>195</v>
      </c>
      <c r="U7" t="s">
        <v>196</v>
      </c>
      <c r="V7" t="s">
        <v>197</v>
      </c>
      <c r="W7" t="s">
        <v>198</v>
      </c>
      <c r="X7" t="s">
        <v>199</v>
      </c>
      <c r="Y7" t="s">
        <v>200</v>
      </c>
      <c r="Z7" t="s">
        <v>201</v>
      </c>
      <c r="AA7" t="s">
        <v>74</v>
      </c>
      <c r="AB7" t="s">
        <v>202</v>
      </c>
      <c r="AC7" t="s">
        <v>203</v>
      </c>
      <c r="AD7" t="s">
        <v>204</v>
      </c>
      <c r="AE7" t="s">
        <v>205</v>
      </c>
      <c r="AF7" t="s">
        <v>74</v>
      </c>
      <c r="AG7">
        <v>76</v>
      </c>
      <c r="AH7">
        <v>25</v>
      </c>
      <c r="AI7">
        <v>31</v>
      </c>
      <c r="AJ7">
        <v>0</v>
      </c>
      <c r="AK7">
        <v>7</v>
      </c>
      <c r="AL7" t="s">
        <v>144</v>
      </c>
      <c r="AM7" t="s">
        <v>145</v>
      </c>
      <c r="AN7" t="s">
        <v>146</v>
      </c>
      <c r="AO7" t="s">
        <v>147</v>
      </c>
      <c r="AP7" t="s">
        <v>148</v>
      </c>
      <c r="AQ7" t="s">
        <v>74</v>
      </c>
      <c r="AR7" t="s">
        <v>149</v>
      </c>
      <c r="AS7" t="s">
        <v>150</v>
      </c>
      <c r="AT7" t="s">
        <v>98</v>
      </c>
      <c r="AU7">
        <v>2010</v>
      </c>
      <c r="AV7">
        <v>270</v>
      </c>
      <c r="AW7" t="s">
        <v>151</v>
      </c>
      <c r="AX7" t="s">
        <v>74</v>
      </c>
      <c r="AY7" t="s">
        <v>74</v>
      </c>
      <c r="AZ7" t="s">
        <v>152</v>
      </c>
      <c r="BA7" t="s">
        <v>74</v>
      </c>
      <c r="BB7">
        <v>188</v>
      </c>
      <c r="BC7">
        <v>201</v>
      </c>
      <c r="BD7" t="s">
        <v>74</v>
      </c>
      <c r="BE7" t="s">
        <v>206</v>
      </c>
      <c r="BF7" t="str">
        <f>HYPERLINK("http://dx.doi.org/10.1016/j.margeo.2008.12.003","http://dx.doi.org/10.1016/j.margeo.2008.12.003")</f>
        <v>http://dx.doi.org/10.1016/j.margeo.2008.12.003</v>
      </c>
      <c r="BG7" t="s">
        <v>74</v>
      </c>
      <c r="BH7" t="s">
        <v>74</v>
      </c>
      <c r="BI7">
        <v>14</v>
      </c>
      <c r="BJ7" t="s">
        <v>154</v>
      </c>
      <c r="BK7" t="s">
        <v>102</v>
      </c>
      <c r="BL7" t="s">
        <v>155</v>
      </c>
      <c r="BM7" t="s">
        <v>156</v>
      </c>
      <c r="BN7" t="s">
        <v>74</v>
      </c>
      <c r="BO7" t="s">
        <v>74</v>
      </c>
      <c r="BP7" t="s">
        <v>74</v>
      </c>
      <c r="BQ7" t="s">
        <v>74</v>
      </c>
      <c r="BR7" t="s">
        <v>105</v>
      </c>
      <c r="BS7" t="s">
        <v>207</v>
      </c>
      <c r="BT7" t="str">
        <f>HYPERLINK("https%3A%2F%2Fwww.webofscience.com%2Fwos%2Fwoscc%2Ffull-record%2FWOS:000276137100014","View Full Record in Web of Science")</f>
        <v>View Full Record in Web of Science</v>
      </c>
    </row>
    <row r="8" spans="1:72" x14ac:dyDescent="0.15">
      <c r="A8" t="s">
        <v>72</v>
      </c>
      <c r="B8" t="s">
        <v>208</v>
      </c>
      <c r="C8" t="s">
        <v>74</v>
      </c>
      <c r="D8" t="s">
        <v>74</v>
      </c>
      <c r="E8" t="s">
        <v>74</v>
      </c>
      <c r="F8" t="s">
        <v>209</v>
      </c>
      <c r="G8" t="s">
        <v>74</v>
      </c>
      <c r="H8" t="s">
        <v>74</v>
      </c>
      <c r="I8" t="s">
        <v>210</v>
      </c>
      <c r="J8" t="s">
        <v>211</v>
      </c>
      <c r="K8" t="s">
        <v>74</v>
      </c>
      <c r="L8" t="s">
        <v>74</v>
      </c>
      <c r="M8" t="s">
        <v>78</v>
      </c>
      <c r="N8" t="s">
        <v>79</v>
      </c>
      <c r="O8" t="s">
        <v>74</v>
      </c>
      <c r="P8" t="s">
        <v>74</v>
      </c>
      <c r="Q8" t="s">
        <v>74</v>
      </c>
      <c r="R8" t="s">
        <v>74</v>
      </c>
      <c r="S8" t="s">
        <v>74</v>
      </c>
      <c r="T8" t="s">
        <v>212</v>
      </c>
      <c r="U8" t="s">
        <v>213</v>
      </c>
      <c r="V8" t="s">
        <v>214</v>
      </c>
      <c r="W8" t="s">
        <v>215</v>
      </c>
      <c r="X8" t="s">
        <v>216</v>
      </c>
      <c r="Y8" t="s">
        <v>217</v>
      </c>
      <c r="Z8" t="s">
        <v>218</v>
      </c>
      <c r="AA8" t="s">
        <v>219</v>
      </c>
      <c r="AB8" t="s">
        <v>220</v>
      </c>
      <c r="AC8" t="s">
        <v>221</v>
      </c>
      <c r="AD8" t="s">
        <v>222</v>
      </c>
      <c r="AE8" t="s">
        <v>223</v>
      </c>
      <c r="AF8" t="s">
        <v>74</v>
      </c>
      <c r="AG8">
        <v>25</v>
      </c>
      <c r="AH8">
        <v>43</v>
      </c>
      <c r="AI8">
        <v>62</v>
      </c>
      <c r="AJ8">
        <v>3</v>
      </c>
      <c r="AK8">
        <v>24</v>
      </c>
      <c r="AL8" t="s">
        <v>224</v>
      </c>
      <c r="AM8" t="s">
        <v>225</v>
      </c>
      <c r="AN8" t="s">
        <v>226</v>
      </c>
      <c r="AO8" t="s">
        <v>227</v>
      </c>
      <c r="AP8" t="s">
        <v>228</v>
      </c>
      <c r="AQ8" t="s">
        <v>74</v>
      </c>
      <c r="AR8" t="s">
        <v>229</v>
      </c>
      <c r="AS8" t="s">
        <v>230</v>
      </c>
      <c r="AT8" t="s">
        <v>98</v>
      </c>
      <c r="AU8">
        <v>2010</v>
      </c>
      <c r="AV8">
        <v>114</v>
      </c>
      <c r="AW8">
        <v>4</v>
      </c>
      <c r="AX8" t="s">
        <v>74</v>
      </c>
      <c r="AY8" t="s">
        <v>74</v>
      </c>
      <c r="AZ8" t="s">
        <v>74</v>
      </c>
      <c r="BA8" t="s">
        <v>74</v>
      </c>
      <c r="BB8">
        <v>693</v>
      </c>
      <c r="BC8">
        <v>699</v>
      </c>
      <c r="BD8" t="s">
        <v>74</v>
      </c>
      <c r="BE8" t="s">
        <v>231</v>
      </c>
      <c r="BF8" t="str">
        <f>HYPERLINK("http://dx.doi.org/10.1016/j.rse.2009.11.009","http://dx.doi.org/10.1016/j.rse.2009.11.009")</f>
        <v>http://dx.doi.org/10.1016/j.rse.2009.11.009</v>
      </c>
      <c r="BG8" t="s">
        <v>74</v>
      </c>
      <c r="BH8" t="s">
        <v>74</v>
      </c>
      <c r="BI8">
        <v>7</v>
      </c>
      <c r="BJ8" t="s">
        <v>232</v>
      </c>
      <c r="BK8" t="s">
        <v>102</v>
      </c>
      <c r="BL8" t="s">
        <v>233</v>
      </c>
      <c r="BM8" t="s">
        <v>234</v>
      </c>
      <c r="BN8" t="s">
        <v>74</v>
      </c>
      <c r="BO8" t="s">
        <v>74</v>
      </c>
      <c r="BP8" t="s">
        <v>74</v>
      </c>
      <c r="BQ8" t="s">
        <v>74</v>
      </c>
      <c r="BR8" t="s">
        <v>105</v>
      </c>
      <c r="BS8" t="s">
        <v>235</v>
      </c>
      <c r="BT8" t="str">
        <f>HYPERLINK("https%3A%2F%2Fwww.webofscience.com%2Fwos%2Fwoscc%2Ffull-record%2FWOS:000274982700001","View Full Record in Web of Science")</f>
        <v>View Full Record in Web of Science</v>
      </c>
    </row>
    <row r="9" spans="1:72" x14ac:dyDescent="0.15">
      <c r="A9" t="s">
        <v>72</v>
      </c>
      <c r="B9" t="s">
        <v>236</v>
      </c>
      <c r="C9" t="s">
        <v>74</v>
      </c>
      <c r="D9" t="s">
        <v>74</v>
      </c>
      <c r="E9" t="s">
        <v>74</v>
      </c>
      <c r="F9" t="s">
        <v>237</v>
      </c>
      <c r="G9" t="s">
        <v>74</v>
      </c>
      <c r="H9" t="s">
        <v>74</v>
      </c>
      <c r="I9" t="s">
        <v>238</v>
      </c>
      <c r="J9" t="s">
        <v>239</v>
      </c>
      <c r="K9" t="s">
        <v>74</v>
      </c>
      <c r="L9" t="s">
        <v>74</v>
      </c>
      <c r="M9" t="s">
        <v>78</v>
      </c>
      <c r="N9" t="s">
        <v>79</v>
      </c>
      <c r="O9" t="s">
        <v>74</v>
      </c>
      <c r="P9" t="s">
        <v>74</v>
      </c>
      <c r="Q9" t="s">
        <v>74</v>
      </c>
      <c r="R9" t="s">
        <v>74</v>
      </c>
      <c r="S9" t="s">
        <v>74</v>
      </c>
      <c r="T9" t="s">
        <v>74</v>
      </c>
      <c r="U9" t="s">
        <v>240</v>
      </c>
      <c r="V9" t="s">
        <v>241</v>
      </c>
      <c r="W9" t="s">
        <v>242</v>
      </c>
      <c r="X9" t="s">
        <v>243</v>
      </c>
      <c r="Y9" t="s">
        <v>244</v>
      </c>
      <c r="Z9" t="s">
        <v>245</v>
      </c>
      <c r="AA9" t="s">
        <v>246</v>
      </c>
      <c r="AB9" t="s">
        <v>247</v>
      </c>
      <c r="AC9" t="s">
        <v>248</v>
      </c>
      <c r="AD9" t="s">
        <v>249</v>
      </c>
      <c r="AE9" t="s">
        <v>250</v>
      </c>
      <c r="AF9" t="s">
        <v>74</v>
      </c>
      <c r="AG9">
        <v>30</v>
      </c>
      <c r="AH9">
        <v>24</v>
      </c>
      <c r="AI9">
        <v>26</v>
      </c>
      <c r="AJ9">
        <v>2</v>
      </c>
      <c r="AK9">
        <v>8</v>
      </c>
      <c r="AL9" t="s">
        <v>91</v>
      </c>
      <c r="AM9" t="s">
        <v>92</v>
      </c>
      <c r="AN9" t="s">
        <v>93</v>
      </c>
      <c r="AO9" t="s">
        <v>251</v>
      </c>
      <c r="AP9" t="s">
        <v>252</v>
      </c>
      <c r="AQ9" t="s">
        <v>74</v>
      </c>
      <c r="AR9" t="s">
        <v>253</v>
      </c>
      <c r="AS9" t="s">
        <v>254</v>
      </c>
      <c r="AT9" t="s">
        <v>255</v>
      </c>
      <c r="AU9">
        <v>2010</v>
      </c>
      <c r="AV9">
        <v>115</v>
      </c>
      <c r="AW9" t="s">
        <v>74</v>
      </c>
      <c r="AX9" t="s">
        <v>74</v>
      </c>
      <c r="AY9" t="s">
        <v>74</v>
      </c>
      <c r="AZ9" t="s">
        <v>74</v>
      </c>
      <c r="BA9" t="s">
        <v>74</v>
      </c>
      <c r="BB9" t="s">
        <v>74</v>
      </c>
      <c r="BC9" t="s">
        <v>74</v>
      </c>
      <c r="BD9" t="s">
        <v>256</v>
      </c>
      <c r="BE9" t="s">
        <v>257</v>
      </c>
      <c r="BF9" t="str">
        <f>HYPERLINK("http://dx.doi.org/10.1029/2009JD012788","http://dx.doi.org/10.1029/2009JD012788")</f>
        <v>http://dx.doi.org/10.1029/2009JD012788</v>
      </c>
      <c r="BG9" t="s">
        <v>74</v>
      </c>
      <c r="BH9" t="s">
        <v>74</v>
      </c>
      <c r="BI9">
        <v>13</v>
      </c>
      <c r="BJ9" t="s">
        <v>258</v>
      </c>
      <c r="BK9" t="s">
        <v>102</v>
      </c>
      <c r="BL9" t="s">
        <v>258</v>
      </c>
      <c r="BM9" t="s">
        <v>259</v>
      </c>
      <c r="BN9" t="s">
        <v>74</v>
      </c>
      <c r="BO9" t="s">
        <v>260</v>
      </c>
      <c r="BP9" t="s">
        <v>74</v>
      </c>
      <c r="BQ9" t="s">
        <v>74</v>
      </c>
      <c r="BR9" t="s">
        <v>105</v>
      </c>
      <c r="BS9" t="s">
        <v>261</v>
      </c>
      <c r="BT9" t="str">
        <f>HYPERLINK("https%3A%2F%2Fwww.webofscience.com%2Fwos%2Fwoscc%2Ffull-record%2FWOS:000276827000002","View Full Record in Web of Science")</f>
        <v>View Full Record in Web of Science</v>
      </c>
    </row>
    <row r="10" spans="1:72" x14ac:dyDescent="0.15">
      <c r="A10" t="s">
        <v>72</v>
      </c>
      <c r="B10" t="s">
        <v>262</v>
      </c>
      <c r="C10" t="s">
        <v>74</v>
      </c>
      <c r="D10" t="s">
        <v>74</v>
      </c>
      <c r="E10" t="s">
        <v>74</v>
      </c>
      <c r="F10" t="s">
        <v>263</v>
      </c>
      <c r="G10" t="s">
        <v>74</v>
      </c>
      <c r="H10" t="s">
        <v>74</v>
      </c>
      <c r="I10" t="s">
        <v>264</v>
      </c>
      <c r="J10" t="s">
        <v>265</v>
      </c>
      <c r="K10" t="s">
        <v>74</v>
      </c>
      <c r="L10" t="s">
        <v>74</v>
      </c>
      <c r="M10" t="s">
        <v>78</v>
      </c>
      <c r="N10" t="s">
        <v>79</v>
      </c>
      <c r="O10" t="s">
        <v>74</v>
      </c>
      <c r="P10" t="s">
        <v>74</v>
      </c>
      <c r="Q10" t="s">
        <v>74</v>
      </c>
      <c r="R10" t="s">
        <v>74</v>
      </c>
      <c r="S10" t="s">
        <v>74</v>
      </c>
      <c r="T10" t="s">
        <v>266</v>
      </c>
      <c r="U10" t="s">
        <v>74</v>
      </c>
      <c r="V10" t="s">
        <v>267</v>
      </c>
      <c r="W10" t="s">
        <v>268</v>
      </c>
      <c r="X10" t="s">
        <v>269</v>
      </c>
      <c r="Y10" t="s">
        <v>270</v>
      </c>
      <c r="Z10" t="s">
        <v>271</v>
      </c>
      <c r="AA10" t="s">
        <v>74</v>
      </c>
      <c r="AB10" t="s">
        <v>74</v>
      </c>
      <c r="AC10" t="s">
        <v>272</v>
      </c>
      <c r="AD10" t="s">
        <v>273</v>
      </c>
      <c r="AE10" t="s">
        <v>274</v>
      </c>
      <c r="AF10" t="s">
        <v>74</v>
      </c>
      <c r="AG10">
        <v>48</v>
      </c>
      <c r="AH10">
        <v>2</v>
      </c>
      <c r="AI10">
        <v>2</v>
      </c>
      <c r="AJ10">
        <v>0</v>
      </c>
      <c r="AK10">
        <v>1</v>
      </c>
      <c r="AL10" t="s">
        <v>275</v>
      </c>
      <c r="AM10" t="s">
        <v>276</v>
      </c>
      <c r="AN10" t="s">
        <v>277</v>
      </c>
      <c r="AO10" t="s">
        <v>278</v>
      </c>
      <c r="AP10" t="s">
        <v>279</v>
      </c>
      <c r="AQ10" t="s">
        <v>74</v>
      </c>
      <c r="AR10" t="s">
        <v>265</v>
      </c>
      <c r="AS10" t="s">
        <v>280</v>
      </c>
      <c r="AT10" t="s">
        <v>255</v>
      </c>
      <c r="AU10">
        <v>2010</v>
      </c>
      <c r="AV10" t="s">
        <v>74</v>
      </c>
      <c r="AW10">
        <v>2426</v>
      </c>
      <c r="AX10" t="s">
        <v>74</v>
      </c>
      <c r="AY10" t="s">
        <v>74</v>
      </c>
      <c r="AZ10" t="s">
        <v>74</v>
      </c>
      <c r="BA10" t="s">
        <v>74</v>
      </c>
      <c r="BB10">
        <v>43</v>
      </c>
      <c r="BC10">
        <v>53</v>
      </c>
      <c r="BD10" t="s">
        <v>74</v>
      </c>
      <c r="BE10" t="s">
        <v>74</v>
      </c>
      <c r="BF10" t="s">
        <v>74</v>
      </c>
      <c r="BG10" t="s">
        <v>74</v>
      </c>
      <c r="BH10" t="s">
        <v>74</v>
      </c>
      <c r="BI10">
        <v>11</v>
      </c>
      <c r="BJ10" t="s">
        <v>281</v>
      </c>
      <c r="BK10" t="s">
        <v>102</v>
      </c>
      <c r="BL10" t="s">
        <v>281</v>
      </c>
      <c r="BM10" t="s">
        <v>282</v>
      </c>
      <c r="BN10" t="s">
        <v>74</v>
      </c>
      <c r="BO10" t="s">
        <v>74</v>
      </c>
      <c r="BP10" t="s">
        <v>74</v>
      </c>
      <c r="BQ10" t="s">
        <v>74</v>
      </c>
      <c r="BR10" t="s">
        <v>105</v>
      </c>
      <c r="BS10" t="s">
        <v>283</v>
      </c>
      <c r="BT10" t="str">
        <f>HYPERLINK("https%3A%2F%2Fwww.webofscience.com%2Fwos%2Fwoscc%2Ffull-record%2FWOS:000276645300002","View Full Record in Web of Science")</f>
        <v>View Full Record in Web of Science</v>
      </c>
    </row>
    <row r="11" spans="1:72" x14ac:dyDescent="0.15">
      <c r="A11" t="s">
        <v>72</v>
      </c>
      <c r="B11" t="s">
        <v>284</v>
      </c>
      <c r="C11" t="s">
        <v>74</v>
      </c>
      <c r="D11" t="s">
        <v>74</v>
      </c>
      <c r="E11" t="s">
        <v>74</v>
      </c>
      <c r="F11" t="s">
        <v>285</v>
      </c>
      <c r="G11" t="s">
        <v>74</v>
      </c>
      <c r="H11" t="s">
        <v>74</v>
      </c>
      <c r="I11" t="s">
        <v>286</v>
      </c>
      <c r="J11" t="s">
        <v>239</v>
      </c>
      <c r="K11" t="s">
        <v>74</v>
      </c>
      <c r="L11" t="s">
        <v>74</v>
      </c>
      <c r="M11" t="s">
        <v>78</v>
      </c>
      <c r="N11" t="s">
        <v>79</v>
      </c>
      <c r="O11" t="s">
        <v>74</v>
      </c>
      <c r="P11" t="s">
        <v>74</v>
      </c>
      <c r="Q11" t="s">
        <v>74</v>
      </c>
      <c r="R11" t="s">
        <v>74</v>
      </c>
      <c r="S11" t="s">
        <v>74</v>
      </c>
      <c r="T11" t="s">
        <v>74</v>
      </c>
      <c r="U11" t="s">
        <v>287</v>
      </c>
      <c r="V11" t="s">
        <v>288</v>
      </c>
      <c r="W11" t="s">
        <v>289</v>
      </c>
      <c r="X11" t="s">
        <v>290</v>
      </c>
      <c r="Y11" t="s">
        <v>291</v>
      </c>
      <c r="Z11" t="s">
        <v>292</v>
      </c>
      <c r="AA11" t="s">
        <v>293</v>
      </c>
      <c r="AB11" t="s">
        <v>294</v>
      </c>
      <c r="AC11" t="s">
        <v>295</v>
      </c>
      <c r="AD11" t="s">
        <v>296</v>
      </c>
      <c r="AE11" t="s">
        <v>297</v>
      </c>
      <c r="AF11" t="s">
        <v>74</v>
      </c>
      <c r="AG11">
        <v>56</v>
      </c>
      <c r="AH11">
        <v>27</v>
      </c>
      <c r="AI11">
        <v>28</v>
      </c>
      <c r="AJ11">
        <v>0</v>
      </c>
      <c r="AK11">
        <v>18</v>
      </c>
      <c r="AL11" t="s">
        <v>91</v>
      </c>
      <c r="AM11" t="s">
        <v>92</v>
      </c>
      <c r="AN11" t="s">
        <v>93</v>
      </c>
      <c r="AO11" t="s">
        <v>251</v>
      </c>
      <c r="AP11" t="s">
        <v>74</v>
      </c>
      <c r="AQ11" t="s">
        <v>74</v>
      </c>
      <c r="AR11" t="s">
        <v>253</v>
      </c>
      <c r="AS11" t="s">
        <v>254</v>
      </c>
      <c r="AT11" t="s">
        <v>298</v>
      </c>
      <c r="AU11">
        <v>2010</v>
      </c>
      <c r="AV11">
        <v>115</v>
      </c>
      <c r="AW11" t="s">
        <v>74</v>
      </c>
      <c r="AX11" t="s">
        <v>74</v>
      </c>
      <c r="AY11" t="s">
        <v>74</v>
      </c>
      <c r="AZ11" t="s">
        <v>74</v>
      </c>
      <c r="BA11" t="s">
        <v>74</v>
      </c>
      <c r="BB11" t="s">
        <v>74</v>
      </c>
      <c r="BC11" t="s">
        <v>74</v>
      </c>
      <c r="BD11" t="s">
        <v>299</v>
      </c>
      <c r="BE11" t="s">
        <v>300</v>
      </c>
      <c r="BF11" t="str">
        <f>HYPERLINK("http://dx.doi.org/10.1029/2009JD012605","http://dx.doi.org/10.1029/2009JD012605")</f>
        <v>http://dx.doi.org/10.1029/2009JD012605</v>
      </c>
      <c r="BG11" t="s">
        <v>74</v>
      </c>
      <c r="BH11" t="s">
        <v>74</v>
      </c>
      <c r="BI11">
        <v>18</v>
      </c>
      <c r="BJ11" t="s">
        <v>258</v>
      </c>
      <c r="BK11" t="s">
        <v>102</v>
      </c>
      <c r="BL11" t="s">
        <v>258</v>
      </c>
      <c r="BM11" t="s">
        <v>301</v>
      </c>
      <c r="BN11" t="s">
        <v>74</v>
      </c>
      <c r="BO11" t="s">
        <v>260</v>
      </c>
      <c r="BP11" t="s">
        <v>74</v>
      </c>
      <c r="BQ11" t="s">
        <v>74</v>
      </c>
      <c r="BR11" t="s">
        <v>105</v>
      </c>
      <c r="BS11" t="s">
        <v>302</v>
      </c>
      <c r="BT11" t="str">
        <f>HYPERLINK("https%3A%2F%2Fwww.webofscience.com%2Fwos%2Fwoscc%2Ffull-record%2FWOS:000276826900004","View Full Record in Web of Science")</f>
        <v>View Full Record in Web of Science</v>
      </c>
    </row>
    <row r="12" spans="1:72" x14ac:dyDescent="0.15">
      <c r="A12" t="s">
        <v>72</v>
      </c>
      <c r="B12" t="s">
        <v>303</v>
      </c>
      <c r="C12" t="s">
        <v>74</v>
      </c>
      <c r="D12" t="s">
        <v>74</v>
      </c>
      <c r="E12" t="s">
        <v>74</v>
      </c>
      <c r="F12" t="s">
        <v>304</v>
      </c>
      <c r="G12" t="s">
        <v>74</v>
      </c>
      <c r="H12" t="s">
        <v>74</v>
      </c>
      <c r="I12" t="s">
        <v>305</v>
      </c>
      <c r="J12" t="s">
        <v>306</v>
      </c>
      <c r="K12" t="s">
        <v>74</v>
      </c>
      <c r="L12" t="s">
        <v>74</v>
      </c>
      <c r="M12" t="s">
        <v>78</v>
      </c>
      <c r="N12" t="s">
        <v>79</v>
      </c>
      <c r="O12" t="s">
        <v>74</v>
      </c>
      <c r="P12" t="s">
        <v>74</v>
      </c>
      <c r="Q12" t="s">
        <v>74</v>
      </c>
      <c r="R12" t="s">
        <v>74</v>
      </c>
      <c r="S12" t="s">
        <v>74</v>
      </c>
      <c r="T12" t="s">
        <v>74</v>
      </c>
      <c r="U12" t="s">
        <v>307</v>
      </c>
      <c r="V12" t="s">
        <v>308</v>
      </c>
      <c r="W12" t="s">
        <v>309</v>
      </c>
      <c r="X12" t="s">
        <v>310</v>
      </c>
      <c r="Y12" t="s">
        <v>311</v>
      </c>
      <c r="Z12" t="s">
        <v>312</v>
      </c>
      <c r="AA12" t="s">
        <v>313</v>
      </c>
      <c r="AB12" t="s">
        <v>74</v>
      </c>
      <c r="AC12" t="s">
        <v>314</v>
      </c>
      <c r="AD12" t="s">
        <v>315</v>
      </c>
      <c r="AE12" t="s">
        <v>316</v>
      </c>
      <c r="AF12" t="s">
        <v>74</v>
      </c>
      <c r="AG12">
        <v>16</v>
      </c>
      <c r="AH12">
        <v>9</v>
      </c>
      <c r="AI12">
        <v>10</v>
      </c>
      <c r="AJ12">
        <v>0</v>
      </c>
      <c r="AK12">
        <v>7</v>
      </c>
      <c r="AL12" t="s">
        <v>317</v>
      </c>
      <c r="AM12" t="s">
        <v>92</v>
      </c>
      <c r="AN12" t="s">
        <v>318</v>
      </c>
      <c r="AO12" t="s">
        <v>319</v>
      </c>
      <c r="AP12" t="s">
        <v>74</v>
      </c>
      <c r="AQ12" t="s">
        <v>74</v>
      </c>
      <c r="AR12" t="s">
        <v>320</v>
      </c>
      <c r="AS12" t="s">
        <v>321</v>
      </c>
      <c r="AT12" t="s">
        <v>298</v>
      </c>
      <c r="AU12">
        <v>2010</v>
      </c>
      <c r="AV12">
        <v>107</v>
      </c>
      <c r="AW12">
        <v>15</v>
      </c>
      <c r="AX12" t="s">
        <v>74</v>
      </c>
      <c r="AY12" t="s">
        <v>74</v>
      </c>
      <c r="AZ12" t="s">
        <v>74</v>
      </c>
      <c r="BA12" t="s">
        <v>74</v>
      </c>
      <c r="BB12">
        <v>6588</v>
      </c>
      <c r="BC12">
        <v>6593</v>
      </c>
      <c r="BD12" t="s">
        <v>74</v>
      </c>
      <c r="BE12" t="s">
        <v>322</v>
      </c>
      <c r="BF12" t="str">
        <f>HYPERLINK("http://dx.doi.org/10.1073/pnas.0912659107","http://dx.doi.org/10.1073/pnas.0912659107")</f>
        <v>http://dx.doi.org/10.1073/pnas.0912659107</v>
      </c>
      <c r="BG12" t="s">
        <v>74</v>
      </c>
      <c r="BH12" t="s">
        <v>74</v>
      </c>
      <c r="BI12">
        <v>6</v>
      </c>
      <c r="BJ12" t="s">
        <v>323</v>
      </c>
      <c r="BK12" t="s">
        <v>102</v>
      </c>
      <c r="BL12" t="s">
        <v>324</v>
      </c>
      <c r="BM12" t="s">
        <v>325</v>
      </c>
      <c r="BN12">
        <v>20388911</v>
      </c>
      <c r="BO12" t="s">
        <v>326</v>
      </c>
      <c r="BP12" t="s">
        <v>74</v>
      </c>
      <c r="BQ12" t="s">
        <v>74</v>
      </c>
      <c r="BR12" t="s">
        <v>105</v>
      </c>
      <c r="BS12" t="s">
        <v>327</v>
      </c>
      <c r="BT12" t="str">
        <f>HYPERLINK("https%3A%2F%2Fwww.webofscience.com%2Fwos%2Fwoscc%2Ffull-record%2FWOS:000276642100008","View Full Record in Web of Science")</f>
        <v>View Full Record in Web of Science</v>
      </c>
    </row>
    <row r="13" spans="1:72" x14ac:dyDescent="0.15">
      <c r="A13" t="s">
        <v>72</v>
      </c>
      <c r="B13" t="s">
        <v>328</v>
      </c>
      <c r="C13" t="s">
        <v>74</v>
      </c>
      <c r="D13" t="s">
        <v>74</v>
      </c>
      <c r="E13" t="s">
        <v>74</v>
      </c>
      <c r="F13" t="s">
        <v>329</v>
      </c>
      <c r="G13" t="s">
        <v>74</v>
      </c>
      <c r="H13" t="s">
        <v>74</v>
      </c>
      <c r="I13" t="s">
        <v>330</v>
      </c>
      <c r="J13" t="s">
        <v>77</v>
      </c>
      <c r="K13" t="s">
        <v>74</v>
      </c>
      <c r="L13" t="s">
        <v>74</v>
      </c>
      <c r="M13" t="s">
        <v>78</v>
      </c>
      <c r="N13" t="s">
        <v>79</v>
      </c>
      <c r="O13" t="s">
        <v>74</v>
      </c>
      <c r="P13" t="s">
        <v>74</v>
      </c>
      <c r="Q13" t="s">
        <v>74</v>
      </c>
      <c r="R13" t="s">
        <v>74</v>
      </c>
      <c r="S13" t="s">
        <v>74</v>
      </c>
      <c r="T13" t="s">
        <v>74</v>
      </c>
      <c r="U13" t="s">
        <v>331</v>
      </c>
      <c r="V13" t="s">
        <v>332</v>
      </c>
      <c r="W13" t="s">
        <v>333</v>
      </c>
      <c r="X13" t="s">
        <v>334</v>
      </c>
      <c r="Y13" t="s">
        <v>335</v>
      </c>
      <c r="Z13" t="s">
        <v>336</v>
      </c>
      <c r="AA13" t="s">
        <v>337</v>
      </c>
      <c r="AB13" t="s">
        <v>338</v>
      </c>
      <c r="AC13" t="s">
        <v>339</v>
      </c>
      <c r="AD13" t="s">
        <v>340</v>
      </c>
      <c r="AE13" t="s">
        <v>341</v>
      </c>
      <c r="AF13" t="s">
        <v>74</v>
      </c>
      <c r="AG13">
        <v>36</v>
      </c>
      <c r="AH13">
        <v>10</v>
      </c>
      <c r="AI13">
        <v>11</v>
      </c>
      <c r="AJ13">
        <v>1</v>
      </c>
      <c r="AK13">
        <v>6</v>
      </c>
      <c r="AL13" t="s">
        <v>91</v>
      </c>
      <c r="AM13" t="s">
        <v>92</v>
      </c>
      <c r="AN13" t="s">
        <v>93</v>
      </c>
      <c r="AO13" t="s">
        <v>94</v>
      </c>
      <c r="AP13" t="s">
        <v>95</v>
      </c>
      <c r="AQ13" t="s">
        <v>74</v>
      </c>
      <c r="AR13" t="s">
        <v>96</v>
      </c>
      <c r="AS13" t="s">
        <v>97</v>
      </c>
      <c r="AT13" t="s">
        <v>342</v>
      </c>
      <c r="AU13">
        <v>2010</v>
      </c>
      <c r="AV13">
        <v>115</v>
      </c>
      <c r="AW13" t="s">
        <v>74</v>
      </c>
      <c r="AX13" t="s">
        <v>74</v>
      </c>
      <c r="AY13" t="s">
        <v>74</v>
      </c>
      <c r="AZ13" t="s">
        <v>74</v>
      </c>
      <c r="BA13" t="s">
        <v>74</v>
      </c>
      <c r="BB13" t="s">
        <v>74</v>
      </c>
      <c r="BC13" t="s">
        <v>74</v>
      </c>
      <c r="BD13" t="s">
        <v>343</v>
      </c>
      <c r="BE13" t="s">
        <v>344</v>
      </c>
      <c r="BF13" t="str">
        <f>HYPERLINK("http://dx.doi.org/10.1029/2008JC005103","http://dx.doi.org/10.1029/2008JC005103")</f>
        <v>http://dx.doi.org/10.1029/2008JC005103</v>
      </c>
      <c r="BG13" t="s">
        <v>74</v>
      </c>
      <c r="BH13" t="s">
        <v>74</v>
      </c>
      <c r="BI13">
        <v>14</v>
      </c>
      <c r="BJ13" t="s">
        <v>101</v>
      </c>
      <c r="BK13" t="s">
        <v>102</v>
      </c>
      <c r="BL13" t="s">
        <v>101</v>
      </c>
      <c r="BM13" t="s">
        <v>345</v>
      </c>
      <c r="BN13" t="s">
        <v>74</v>
      </c>
      <c r="BO13" t="s">
        <v>346</v>
      </c>
      <c r="BP13" t="s">
        <v>74</v>
      </c>
      <c r="BQ13" t="s">
        <v>74</v>
      </c>
      <c r="BR13" t="s">
        <v>105</v>
      </c>
      <c r="BS13" t="s">
        <v>347</v>
      </c>
      <c r="BT13" t="str">
        <f>HYPERLINK("https%3A%2F%2Fwww.webofscience.com%2Fwos%2Fwoscc%2Ffull-record%2FWOS:000276546000001","View Full Record in Web of Science")</f>
        <v>View Full Record in Web of Science</v>
      </c>
    </row>
    <row r="14" spans="1:72" x14ac:dyDescent="0.15">
      <c r="A14" t="s">
        <v>72</v>
      </c>
      <c r="B14" t="s">
        <v>348</v>
      </c>
      <c r="C14" t="s">
        <v>74</v>
      </c>
      <c r="D14" t="s">
        <v>74</v>
      </c>
      <c r="E14" t="s">
        <v>74</v>
      </c>
      <c r="F14" t="s">
        <v>349</v>
      </c>
      <c r="G14" t="s">
        <v>74</v>
      </c>
      <c r="H14" t="s">
        <v>74</v>
      </c>
      <c r="I14" t="s">
        <v>350</v>
      </c>
      <c r="J14" t="s">
        <v>239</v>
      </c>
      <c r="K14" t="s">
        <v>74</v>
      </c>
      <c r="L14" t="s">
        <v>74</v>
      </c>
      <c r="M14" t="s">
        <v>78</v>
      </c>
      <c r="N14" t="s">
        <v>79</v>
      </c>
      <c r="O14" t="s">
        <v>74</v>
      </c>
      <c r="P14" t="s">
        <v>74</v>
      </c>
      <c r="Q14" t="s">
        <v>74</v>
      </c>
      <c r="R14" t="s">
        <v>74</v>
      </c>
      <c r="S14" t="s">
        <v>74</v>
      </c>
      <c r="T14" t="s">
        <v>74</v>
      </c>
      <c r="U14" t="s">
        <v>351</v>
      </c>
      <c r="V14" t="s">
        <v>352</v>
      </c>
      <c r="W14" t="s">
        <v>353</v>
      </c>
      <c r="X14" t="s">
        <v>354</v>
      </c>
      <c r="Y14" t="s">
        <v>355</v>
      </c>
      <c r="Z14" t="s">
        <v>356</v>
      </c>
      <c r="AA14" t="s">
        <v>357</v>
      </c>
      <c r="AB14" t="s">
        <v>358</v>
      </c>
      <c r="AC14" t="s">
        <v>359</v>
      </c>
      <c r="AD14" t="s">
        <v>360</v>
      </c>
      <c r="AE14" t="s">
        <v>361</v>
      </c>
      <c r="AF14" t="s">
        <v>74</v>
      </c>
      <c r="AG14">
        <v>44</v>
      </c>
      <c r="AH14">
        <v>17</v>
      </c>
      <c r="AI14">
        <v>21</v>
      </c>
      <c r="AJ14">
        <v>0</v>
      </c>
      <c r="AK14">
        <v>15</v>
      </c>
      <c r="AL14" t="s">
        <v>91</v>
      </c>
      <c r="AM14" t="s">
        <v>92</v>
      </c>
      <c r="AN14" t="s">
        <v>93</v>
      </c>
      <c r="AO14" t="s">
        <v>251</v>
      </c>
      <c r="AP14" t="s">
        <v>252</v>
      </c>
      <c r="AQ14" t="s">
        <v>74</v>
      </c>
      <c r="AR14" t="s">
        <v>253</v>
      </c>
      <c r="AS14" t="s">
        <v>254</v>
      </c>
      <c r="AT14" t="s">
        <v>362</v>
      </c>
      <c r="AU14">
        <v>2010</v>
      </c>
      <c r="AV14">
        <v>115</v>
      </c>
      <c r="AW14" t="s">
        <v>74</v>
      </c>
      <c r="AX14" t="s">
        <v>74</v>
      </c>
      <c r="AY14" t="s">
        <v>74</v>
      </c>
      <c r="AZ14" t="s">
        <v>74</v>
      </c>
      <c r="BA14" t="s">
        <v>74</v>
      </c>
      <c r="BB14" t="s">
        <v>74</v>
      </c>
      <c r="BC14" t="s">
        <v>74</v>
      </c>
      <c r="BD14" t="s">
        <v>363</v>
      </c>
      <c r="BE14" t="s">
        <v>364</v>
      </c>
      <c r="BF14" t="str">
        <f>HYPERLINK("http://dx.doi.org/10.1029/2009JD012125","http://dx.doi.org/10.1029/2009JD012125")</f>
        <v>http://dx.doi.org/10.1029/2009JD012125</v>
      </c>
      <c r="BG14" t="s">
        <v>74</v>
      </c>
      <c r="BH14" t="s">
        <v>74</v>
      </c>
      <c r="BI14">
        <v>11</v>
      </c>
      <c r="BJ14" t="s">
        <v>258</v>
      </c>
      <c r="BK14" t="s">
        <v>102</v>
      </c>
      <c r="BL14" t="s">
        <v>258</v>
      </c>
      <c r="BM14" t="s">
        <v>365</v>
      </c>
      <c r="BN14" t="s">
        <v>74</v>
      </c>
      <c r="BO14" t="s">
        <v>260</v>
      </c>
      <c r="BP14" t="s">
        <v>74</v>
      </c>
      <c r="BQ14" t="s">
        <v>74</v>
      </c>
      <c r="BR14" t="s">
        <v>105</v>
      </c>
      <c r="BS14" t="s">
        <v>366</v>
      </c>
      <c r="BT14" t="str">
        <f>HYPERLINK("https%3A%2F%2Fwww.webofscience.com%2Fwos%2Fwoscc%2Ffull-record%2FWOS:000285585200001","View Full Record in Web of Science")</f>
        <v>View Full Record in Web of Science</v>
      </c>
    </row>
    <row r="15" spans="1:72" x14ac:dyDescent="0.15">
      <c r="A15" t="s">
        <v>72</v>
      </c>
      <c r="B15" t="s">
        <v>367</v>
      </c>
      <c r="C15" t="s">
        <v>74</v>
      </c>
      <c r="D15" t="s">
        <v>74</v>
      </c>
      <c r="E15" t="s">
        <v>74</v>
      </c>
      <c r="F15" t="s">
        <v>368</v>
      </c>
      <c r="G15" t="s">
        <v>74</v>
      </c>
      <c r="H15" t="s">
        <v>74</v>
      </c>
      <c r="I15" t="s">
        <v>369</v>
      </c>
      <c r="J15" t="s">
        <v>370</v>
      </c>
      <c r="K15" t="s">
        <v>74</v>
      </c>
      <c r="L15" t="s">
        <v>74</v>
      </c>
      <c r="M15" t="s">
        <v>78</v>
      </c>
      <c r="N15" t="s">
        <v>79</v>
      </c>
      <c r="O15" t="s">
        <v>74</v>
      </c>
      <c r="P15" t="s">
        <v>74</v>
      </c>
      <c r="Q15" t="s">
        <v>74</v>
      </c>
      <c r="R15" t="s">
        <v>74</v>
      </c>
      <c r="S15" t="s">
        <v>74</v>
      </c>
      <c r="T15" t="s">
        <v>74</v>
      </c>
      <c r="U15" t="s">
        <v>371</v>
      </c>
      <c r="V15" t="s">
        <v>372</v>
      </c>
      <c r="W15" t="s">
        <v>373</v>
      </c>
      <c r="X15" t="s">
        <v>374</v>
      </c>
      <c r="Y15" t="s">
        <v>375</v>
      </c>
      <c r="Z15" t="s">
        <v>376</v>
      </c>
      <c r="AA15" t="s">
        <v>74</v>
      </c>
      <c r="AB15" t="s">
        <v>377</v>
      </c>
      <c r="AC15" t="s">
        <v>378</v>
      </c>
      <c r="AD15" t="s">
        <v>379</v>
      </c>
      <c r="AE15" t="s">
        <v>380</v>
      </c>
      <c r="AF15" t="s">
        <v>74</v>
      </c>
      <c r="AG15">
        <v>57</v>
      </c>
      <c r="AH15">
        <v>18</v>
      </c>
      <c r="AI15">
        <v>21</v>
      </c>
      <c r="AJ15">
        <v>1</v>
      </c>
      <c r="AK15">
        <v>13</v>
      </c>
      <c r="AL15" t="s">
        <v>381</v>
      </c>
      <c r="AM15" t="s">
        <v>382</v>
      </c>
      <c r="AN15" t="s">
        <v>383</v>
      </c>
      <c r="AO15" t="s">
        <v>384</v>
      </c>
      <c r="AP15" t="s">
        <v>74</v>
      </c>
      <c r="AQ15" t="s">
        <v>74</v>
      </c>
      <c r="AR15" t="s">
        <v>370</v>
      </c>
      <c r="AS15" t="s">
        <v>385</v>
      </c>
      <c r="AT15" t="s">
        <v>362</v>
      </c>
      <c r="AU15">
        <v>2010</v>
      </c>
      <c r="AV15">
        <v>5</v>
      </c>
      <c r="AW15">
        <v>4</v>
      </c>
      <c r="AX15" t="s">
        <v>74</v>
      </c>
      <c r="AY15" t="s">
        <v>74</v>
      </c>
      <c r="AZ15" t="s">
        <v>74</v>
      </c>
      <c r="BA15" t="s">
        <v>74</v>
      </c>
      <c r="BB15" t="s">
        <v>74</v>
      </c>
      <c r="BC15" t="s">
        <v>74</v>
      </c>
      <c r="BD15" t="s">
        <v>386</v>
      </c>
      <c r="BE15" t="s">
        <v>387</v>
      </c>
      <c r="BF15" t="str">
        <f>HYPERLINK("http://dx.doi.org/10.1371/journal.pone.0010076","http://dx.doi.org/10.1371/journal.pone.0010076")</f>
        <v>http://dx.doi.org/10.1371/journal.pone.0010076</v>
      </c>
      <c r="BG15" t="s">
        <v>74</v>
      </c>
      <c r="BH15" t="s">
        <v>74</v>
      </c>
      <c r="BI15">
        <v>9</v>
      </c>
      <c r="BJ15" t="s">
        <v>323</v>
      </c>
      <c r="BK15" t="s">
        <v>102</v>
      </c>
      <c r="BL15" t="s">
        <v>324</v>
      </c>
      <c r="BM15" t="s">
        <v>388</v>
      </c>
      <c r="BN15">
        <v>20386691</v>
      </c>
      <c r="BO15" t="s">
        <v>389</v>
      </c>
      <c r="BP15" t="s">
        <v>74</v>
      </c>
      <c r="BQ15" t="s">
        <v>74</v>
      </c>
      <c r="BR15" t="s">
        <v>105</v>
      </c>
      <c r="BS15" t="s">
        <v>390</v>
      </c>
      <c r="BT15" t="str">
        <f>HYPERLINK("https%3A%2F%2Fwww.webofscience.com%2Fwos%2Fwoscc%2Ffull-record%2FWOS:000276482000012","View Full Record in Web of Science")</f>
        <v>View Full Record in Web of Science</v>
      </c>
    </row>
    <row r="16" spans="1:72" x14ac:dyDescent="0.15">
      <c r="A16" t="s">
        <v>72</v>
      </c>
      <c r="B16" t="s">
        <v>391</v>
      </c>
      <c r="C16" t="s">
        <v>74</v>
      </c>
      <c r="D16" t="s">
        <v>74</v>
      </c>
      <c r="E16" t="s">
        <v>74</v>
      </c>
      <c r="F16" t="s">
        <v>392</v>
      </c>
      <c r="G16" t="s">
        <v>74</v>
      </c>
      <c r="H16" t="s">
        <v>74</v>
      </c>
      <c r="I16" t="s">
        <v>393</v>
      </c>
      <c r="J16" t="s">
        <v>394</v>
      </c>
      <c r="K16" t="s">
        <v>74</v>
      </c>
      <c r="L16" t="s">
        <v>74</v>
      </c>
      <c r="M16" t="s">
        <v>78</v>
      </c>
      <c r="N16" t="s">
        <v>79</v>
      </c>
      <c r="O16" t="s">
        <v>74</v>
      </c>
      <c r="P16" t="s">
        <v>74</v>
      </c>
      <c r="Q16" t="s">
        <v>74</v>
      </c>
      <c r="R16" t="s">
        <v>74</v>
      </c>
      <c r="S16" t="s">
        <v>74</v>
      </c>
      <c r="T16" t="s">
        <v>395</v>
      </c>
      <c r="U16" t="s">
        <v>396</v>
      </c>
      <c r="V16" t="s">
        <v>397</v>
      </c>
      <c r="W16" t="s">
        <v>398</v>
      </c>
      <c r="X16" t="s">
        <v>399</v>
      </c>
      <c r="Y16" t="s">
        <v>400</v>
      </c>
      <c r="Z16" t="s">
        <v>401</v>
      </c>
      <c r="AA16" t="s">
        <v>74</v>
      </c>
      <c r="AB16" t="s">
        <v>402</v>
      </c>
      <c r="AC16" t="s">
        <v>403</v>
      </c>
      <c r="AD16" t="s">
        <v>404</v>
      </c>
      <c r="AE16" t="s">
        <v>405</v>
      </c>
      <c r="AF16" t="s">
        <v>74</v>
      </c>
      <c r="AG16">
        <v>19</v>
      </c>
      <c r="AH16">
        <v>2</v>
      </c>
      <c r="AI16">
        <v>2</v>
      </c>
      <c r="AJ16">
        <v>0</v>
      </c>
      <c r="AK16">
        <v>6</v>
      </c>
      <c r="AL16" t="s">
        <v>406</v>
      </c>
      <c r="AM16" t="s">
        <v>407</v>
      </c>
      <c r="AN16" t="s">
        <v>408</v>
      </c>
      <c r="AO16" t="s">
        <v>409</v>
      </c>
      <c r="AP16" t="s">
        <v>410</v>
      </c>
      <c r="AQ16" t="s">
        <v>74</v>
      </c>
      <c r="AR16" t="s">
        <v>411</v>
      </c>
      <c r="AS16" t="s">
        <v>412</v>
      </c>
      <c r="AT16" t="s">
        <v>362</v>
      </c>
      <c r="AU16">
        <v>2010</v>
      </c>
      <c r="AV16">
        <v>466</v>
      </c>
      <c r="AW16">
        <v>2116</v>
      </c>
      <c r="AX16" t="s">
        <v>74</v>
      </c>
      <c r="AY16" t="s">
        <v>74</v>
      </c>
      <c r="AZ16" t="s">
        <v>74</v>
      </c>
      <c r="BA16" t="s">
        <v>74</v>
      </c>
      <c r="BB16">
        <v>1005</v>
      </c>
      <c r="BC16">
        <v>1025</v>
      </c>
      <c r="BD16" t="s">
        <v>74</v>
      </c>
      <c r="BE16" t="s">
        <v>413</v>
      </c>
      <c r="BF16" t="str">
        <f>HYPERLINK("http://dx.doi.org/10.1098/rspa.2009.0496","http://dx.doi.org/10.1098/rspa.2009.0496")</f>
        <v>http://dx.doi.org/10.1098/rspa.2009.0496</v>
      </c>
      <c r="BG16" t="s">
        <v>74</v>
      </c>
      <c r="BH16" t="s">
        <v>74</v>
      </c>
      <c r="BI16">
        <v>21</v>
      </c>
      <c r="BJ16" t="s">
        <v>323</v>
      </c>
      <c r="BK16" t="s">
        <v>102</v>
      </c>
      <c r="BL16" t="s">
        <v>324</v>
      </c>
      <c r="BM16" t="s">
        <v>414</v>
      </c>
      <c r="BN16" t="s">
        <v>74</v>
      </c>
      <c r="BO16" t="s">
        <v>74</v>
      </c>
      <c r="BP16" t="s">
        <v>74</v>
      </c>
      <c r="BQ16" t="s">
        <v>74</v>
      </c>
      <c r="BR16" t="s">
        <v>105</v>
      </c>
      <c r="BS16" t="s">
        <v>415</v>
      </c>
      <c r="BT16" t="str">
        <f>HYPERLINK("https%3A%2F%2Fwww.webofscience.com%2Fwos%2Fwoscc%2Ffull-record%2FWOS:000274932000004","View Full Record in Web of Science")</f>
        <v>View Full Record in Web of Science</v>
      </c>
    </row>
    <row r="17" spans="1:72" x14ac:dyDescent="0.15">
      <c r="A17" t="s">
        <v>72</v>
      </c>
      <c r="B17" t="s">
        <v>416</v>
      </c>
      <c r="C17" t="s">
        <v>74</v>
      </c>
      <c r="D17" t="s">
        <v>74</v>
      </c>
      <c r="E17" t="s">
        <v>74</v>
      </c>
      <c r="F17" t="s">
        <v>417</v>
      </c>
      <c r="G17" t="s">
        <v>74</v>
      </c>
      <c r="H17" t="s">
        <v>74</v>
      </c>
      <c r="I17" t="s">
        <v>418</v>
      </c>
      <c r="J17" t="s">
        <v>419</v>
      </c>
      <c r="K17" t="s">
        <v>74</v>
      </c>
      <c r="L17" t="s">
        <v>74</v>
      </c>
      <c r="M17" t="s">
        <v>78</v>
      </c>
      <c r="N17" t="s">
        <v>79</v>
      </c>
      <c r="O17" t="s">
        <v>74</v>
      </c>
      <c r="P17" t="s">
        <v>74</v>
      </c>
      <c r="Q17" t="s">
        <v>74</v>
      </c>
      <c r="R17" t="s">
        <v>74</v>
      </c>
      <c r="S17" t="s">
        <v>74</v>
      </c>
      <c r="T17" t="s">
        <v>420</v>
      </c>
      <c r="U17" t="s">
        <v>421</v>
      </c>
      <c r="V17" t="s">
        <v>422</v>
      </c>
      <c r="W17" t="s">
        <v>423</v>
      </c>
      <c r="X17" t="s">
        <v>424</v>
      </c>
      <c r="Y17" t="s">
        <v>425</v>
      </c>
      <c r="Z17" t="s">
        <v>426</v>
      </c>
      <c r="AA17" t="s">
        <v>427</v>
      </c>
      <c r="AB17" t="s">
        <v>428</v>
      </c>
      <c r="AC17" t="s">
        <v>429</v>
      </c>
      <c r="AD17" t="s">
        <v>429</v>
      </c>
      <c r="AE17" t="s">
        <v>430</v>
      </c>
      <c r="AF17" t="s">
        <v>74</v>
      </c>
      <c r="AG17">
        <v>53</v>
      </c>
      <c r="AH17">
        <v>27</v>
      </c>
      <c r="AI17">
        <v>34</v>
      </c>
      <c r="AJ17">
        <v>0</v>
      </c>
      <c r="AK17">
        <v>15</v>
      </c>
      <c r="AL17" t="s">
        <v>406</v>
      </c>
      <c r="AM17" t="s">
        <v>407</v>
      </c>
      <c r="AN17" t="s">
        <v>408</v>
      </c>
      <c r="AO17" t="s">
        <v>431</v>
      </c>
      <c r="AP17" t="s">
        <v>74</v>
      </c>
      <c r="AQ17" t="s">
        <v>74</v>
      </c>
      <c r="AR17" t="s">
        <v>432</v>
      </c>
      <c r="AS17" t="s">
        <v>433</v>
      </c>
      <c r="AT17" t="s">
        <v>434</v>
      </c>
      <c r="AU17">
        <v>2010</v>
      </c>
      <c r="AV17">
        <v>277</v>
      </c>
      <c r="AW17">
        <v>1684</v>
      </c>
      <c r="AX17" t="s">
        <v>74</v>
      </c>
      <c r="AY17" t="s">
        <v>74</v>
      </c>
      <c r="AZ17" t="s">
        <v>74</v>
      </c>
      <c r="BA17" t="s">
        <v>74</v>
      </c>
      <c r="BB17">
        <v>1057</v>
      </c>
      <c r="BC17">
        <v>1064</v>
      </c>
      <c r="BD17" t="s">
        <v>74</v>
      </c>
      <c r="BE17" t="s">
        <v>435</v>
      </c>
      <c r="BF17" t="str">
        <f>HYPERLINK("http://dx.doi.org/10.1098/rspb.2009.1837","http://dx.doi.org/10.1098/rspb.2009.1837")</f>
        <v>http://dx.doi.org/10.1098/rspb.2009.1837</v>
      </c>
      <c r="BG17" t="s">
        <v>74</v>
      </c>
      <c r="BH17" t="s">
        <v>74</v>
      </c>
      <c r="BI17">
        <v>8</v>
      </c>
      <c r="BJ17" t="s">
        <v>436</v>
      </c>
      <c r="BK17" t="s">
        <v>102</v>
      </c>
      <c r="BL17" t="s">
        <v>437</v>
      </c>
      <c r="BM17" t="s">
        <v>438</v>
      </c>
      <c r="BN17">
        <v>20007185</v>
      </c>
      <c r="BO17" t="s">
        <v>326</v>
      </c>
      <c r="BP17" t="s">
        <v>74</v>
      </c>
      <c r="BQ17" t="s">
        <v>74</v>
      </c>
      <c r="BR17" t="s">
        <v>105</v>
      </c>
      <c r="BS17" t="s">
        <v>439</v>
      </c>
      <c r="BT17" t="str">
        <f>HYPERLINK("https%3A%2F%2Fwww.webofscience.com%2Fwos%2Fwoscc%2Ffull-record%2FWOS:000274858500011","View Full Record in Web of Science")</f>
        <v>View Full Record in Web of Science</v>
      </c>
    </row>
    <row r="18" spans="1:72" x14ac:dyDescent="0.15">
      <c r="A18" t="s">
        <v>72</v>
      </c>
      <c r="B18" t="s">
        <v>440</v>
      </c>
      <c r="C18" t="s">
        <v>74</v>
      </c>
      <c r="D18" t="s">
        <v>74</v>
      </c>
      <c r="E18" t="s">
        <v>74</v>
      </c>
      <c r="F18" t="s">
        <v>441</v>
      </c>
      <c r="G18" t="s">
        <v>74</v>
      </c>
      <c r="H18" t="s">
        <v>74</v>
      </c>
      <c r="I18" t="s">
        <v>442</v>
      </c>
      <c r="J18" t="s">
        <v>419</v>
      </c>
      <c r="K18" t="s">
        <v>74</v>
      </c>
      <c r="L18" t="s">
        <v>74</v>
      </c>
      <c r="M18" t="s">
        <v>78</v>
      </c>
      <c r="N18" t="s">
        <v>79</v>
      </c>
      <c r="O18" t="s">
        <v>74</v>
      </c>
      <c r="P18" t="s">
        <v>74</v>
      </c>
      <c r="Q18" t="s">
        <v>74</v>
      </c>
      <c r="R18" t="s">
        <v>74</v>
      </c>
      <c r="S18" t="s">
        <v>74</v>
      </c>
      <c r="T18" t="s">
        <v>443</v>
      </c>
      <c r="U18" t="s">
        <v>444</v>
      </c>
      <c r="V18" t="s">
        <v>445</v>
      </c>
      <c r="W18" t="s">
        <v>446</v>
      </c>
      <c r="X18" t="s">
        <v>447</v>
      </c>
      <c r="Y18" t="s">
        <v>448</v>
      </c>
      <c r="Z18" t="s">
        <v>449</v>
      </c>
      <c r="AA18" t="s">
        <v>450</v>
      </c>
      <c r="AB18" t="s">
        <v>451</v>
      </c>
      <c r="AC18" t="s">
        <v>452</v>
      </c>
      <c r="AD18" t="s">
        <v>452</v>
      </c>
      <c r="AE18" t="s">
        <v>453</v>
      </c>
      <c r="AF18" t="s">
        <v>74</v>
      </c>
      <c r="AG18">
        <v>37</v>
      </c>
      <c r="AH18">
        <v>52</v>
      </c>
      <c r="AI18">
        <v>55</v>
      </c>
      <c r="AJ18">
        <v>0</v>
      </c>
      <c r="AK18">
        <v>19</v>
      </c>
      <c r="AL18" t="s">
        <v>406</v>
      </c>
      <c r="AM18" t="s">
        <v>407</v>
      </c>
      <c r="AN18" t="s">
        <v>408</v>
      </c>
      <c r="AO18" t="s">
        <v>431</v>
      </c>
      <c r="AP18" t="s">
        <v>74</v>
      </c>
      <c r="AQ18" t="s">
        <v>74</v>
      </c>
      <c r="AR18" t="s">
        <v>432</v>
      </c>
      <c r="AS18" t="s">
        <v>433</v>
      </c>
      <c r="AT18" t="s">
        <v>434</v>
      </c>
      <c r="AU18">
        <v>2010</v>
      </c>
      <c r="AV18">
        <v>277</v>
      </c>
      <c r="AW18">
        <v>1684</v>
      </c>
      <c r="AX18" t="s">
        <v>74</v>
      </c>
      <c r="AY18" t="s">
        <v>74</v>
      </c>
      <c r="AZ18" t="s">
        <v>74</v>
      </c>
      <c r="BA18" t="s">
        <v>74</v>
      </c>
      <c r="BB18">
        <v>1087</v>
      </c>
      <c r="BC18">
        <v>1092</v>
      </c>
      <c r="BD18" t="s">
        <v>74</v>
      </c>
      <c r="BE18" t="s">
        <v>454</v>
      </c>
      <c r="BF18" t="str">
        <f>HYPERLINK("http://dx.doi.org/10.1098/rspb.2009.1881","http://dx.doi.org/10.1098/rspb.2009.1881")</f>
        <v>http://dx.doi.org/10.1098/rspb.2009.1881</v>
      </c>
      <c r="BG18" t="s">
        <v>74</v>
      </c>
      <c r="BH18" t="s">
        <v>74</v>
      </c>
      <c r="BI18">
        <v>6</v>
      </c>
      <c r="BJ18" t="s">
        <v>436</v>
      </c>
      <c r="BK18" t="s">
        <v>102</v>
      </c>
      <c r="BL18" t="s">
        <v>437</v>
      </c>
      <c r="BM18" t="s">
        <v>438</v>
      </c>
      <c r="BN18">
        <v>19955151</v>
      </c>
      <c r="BO18" t="s">
        <v>455</v>
      </c>
      <c r="BP18" t="s">
        <v>74</v>
      </c>
      <c r="BQ18" t="s">
        <v>74</v>
      </c>
      <c r="BR18" t="s">
        <v>105</v>
      </c>
      <c r="BS18" t="s">
        <v>456</v>
      </c>
      <c r="BT18" t="str">
        <f>HYPERLINK("https%3A%2F%2Fwww.webofscience.com%2Fwos%2Fwoscc%2Ffull-record%2FWOS:000274858500015","View Full Record in Web of Science")</f>
        <v>View Full Record in Web of Science</v>
      </c>
    </row>
    <row r="19" spans="1:72" x14ac:dyDescent="0.15">
      <c r="A19" t="s">
        <v>72</v>
      </c>
      <c r="B19" t="s">
        <v>457</v>
      </c>
      <c r="C19" t="s">
        <v>74</v>
      </c>
      <c r="D19" t="s">
        <v>74</v>
      </c>
      <c r="E19" t="s">
        <v>74</v>
      </c>
      <c r="F19" t="s">
        <v>458</v>
      </c>
      <c r="G19" t="s">
        <v>74</v>
      </c>
      <c r="H19" t="s">
        <v>74</v>
      </c>
      <c r="I19" t="s">
        <v>459</v>
      </c>
      <c r="J19" t="s">
        <v>460</v>
      </c>
      <c r="K19" t="s">
        <v>74</v>
      </c>
      <c r="L19" t="s">
        <v>74</v>
      </c>
      <c r="M19" t="s">
        <v>78</v>
      </c>
      <c r="N19" t="s">
        <v>79</v>
      </c>
      <c r="O19" t="s">
        <v>74</v>
      </c>
      <c r="P19" t="s">
        <v>74</v>
      </c>
      <c r="Q19" t="s">
        <v>74</v>
      </c>
      <c r="R19" t="s">
        <v>74</v>
      </c>
      <c r="S19" t="s">
        <v>74</v>
      </c>
      <c r="T19" t="s">
        <v>74</v>
      </c>
      <c r="U19" t="s">
        <v>461</v>
      </c>
      <c r="V19" t="s">
        <v>462</v>
      </c>
      <c r="W19" t="s">
        <v>463</v>
      </c>
      <c r="X19" t="s">
        <v>464</v>
      </c>
      <c r="Y19" t="s">
        <v>465</v>
      </c>
      <c r="Z19" t="s">
        <v>466</v>
      </c>
      <c r="AA19" t="s">
        <v>467</v>
      </c>
      <c r="AB19" t="s">
        <v>468</v>
      </c>
      <c r="AC19" t="s">
        <v>469</v>
      </c>
      <c r="AD19" t="s">
        <v>470</v>
      </c>
      <c r="AE19" t="s">
        <v>74</v>
      </c>
      <c r="AF19" t="s">
        <v>74</v>
      </c>
      <c r="AG19">
        <v>40</v>
      </c>
      <c r="AH19">
        <v>216</v>
      </c>
      <c r="AI19">
        <v>222</v>
      </c>
      <c r="AJ19">
        <v>0</v>
      </c>
      <c r="AK19">
        <v>11</v>
      </c>
      <c r="AL19" t="s">
        <v>91</v>
      </c>
      <c r="AM19" t="s">
        <v>92</v>
      </c>
      <c r="AN19" t="s">
        <v>93</v>
      </c>
      <c r="AO19" t="s">
        <v>471</v>
      </c>
      <c r="AP19" t="s">
        <v>472</v>
      </c>
      <c r="AQ19" t="s">
        <v>74</v>
      </c>
      <c r="AR19" t="s">
        <v>473</v>
      </c>
      <c r="AS19" t="s">
        <v>474</v>
      </c>
      <c r="AT19" t="s">
        <v>475</v>
      </c>
      <c r="AU19">
        <v>2010</v>
      </c>
      <c r="AV19">
        <v>115</v>
      </c>
      <c r="AW19" t="s">
        <v>74</v>
      </c>
      <c r="AX19" t="s">
        <v>74</v>
      </c>
      <c r="AY19" t="s">
        <v>74</v>
      </c>
      <c r="AZ19" t="s">
        <v>74</v>
      </c>
      <c r="BA19" t="s">
        <v>74</v>
      </c>
      <c r="BB19" t="s">
        <v>74</v>
      </c>
      <c r="BC19" t="s">
        <v>74</v>
      </c>
      <c r="BD19" t="s">
        <v>476</v>
      </c>
      <c r="BE19" t="s">
        <v>477</v>
      </c>
      <c r="BF19" t="str">
        <f>HYPERLINK("http://dx.doi.org/10.1029/2008JA014023","http://dx.doi.org/10.1029/2008JA014023")</f>
        <v>http://dx.doi.org/10.1029/2008JA014023</v>
      </c>
      <c r="BG19" t="s">
        <v>74</v>
      </c>
      <c r="BH19" t="s">
        <v>74</v>
      </c>
      <c r="BI19">
        <v>13</v>
      </c>
      <c r="BJ19" t="s">
        <v>478</v>
      </c>
      <c r="BK19" t="s">
        <v>102</v>
      </c>
      <c r="BL19" t="s">
        <v>478</v>
      </c>
      <c r="BM19" t="s">
        <v>479</v>
      </c>
      <c r="BN19" t="s">
        <v>74</v>
      </c>
      <c r="BO19" t="s">
        <v>480</v>
      </c>
      <c r="BP19" t="s">
        <v>74</v>
      </c>
      <c r="BQ19" t="s">
        <v>74</v>
      </c>
      <c r="BR19" t="s">
        <v>105</v>
      </c>
      <c r="BS19" t="s">
        <v>481</v>
      </c>
      <c r="BT19" t="str">
        <f>HYPERLINK("https%3A%2F%2Fwww.webofscience.com%2Fwos%2Fwoscc%2Ffull-record%2FWOS:000276318800001","View Full Record in Web of Science")</f>
        <v>View Full Record in Web of Science</v>
      </c>
    </row>
    <row r="20" spans="1:72" x14ac:dyDescent="0.15">
      <c r="A20" t="s">
        <v>72</v>
      </c>
      <c r="B20" t="s">
        <v>482</v>
      </c>
      <c r="C20" t="s">
        <v>74</v>
      </c>
      <c r="D20" t="s">
        <v>74</v>
      </c>
      <c r="E20" t="s">
        <v>74</v>
      </c>
      <c r="F20" t="s">
        <v>483</v>
      </c>
      <c r="G20" t="s">
        <v>74</v>
      </c>
      <c r="H20" t="s">
        <v>74</v>
      </c>
      <c r="I20" t="s">
        <v>484</v>
      </c>
      <c r="J20" t="s">
        <v>485</v>
      </c>
      <c r="K20" t="s">
        <v>74</v>
      </c>
      <c r="L20" t="s">
        <v>74</v>
      </c>
      <c r="M20" t="s">
        <v>78</v>
      </c>
      <c r="N20" t="s">
        <v>79</v>
      </c>
      <c r="O20" t="s">
        <v>74</v>
      </c>
      <c r="P20" t="s">
        <v>74</v>
      </c>
      <c r="Q20" t="s">
        <v>74</v>
      </c>
      <c r="R20" t="s">
        <v>74</v>
      </c>
      <c r="S20" t="s">
        <v>74</v>
      </c>
      <c r="T20" t="s">
        <v>486</v>
      </c>
      <c r="U20" t="s">
        <v>487</v>
      </c>
      <c r="V20" t="s">
        <v>488</v>
      </c>
      <c r="W20" t="s">
        <v>489</v>
      </c>
      <c r="X20" t="s">
        <v>490</v>
      </c>
      <c r="Y20" t="s">
        <v>491</v>
      </c>
      <c r="Z20" t="s">
        <v>492</v>
      </c>
      <c r="AA20" t="s">
        <v>493</v>
      </c>
      <c r="AB20" t="s">
        <v>494</v>
      </c>
      <c r="AC20" t="s">
        <v>495</v>
      </c>
      <c r="AD20" t="s">
        <v>496</v>
      </c>
      <c r="AE20" t="s">
        <v>497</v>
      </c>
      <c r="AF20" t="s">
        <v>74</v>
      </c>
      <c r="AG20">
        <v>24</v>
      </c>
      <c r="AH20">
        <v>4</v>
      </c>
      <c r="AI20">
        <v>4</v>
      </c>
      <c r="AJ20">
        <v>0</v>
      </c>
      <c r="AK20">
        <v>13</v>
      </c>
      <c r="AL20" t="s">
        <v>498</v>
      </c>
      <c r="AM20" t="s">
        <v>499</v>
      </c>
      <c r="AN20" t="s">
        <v>500</v>
      </c>
      <c r="AO20" t="s">
        <v>501</v>
      </c>
      <c r="AP20" t="s">
        <v>502</v>
      </c>
      <c r="AQ20" t="s">
        <v>74</v>
      </c>
      <c r="AR20" t="s">
        <v>503</v>
      </c>
      <c r="AS20" t="s">
        <v>504</v>
      </c>
      <c r="AT20" t="s">
        <v>505</v>
      </c>
      <c r="AU20">
        <v>2010</v>
      </c>
      <c r="AV20">
        <v>58</v>
      </c>
      <c r="AW20">
        <v>2</v>
      </c>
      <c r="AX20" t="s">
        <v>74</v>
      </c>
      <c r="AY20" t="s">
        <v>74</v>
      </c>
      <c r="AZ20" t="s">
        <v>74</v>
      </c>
      <c r="BA20" t="s">
        <v>74</v>
      </c>
      <c r="BB20">
        <v>374</v>
      </c>
      <c r="BC20">
        <v>391</v>
      </c>
      <c r="BD20" t="s">
        <v>74</v>
      </c>
      <c r="BE20" t="s">
        <v>506</v>
      </c>
      <c r="BF20" t="str">
        <f>HYPERLINK("http://dx.doi.org/10.2478/s11600-009-0035-4","http://dx.doi.org/10.2478/s11600-009-0035-4")</f>
        <v>http://dx.doi.org/10.2478/s11600-009-0035-4</v>
      </c>
      <c r="BG20" t="s">
        <v>74</v>
      </c>
      <c r="BH20" t="s">
        <v>74</v>
      </c>
      <c r="BI20">
        <v>18</v>
      </c>
      <c r="BJ20" t="s">
        <v>507</v>
      </c>
      <c r="BK20" t="s">
        <v>102</v>
      </c>
      <c r="BL20" t="s">
        <v>507</v>
      </c>
      <c r="BM20" t="s">
        <v>508</v>
      </c>
      <c r="BN20" t="s">
        <v>74</v>
      </c>
      <c r="BO20" t="s">
        <v>74</v>
      </c>
      <c r="BP20" t="s">
        <v>74</v>
      </c>
      <c r="BQ20" t="s">
        <v>74</v>
      </c>
      <c r="BR20" t="s">
        <v>105</v>
      </c>
      <c r="BS20" t="s">
        <v>509</v>
      </c>
      <c r="BT20" t="str">
        <f>HYPERLINK("https%3A%2F%2Fwww.webofscience.com%2Fwos%2Fwoscc%2Ffull-record%2FWOS:000276109000010","View Full Record in Web of Science")</f>
        <v>View Full Record in Web of Science</v>
      </c>
    </row>
    <row r="21" spans="1:72" x14ac:dyDescent="0.15">
      <c r="A21" t="s">
        <v>72</v>
      </c>
      <c r="B21" t="s">
        <v>510</v>
      </c>
      <c r="C21" t="s">
        <v>74</v>
      </c>
      <c r="D21" t="s">
        <v>74</v>
      </c>
      <c r="E21" t="s">
        <v>74</v>
      </c>
      <c r="F21" t="s">
        <v>511</v>
      </c>
      <c r="G21" t="s">
        <v>74</v>
      </c>
      <c r="H21" t="s">
        <v>74</v>
      </c>
      <c r="I21" t="s">
        <v>512</v>
      </c>
      <c r="J21" t="s">
        <v>513</v>
      </c>
      <c r="K21" t="s">
        <v>74</v>
      </c>
      <c r="L21" t="s">
        <v>74</v>
      </c>
      <c r="M21" t="s">
        <v>78</v>
      </c>
      <c r="N21" t="s">
        <v>79</v>
      </c>
      <c r="O21" t="s">
        <v>74</v>
      </c>
      <c r="P21" t="s">
        <v>74</v>
      </c>
      <c r="Q21" t="s">
        <v>74</v>
      </c>
      <c r="R21" t="s">
        <v>74</v>
      </c>
      <c r="S21" t="s">
        <v>74</v>
      </c>
      <c r="T21" t="s">
        <v>514</v>
      </c>
      <c r="U21" t="s">
        <v>515</v>
      </c>
      <c r="V21" t="s">
        <v>516</v>
      </c>
      <c r="W21" t="s">
        <v>517</v>
      </c>
      <c r="X21" t="s">
        <v>518</v>
      </c>
      <c r="Y21" t="s">
        <v>519</v>
      </c>
      <c r="Z21" t="s">
        <v>520</v>
      </c>
      <c r="AA21" t="s">
        <v>74</v>
      </c>
      <c r="AB21" t="s">
        <v>74</v>
      </c>
      <c r="AC21" t="s">
        <v>521</v>
      </c>
      <c r="AD21" t="s">
        <v>522</v>
      </c>
      <c r="AE21" t="s">
        <v>523</v>
      </c>
      <c r="AF21" t="s">
        <v>74</v>
      </c>
      <c r="AG21">
        <v>29</v>
      </c>
      <c r="AH21">
        <v>16</v>
      </c>
      <c r="AI21">
        <v>18</v>
      </c>
      <c r="AJ21">
        <v>0</v>
      </c>
      <c r="AK21">
        <v>16</v>
      </c>
      <c r="AL21" t="s">
        <v>524</v>
      </c>
      <c r="AM21" t="s">
        <v>525</v>
      </c>
      <c r="AN21" t="s">
        <v>526</v>
      </c>
      <c r="AO21" t="s">
        <v>527</v>
      </c>
      <c r="AP21" t="s">
        <v>74</v>
      </c>
      <c r="AQ21" t="s">
        <v>74</v>
      </c>
      <c r="AR21" t="s">
        <v>528</v>
      </c>
      <c r="AS21" t="s">
        <v>529</v>
      </c>
      <c r="AT21" t="s">
        <v>505</v>
      </c>
      <c r="AU21">
        <v>2010</v>
      </c>
      <c r="AV21">
        <v>24</v>
      </c>
      <c r="AW21">
        <v>2</v>
      </c>
      <c r="AX21" t="s">
        <v>74</v>
      </c>
      <c r="AY21" t="s">
        <v>74</v>
      </c>
      <c r="AZ21" t="s">
        <v>74</v>
      </c>
      <c r="BA21" t="s">
        <v>74</v>
      </c>
      <c r="BB21">
        <v>176</v>
      </c>
      <c r="BC21">
        <v>188</v>
      </c>
      <c r="BD21" t="s">
        <v>74</v>
      </c>
      <c r="BE21" t="s">
        <v>74</v>
      </c>
      <c r="BF21" t="s">
        <v>74</v>
      </c>
      <c r="BG21" t="s">
        <v>74</v>
      </c>
      <c r="BH21" t="s">
        <v>74</v>
      </c>
      <c r="BI21">
        <v>13</v>
      </c>
      <c r="BJ21" t="s">
        <v>258</v>
      </c>
      <c r="BK21" t="s">
        <v>102</v>
      </c>
      <c r="BL21" t="s">
        <v>258</v>
      </c>
      <c r="BM21" t="s">
        <v>530</v>
      </c>
      <c r="BN21" t="s">
        <v>74</v>
      </c>
      <c r="BO21" t="s">
        <v>74</v>
      </c>
      <c r="BP21" t="s">
        <v>74</v>
      </c>
      <c r="BQ21" t="s">
        <v>74</v>
      </c>
      <c r="BR21" t="s">
        <v>105</v>
      </c>
      <c r="BS21" t="s">
        <v>531</v>
      </c>
      <c r="BT21" t="str">
        <f>HYPERLINK("https%3A%2F%2Fwww.webofscience.com%2Fwos%2Fwoscc%2Ffull-record%2FWOS:000278942900004","View Full Record in Web of Science")</f>
        <v>View Full Record in Web of Science</v>
      </c>
    </row>
    <row r="22" spans="1:72" x14ac:dyDescent="0.15">
      <c r="A22" t="s">
        <v>72</v>
      </c>
      <c r="B22" t="s">
        <v>532</v>
      </c>
      <c r="C22" t="s">
        <v>74</v>
      </c>
      <c r="D22" t="s">
        <v>74</v>
      </c>
      <c r="E22" t="s">
        <v>74</v>
      </c>
      <c r="F22" t="s">
        <v>533</v>
      </c>
      <c r="G22" t="s">
        <v>74</v>
      </c>
      <c r="H22" t="s">
        <v>74</v>
      </c>
      <c r="I22" t="s">
        <v>534</v>
      </c>
      <c r="J22" t="s">
        <v>535</v>
      </c>
      <c r="K22" t="s">
        <v>74</v>
      </c>
      <c r="L22" t="s">
        <v>74</v>
      </c>
      <c r="M22" t="s">
        <v>78</v>
      </c>
      <c r="N22" t="s">
        <v>536</v>
      </c>
      <c r="O22" t="s">
        <v>74</v>
      </c>
      <c r="P22" t="s">
        <v>74</v>
      </c>
      <c r="Q22" t="s">
        <v>74</v>
      </c>
      <c r="R22" t="s">
        <v>74</v>
      </c>
      <c r="S22" t="s">
        <v>74</v>
      </c>
      <c r="T22" t="s">
        <v>537</v>
      </c>
      <c r="U22" t="s">
        <v>538</v>
      </c>
      <c r="V22" t="s">
        <v>539</v>
      </c>
      <c r="W22" t="s">
        <v>540</v>
      </c>
      <c r="X22" t="s">
        <v>541</v>
      </c>
      <c r="Y22" t="s">
        <v>542</v>
      </c>
      <c r="Z22" t="s">
        <v>543</v>
      </c>
      <c r="AA22" t="s">
        <v>544</v>
      </c>
      <c r="AB22" t="s">
        <v>545</v>
      </c>
      <c r="AC22" t="s">
        <v>74</v>
      </c>
      <c r="AD22" t="s">
        <v>74</v>
      </c>
      <c r="AE22" t="s">
        <v>74</v>
      </c>
      <c r="AF22" t="s">
        <v>74</v>
      </c>
      <c r="AG22">
        <v>22</v>
      </c>
      <c r="AH22">
        <v>9</v>
      </c>
      <c r="AI22">
        <v>11</v>
      </c>
      <c r="AJ22">
        <v>0</v>
      </c>
      <c r="AK22">
        <v>9</v>
      </c>
      <c r="AL22" t="s">
        <v>546</v>
      </c>
      <c r="AM22" t="s">
        <v>547</v>
      </c>
      <c r="AN22" t="s">
        <v>548</v>
      </c>
      <c r="AO22" t="s">
        <v>549</v>
      </c>
      <c r="AP22" t="s">
        <v>550</v>
      </c>
      <c r="AQ22" t="s">
        <v>74</v>
      </c>
      <c r="AR22" t="s">
        <v>551</v>
      </c>
      <c r="AS22" t="s">
        <v>552</v>
      </c>
      <c r="AT22" t="s">
        <v>505</v>
      </c>
      <c r="AU22">
        <v>2010</v>
      </c>
      <c r="AV22">
        <v>45</v>
      </c>
      <c r="AW22">
        <v>1</v>
      </c>
      <c r="AX22" t="s">
        <v>74</v>
      </c>
      <c r="AY22" t="s">
        <v>74</v>
      </c>
      <c r="AZ22" t="s">
        <v>74</v>
      </c>
      <c r="BA22" t="s">
        <v>74</v>
      </c>
      <c r="BB22">
        <v>129</v>
      </c>
      <c r="BC22">
        <v>132</v>
      </c>
      <c r="BD22" t="s">
        <v>74</v>
      </c>
      <c r="BE22" t="s">
        <v>553</v>
      </c>
      <c r="BF22" t="str">
        <f>HYPERLINK("http://dx.doi.org/10.3377/004.045.0109","http://dx.doi.org/10.3377/004.045.0109")</f>
        <v>http://dx.doi.org/10.3377/004.045.0109</v>
      </c>
      <c r="BG22" t="s">
        <v>74</v>
      </c>
      <c r="BH22" t="s">
        <v>74</v>
      </c>
      <c r="BI22">
        <v>4</v>
      </c>
      <c r="BJ22" t="s">
        <v>281</v>
      </c>
      <c r="BK22" t="s">
        <v>102</v>
      </c>
      <c r="BL22" t="s">
        <v>281</v>
      </c>
      <c r="BM22" t="s">
        <v>554</v>
      </c>
      <c r="BN22" t="s">
        <v>74</v>
      </c>
      <c r="BO22" t="s">
        <v>555</v>
      </c>
      <c r="BP22" t="s">
        <v>74</v>
      </c>
      <c r="BQ22" t="s">
        <v>74</v>
      </c>
      <c r="BR22" t="s">
        <v>105</v>
      </c>
      <c r="BS22" t="s">
        <v>556</v>
      </c>
      <c r="BT22" t="str">
        <f>HYPERLINK("https%3A%2F%2Fwww.webofscience.com%2Fwos%2Fwoscc%2Ffull-record%2FWOS:000280693800014","View Full Record in Web of Science")</f>
        <v>View Full Record in Web of Science</v>
      </c>
    </row>
    <row r="23" spans="1:72" x14ac:dyDescent="0.15">
      <c r="A23" t="s">
        <v>72</v>
      </c>
      <c r="B23" t="s">
        <v>557</v>
      </c>
      <c r="C23" t="s">
        <v>74</v>
      </c>
      <c r="D23" t="s">
        <v>74</v>
      </c>
      <c r="E23" t="s">
        <v>74</v>
      </c>
      <c r="F23" t="s">
        <v>558</v>
      </c>
      <c r="G23" t="s">
        <v>74</v>
      </c>
      <c r="H23" t="s">
        <v>74</v>
      </c>
      <c r="I23" t="s">
        <v>559</v>
      </c>
      <c r="J23" t="s">
        <v>560</v>
      </c>
      <c r="K23" t="s">
        <v>74</v>
      </c>
      <c r="L23" t="s">
        <v>74</v>
      </c>
      <c r="M23" t="s">
        <v>78</v>
      </c>
      <c r="N23" t="s">
        <v>79</v>
      </c>
      <c r="O23" t="s">
        <v>74</v>
      </c>
      <c r="P23" t="s">
        <v>74</v>
      </c>
      <c r="Q23" t="s">
        <v>74</v>
      </c>
      <c r="R23" t="s">
        <v>74</v>
      </c>
      <c r="S23" t="s">
        <v>74</v>
      </c>
      <c r="T23" t="s">
        <v>561</v>
      </c>
      <c r="U23" t="s">
        <v>562</v>
      </c>
      <c r="V23" t="s">
        <v>563</v>
      </c>
      <c r="W23" t="s">
        <v>564</v>
      </c>
      <c r="X23" t="s">
        <v>565</v>
      </c>
      <c r="Y23" t="s">
        <v>566</v>
      </c>
      <c r="Z23" t="s">
        <v>567</v>
      </c>
      <c r="AA23" t="s">
        <v>568</v>
      </c>
      <c r="AB23" t="s">
        <v>569</v>
      </c>
      <c r="AC23" t="s">
        <v>570</v>
      </c>
      <c r="AD23" t="s">
        <v>571</v>
      </c>
      <c r="AE23" t="s">
        <v>572</v>
      </c>
      <c r="AF23" t="s">
        <v>74</v>
      </c>
      <c r="AG23">
        <v>60</v>
      </c>
      <c r="AH23">
        <v>18</v>
      </c>
      <c r="AI23">
        <v>19</v>
      </c>
      <c r="AJ23">
        <v>0</v>
      </c>
      <c r="AK23">
        <v>23</v>
      </c>
      <c r="AL23" t="s">
        <v>573</v>
      </c>
      <c r="AM23" t="s">
        <v>407</v>
      </c>
      <c r="AN23" t="s">
        <v>574</v>
      </c>
      <c r="AO23" t="s">
        <v>575</v>
      </c>
      <c r="AP23" t="s">
        <v>576</v>
      </c>
      <c r="AQ23" t="s">
        <v>74</v>
      </c>
      <c r="AR23" t="s">
        <v>577</v>
      </c>
      <c r="AS23" t="s">
        <v>578</v>
      </c>
      <c r="AT23" t="s">
        <v>505</v>
      </c>
      <c r="AU23">
        <v>2010</v>
      </c>
      <c r="AV23">
        <v>79</v>
      </c>
      <c r="AW23">
        <v>4</v>
      </c>
      <c r="AX23" t="s">
        <v>74</v>
      </c>
      <c r="AY23" t="s">
        <v>74</v>
      </c>
      <c r="AZ23" t="s">
        <v>74</v>
      </c>
      <c r="BA23" t="s">
        <v>74</v>
      </c>
      <c r="BB23">
        <v>845</v>
      </c>
      <c r="BC23">
        <v>855</v>
      </c>
      <c r="BD23" t="s">
        <v>74</v>
      </c>
      <c r="BE23" t="s">
        <v>579</v>
      </c>
      <c r="BF23" t="str">
        <f>HYPERLINK("http://dx.doi.org/10.1016/j.anbehav.2009.12.033","http://dx.doi.org/10.1016/j.anbehav.2009.12.033")</f>
        <v>http://dx.doi.org/10.1016/j.anbehav.2009.12.033</v>
      </c>
      <c r="BG23" t="s">
        <v>74</v>
      </c>
      <c r="BH23" t="s">
        <v>74</v>
      </c>
      <c r="BI23">
        <v>11</v>
      </c>
      <c r="BJ23" t="s">
        <v>580</v>
      </c>
      <c r="BK23" t="s">
        <v>102</v>
      </c>
      <c r="BL23" t="s">
        <v>580</v>
      </c>
      <c r="BM23" t="s">
        <v>581</v>
      </c>
      <c r="BN23" t="s">
        <v>74</v>
      </c>
      <c r="BO23" t="s">
        <v>74</v>
      </c>
      <c r="BP23" t="s">
        <v>74</v>
      </c>
      <c r="BQ23" t="s">
        <v>74</v>
      </c>
      <c r="BR23" t="s">
        <v>105</v>
      </c>
      <c r="BS23" t="s">
        <v>582</v>
      </c>
      <c r="BT23" t="str">
        <f>HYPERLINK("https%3A%2F%2Fwww.webofscience.com%2Fwos%2Fwoscc%2Ffull-record%2FWOS:000275801500010","View Full Record in Web of Science")</f>
        <v>View Full Record in Web of Science</v>
      </c>
    </row>
    <row r="24" spans="1:72" x14ac:dyDescent="0.15">
      <c r="A24" t="s">
        <v>72</v>
      </c>
      <c r="B24" t="s">
        <v>583</v>
      </c>
      <c r="C24" t="s">
        <v>74</v>
      </c>
      <c r="D24" t="s">
        <v>74</v>
      </c>
      <c r="E24" t="s">
        <v>74</v>
      </c>
      <c r="F24" t="s">
        <v>584</v>
      </c>
      <c r="G24" t="s">
        <v>74</v>
      </c>
      <c r="H24" t="s">
        <v>74</v>
      </c>
      <c r="I24" t="s">
        <v>585</v>
      </c>
      <c r="J24" t="s">
        <v>586</v>
      </c>
      <c r="K24" t="s">
        <v>74</v>
      </c>
      <c r="L24" t="s">
        <v>74</v>
      </c>
      <c r="M24" t="s">
        <v>78</v>
      </c>
      <c r="N24" t="s">
        <v>536</v>
      </c>
      <c r="O24" t="s">
        <v>74</v>
      </c>
      <c r="P24" t="s">
        <v>74</v>
      </c>
      <c r="Q24" t="s">
        <v>74</v>
      </c>
      <c r="R24" t="s">
        <v>74</v>
      </c>
      <c r="S24" t="s">
        <v>74</v>
      </c>
      <c r="T24" t="s">
        <v>74</v>
      </c>
      <c r="U24" t="s">
        <v>74</v>
      </c>
      <c r="V24" t="s">
        <v>74</v>
      </c>
      <c r="W24" t="s">
        <v>74</v>
      </c>
      <c r="X24" t="s">
        <v>74</v>
      </c>
      <c r="Y24" t="s">
        <v>74</v>
      </c>
      <c r="Z24" t="s">
        <v>74</v>
      </c>
      <c r="AA24" t="s">
        <v>74</v>
      </c>
      <c r="AB24" t="s">
        <v>74</v>
      </c>
      <c r="AC24" t="s">
        <v>74</v>
      </c>
      <c r="AD24" t="s">
        <v>74</v>
      </c>
      <c r="AE24" t="s">
        <v>74</v>
      </c>
      <c r="AF24" t="s">
        <v>74</v>
      </c>
      <c r="AG24">
        <v>0</v>
      </c>
      <c r="AH24">
        <v>0</v>
      </c>
      <c r="AI24">
        <v>0</v>
      </c>
      <c r="AJ24">
        <v>0</v>
      </c>
      <c r="AK24">
        <v>1</v>
      </c>
      <c r="AL24" t="s">
        <v>587</v>
      </c>
      <c r="AM24" t="s">
        <v>225</v>
      </c>
      <c r="AN24" t="s">
        <v>588</v>
      </c>
      <c r="AO24" t="s">
        <v>589</v>
      </c>
      <c r="AP24" t="s">
        <v>74</v>
      </c>
      <c r="AQ24" t="s">
        <v>74</v>
      </c>
      <c r="AR24" t="s">
        <v>590</v>
      </c>
      <c r="AS24" t="s">
        <v>591</v>
      </c>
      <c r="AT24" t="s">
        <v>505</v>
      </c>
      <c r="AU24">
        <v>2010</v>
      </c>
      <c r="AV24">
        <v>22</v>
      </c>
      <c r="AW24">
        <v>2</v>
      </c>
      <c r="AX24" t="s">
        <v>74</v>
      </c>
      <c r="AY24" t="s">
        <v>74</v>
      </c>
      <c r="AZ24" t="s">
        <v>74</v>
      </c>
      <c r="BA24" t="s">
        <v>74</v>
      </c>
      <c r="BB24">
        <v>97</v>
      </c>
      <c r="BC24">
        <v>97</v>
      </c>
      <c r="BD24" t="s">
        <v>74</v>
      </c>
      <c r="BE24" t="s">
        <v>592</v>
      </c>
      <c r="BF24" t="str">
        <f>HYPERLINK("http://dx.doi.org/10.1017/S095410201000012X","http://dx.doi.org/10.1017/S095410201000012X")</f>
        <v>http://dx.doi.org/10.1017/S095410201000012X</v>
      </c>
      <c r="BG24" t="s">
        <v>74</v>
      </c>
      <c r="BH24" t="s">
        <v>74</v>
      </c>
      <c r="BI24">
        <v>1</v>
      </c>
      <c r="BJ24" t="s">
        <v>593</v>
      </c>
      <c r="BK24" t="s">
        <v>102</v>
      </c>
      <c r="BL24" t="s">
        <v>594</v>
      </c>
      <c r="BM24" t="s">
        <v>595</v>
      </c>
      <c r="BN24" t="s">
        <v>74</v>
      </c>
      <c r="BO24" t="s">
        <v>104</v>
      </c>
      <c r="BP24" t="s">
        <v>74</v>
      </c>
      <c r="BQ24" t="s">
        <v>74</v>
      </c>
      <c r="BR24" t="s">
        <v>105</v>
      </c>
      <c r="BS24" t="s">
        <v>596</v>
      </c>
      <c r="BT24" t="str">
        <f>HYPERLINK("https%3A%2F%2Fwww.webofscience.com%2Fwos%2Fwoscc%2Ffull-record%2FWOS:000276869200001","View Full Record in Web of Science")</f>
        <v>View Full Record in Web of Science</v>
      </c>
    </row>
    <row r="25" spans="1:72" x14ac:dyDescent="0.15">
      <c r="A25" t="s">
        <v>72</v>
      </c>
      <c r="B25" t="s">
        <v>597</v>
      </c>
      <c r="C25" t="s">
        <v>74</v>
      </c>
      <c r="D25" t="s">
        <v>74</v>
      </c>
      <c r="E25" t="s">
        <v>74</v>
      </c>
      <c r="F25" t="s">
        <v>598</v>
      </c>
      <c r="G25" t="s">
        <v>74</v>
      </c>
      <c r="H25" t="s">
        <v>74</v>
      </c>
      <c r="I25" t="s">
        <v>599</v>
      </c>
      <c r="J25" t="s">
        <v>586</v>
      </c>
      <c r="K25" t="s">
        <v>74</v>
      </c>
      <c r="L25" t="s">
        <v>74</v>
      </c>
      <c r="M25" t="s">
        <v>78</v>
      </c>
      <c r="N25" t="s">
        <v>600</v>
      </c>
      <c r="O25" t="s">
        <v>74</v>
      </c>
      <c r="P25" t="s">
        <v>74</v>
      </c>
      <c r="Q25" t="s">
        <v>74</v>
      </c>
      <c r="R25" t="s">
        <v>74</v>
      </c>
      <c r="S25" t="s">
        <v>74</v>
      </c>
      <c r="T25" t="s">
        <v>601</v>
      </c>
      <c r="U25" t="s">
        <v>602</v>
      </c>
      <c r="V25" t="s">
        <v>603</v>
      </c>
      <c r="W25" t="s">
        <v>604</v>
      </c>
      <c r="X25" t="s">
        <v>605</v>
      </c>
      <c r="Y25" t="s">
        <v>606</v>
      </c>
      <c r="Z25" t="s">
        <v>607</v>
      </c>
      <c r="AA25" t="s">
        <v>608</v>
      </c>
      <c r="AB25" t="s">
        <v>609</v>
      </c>
      <c r="AC25" t="s">
        <v>610</v>
      </c>
      <c r="AD25" t="s">
        <v>611</v>
      </c>
      <c r="AE25" t="s">
        <v>612</v>
      </c>
      <c r="AF25" t="s">
        <v>74</v>
      </c>
      <c r="AG25">
        <v>97</v>
      </c>
      <c r="AH25">
        <v>43</v>
      </c>
      <c r="AI25">
        <v>47</v>
      </c>
      <c r="AJ25">
        <v>3</v>
      </c>
      <c r="AK25">
        <v>35</v>
      </c>
      <c r="AL25" t="s">
        <v>587</v>
      </c>
      <c r="AM25" t="s">
        <v>225</v>
      </c>
      <c r="AN25" t="s">
        <v>588</v>
      </c>
      <c r="AO25" t="s">
        <v>589</v>
      </c>
      <c r="AP25" t="s">
        <v>613</v>
      </c>
      <c r="AQ25" t="s">
        <v>74</v>
      </c>
      <c r="AR25" t="s">
        <v>590</v>
      </c>
      <c r="AS25" t="s">
        <v>591</v>
      </c>
      <c r="AT25" t="s">
        <v>505</v>
      </c>
      <c r="AU25">
        <v>2010</v>
      </c>
      <c r="AV25">
        <v>22</v>
      </c>
      <c r="AW25">
        <v>2</v>
      </c>
      <c r="AX25" t="s">
        <v>74</v>
      </c>
      <c r="AY25" t="s">
        <v>74</v>
      </c>
      <c r="AZ25" t="s">
        <v>74</v>
      </c>
      <c r="BA25" t="s">
        <v>74</v>
      </c>
      <c r="BB25">
        <v>99</v>
      </c>
      <c r="BC25">
        <v>115</v>
      </c>
      <c r="BD25" t="s">
        <v>74</v>
      </c>
      <c r="BE25" t="s">
        <v>614</v>
      </c>
      <c r="BF25" t="str">
        <f>HYPERLINK("http://dx.doi.org/10.1017/S0954102009990691","http://dx.doi.org/10.1017/S0954102009990691")</f>
        <v>http://dx.doi.org/10.1017/S0954102009990691</v>
      </c>
      <c r="BG25" t="s">
        <v>74</v>
      </c>
      <c r="BH25" t="s">
        <v>74</v>
      </c>
      <c r="BI25">
        <v>17</v>
      </c>
      <c r="BJ25" t="s">
        <v>593</v>
      </c>
      <c r="BK25" t="s">
        <v>102</v>
      </c>
      <c r="BL25" t="s">
        <v>594</v>
      </c>
      <c r="BM25" t="s">
        <v>595</v>
      </c>
      <c r="BN25" t="s">
        <v>74</v>
      </c>
      <c r="BO25" t="s">
        <v>74</v>
      </c>
      <c r="BP25" t="s">
        <v>74</v>
      </c>
      <c r="BQ25" t="s">
        <v>74</v>
      </c>
      <c r="BR25" t="s">
        <v>105</v>
      </c>
      <c r="BS25" t="s">
        <v>615</v>
      </c>
      <c r="BT25" t="str">
        <f>HYPERLINK("https%3A%2F%2Fwww.webofscience.com%2Fwos%2Fwoscc%2Ffull-record%2FWOS:000276869200002","View Full Record in Web of Science")</f>
        <v>View Full Record in Web of Science</v>
      </c>
    </row>
    <row r="26" spans="1:72" x14ac:dyDescent="0.15">
      <c r="A26" t="s">
        <v>72</v>
      </c>
      <c r="B26" t="s">
        <v>616</v>
      </c>
      <c r="C26" t="s">
        <v>74</v>
      </c>
      <c r="D26" t="s">
        <v>74</v>
      </c>
      <c r="E26" t="s">
        <v>74</v>
      </c>
      <c r="F26" t="s">
        <v>617</v>
      </c>
      <c r="G26" t="s">
        <v>74</v>
      </c>
      <c r="H26" t="s">
        <v>74</v>
      </c>
      <c r="I26" t="s">
        <v>618</v>
      </c>
      <c r="J26" t="s">
        <v>586</v>
      </c>
      <c r="K26" t="s">
        <v>74</v>
      </c>
      <c r="L26" t="s">
        <v>74</v>
      </c>
      <c r="M26" t="s">
        <v>78</v>
      </c>
      <c r="N26" t="s">
        <v>79</v>
      </c>
      <c r="O26" t="s">
        <v>74</v>
      </c>
      <c r="P26" t="s">
        <v>74</v>
      </c>
      <c r="Q26" t="s">
        <v>74</v>
      </c>
      <c r="R26" t="s">
        <v>74</v>
      </c>
      <c r="S26" t="s">
        <v>74</v>
      </c>
      <c r="T26" t="s">
        <v>619</v>
      </c>
      <c r="U26" t="s">
        <v>620</v>
      </c>
      <c r="V26" t="s">
        <v>621</v>
      </c>
      <c r="W26" t="s">
        <v>622</v>
      </c>
      <c r="X26" t="s">
        <v>623</v>
      </c>
      <c r="Y26" t="s">
        <v>624</v>
      </c>
      <c r="Z26" t="s">
        <v>625</v>
      </c>
      <c r="AA26" t="s">
        <v>626</v>
      </c>
      <c r="AB26" t="s">
        <v>627</v>
      </c>
      <c r="AC26" t="s">
        <v>628</v>
      </c>
      <c r="AD26" t="s">
        <v>629</v>
      </c>
      <c r="AE26" t="s">
        <v>630</v>
      </c>
      <c r="AF26" t="s">
        <v>74</v>
      </c>
      <c r="AG26">
        <v>23</v>
      </c>
      <c r="AH26">
        <v>19</v>
      </c>
      <c r="AI26">
        <v>22</v>
      </c>
      <c r="AJ26">
        <v>0</v>
      </c>
      <c r="AK26">
        <v>14</v>
      </c>
      <c r="AL26" t="s">
        <v>587</v>
      </c>
      <c r="AM26" t="s">
        <v>225</v>
      </c>
      <c r="AN26" t="s">
        <v>588</v>
      </c>
      <c r="AO26" t="s">
        <v>589</v>
      </c>
      <c r="AP26" t="s">
        <v>613</v>
      </c>
      <c r="AQ26" t="s">
        <v>74</v>
      </c>
      <c r="AR26" t="s">
        <v>590</v>
      </c>
      <c r="AS26" t="s">
        <v>591</v>
      </c>
      <c r="AT26" t="s">
        <v>505</v>
      </c>
      <c r="AU26">
        <v>2010</v>
      </c>
      <c r="AV26">
        <v>22</v>
      </c>
      <c r="AW26">
        <v>2</v>
      </c>
      <c r="AX26" t="s">
        <v>74</v>
      </c>
      <c r="AY26" t="s">
        <v>74</v>
      </c>
      <c r="AZ26" t="s">
        <v>74</v>
      </c>
      <c r="BA26" t="s">
        <v>74</v>
      </c>
      <c r="BB26">
        <v>117</v>
      </c>
      <c r="BC26">
        <v>122</v>
      </c>
      <c r="BD26" t="s">
        <v>74</v>
      </c>
      <c r="BE26" t="s">
        <v>631</v>
      </c>
      <c r="BF26" t="str">
        <f>HYPERLINK("http://dx.doi.org/10.1017/S0954102009990514","http://dx.doi.org/10.1017/S0954102009990514")</f>
        <v>http://dx.doi.org/10.1017/S0954102009990514</v>
      </c>
      <c r="BG26" t="s">
        <v>74</v>
      </c>
      <c r="BH26" t="s">
        <v>74</v>
      </c>
      <c r="BI26">
        <v>6</v>
      </c>
      <c r="BJ26" t="s">
        <v>593</v>
      </c>
      <c r="BK26" t="s">
        <v>102</v>
      </c>
      <c r="BL26" t="s">
        <v>594</v>
      </c>
      <c r="BM26" t="s">
        <v>595</v>
      </c>
      <c r="BN26" t="s">
        <v>74</v>
      </c>
      <c r="BO26" t="s">
        <v>74</v>
      </c>
      <c r="BP26" t="s">
        <v>74</v>
      </c>
      <c r="BQ26" t="s">
        <v>74</v>
      </c>
      <c r="BR26" t="s">
        <v>105</v>
      </c>
      <c r="BS26" t="s">
        <v>632</v>
      </c>
      <c r="BT26" t="str">
        <f>HYPERLINK("https%3A%2F%2Fwww.webofscience.com%2Fwos%2Fwoscc%2Ffull-record%2FWOS:000276869200003","View Full Record in Web of Science")</f>
        <v>View Full Record in Web of Science</v>
      </c>
    </row>
    <row r="27" spans="1:72" x14ac:dyDescent="0.15">
      <c r="A27" t="s">
        <v>72</v>
      </c>
      <c r="B27" t="s">
        <v>633</v>
      </c>
      <c r="C27" t="s">
        <v>74</v>
      </c>
      <c r="D27" t="s">
        <v>74</v>
      </c>
      <c r="E27" t="s">
        <v>74</v>
      </c>
      <c r="F27" t="s">
        <v>634</v>
      </c>
      <c r="G27" t="s">
        <v>74</v>
      </c>
      <c r="H27" t="s">
        <v>74</v>
      </c>
      <c r="I27" t="s">
        <v>635</v>
      </c>
      <c r="J27" t="s">
        <v>586</v>
      </c>
      <c r="K27" t="s">
        <v>74</v>
      </c>
      <c r="L27" t="s">
        <v>74</v>
      </c>
      <c r="M27" t="s">
        <v>78</v>
      </c>
      <c r="N27" t="s">
        <v>79</v>
      </c>
      <c r="O27" t="s">
        <v>74</v>
      </c>
      <c r="P27" t="s">
        <v>74</v>
      </c>
      <c r="Q27" t="s">
        <v>74</v>
      </c>
      <c r="R27" t="s">
        <v>74</v>
      </c>
      <c r="S27" t="s">
        <v>74</v>
      </c>
      <c r="T27" t="s">
        <v>636</v>
      </c>
      <c r="U27" t="s">
        <v>637</v>
      </c>
      <c r="V27" t="s">
        <v>638</v>
      </c>
      <c r="W27" t="s">
        <v>639</v>
      </c>
      <c r="X27" t="s">
        <v>640</v>
      </c>
      <c r="Y27" t="s">
        <v>641</v>
      </c>
      <c r="Z27" t="s">
        <v>642</v>
      </c>
      <c r="AA27" t="s">
        <v>643</v>
      </c>
      <c r="AB27" t="s">
        <v>74</v>
      </c>
      <c r="AC27" t="s">
        <v>644</v>
      </c>
      <c r="AD27" t="s">
        <v>645</v>
      </c>
      <c r="AE27" t="s">
        <v>646</v>
      </c>
      <c r="AF27" t="s">
        <v>74</v>
      </c>
      <c r="AG27">
        <v>27</v>
      </c>
      <c r="AH27">
        <v>66</v>
      </c>
      <c r="AI27">
        <v>78</v>
      </c>
      <c r="AJ27">
        <v>0</v>
      </c>
      <c r="AK27">
        <v>29</v>
      </c>
      <c r="AL27" t="s">
        <v>587</v>
      </c>
      <c r="AM27" t="s">
        <v>225</v>
      </c>
      <c r="AN27" t="s">
        <v>588</v>
      </c>
      <c r="AO27" t="s">
        <v>589</v>
      </c>
      <c r="AP27" t="s">
        <v>74</v>
      </c>
      <c r="AQ27" t="s">
        <v>74</v>
      </c>
      <c r="AR27" t="s">
        <v>590</v>
      </c>
      <c r="AS27" t="s">
        <v>591</v>
      </c>
      <c r="AT27" t="s">
        <v>505</v>
      </c>
      <c r="AU27">
        <v>2010</v>
      </c>
      <c r="AV27">
        <v>22</v>
      </c>
      <c r="AW27">
        <v>2</v>
      </c>
      <c r="AX27" t="s">
        <v>74</v>
      </c>
      <c r="AY27" t="s">
        <v>74</v>
      </c>
      <c r="AZ27" t="s">
        <v>74</v>
      </c>
      <c r="BA27" t="s">
        <v>74</v>
      </c>
      <c r="BB27">
        <v>123</v>
      </c>
      <c r="BC27">
        <v>130</v>
      </c>
      <c r="BD27" t="s">
        <v>74</v>
      </c>
      <c r="BE27" t="s">
        <v>647</v>
      </c>
      <c r="BF27" t="str">
        <f>HYPERLINK("http://dx.doi.org/10.1017/S0954102009990654","http://dx.doi.org/10.1017/S0954102009990654")</f>
        <v>http://dx.doi.org/10.1017/S0954102009990654</v>
      </c>
      <c r="BG27" t="s">
        <v>74</v>
      </c>
      <c r="BH27" t="s">
        <v>74</v>
      </c>
      <c r="BI27">
        <v>8</v>
      </c>
      <c r="BJ27" t="s">
        <v>593</v>
      </c>
      <c r="BK27" t="s">
        <v>102</v>
      </c>
      <c r="BL27" t="s">
        <v>594</v>
      </c>
      <c r="BM27" t="s">
        <v>595</v>
      </c>
      <c r="BN27" t="s">
        <v>74</v>
      </c>
      <c r="BO27" t="s">
        <v>74</v>
      </c>
      <c r="BP27" t="s">
        <v>74</v>
      </c>
      <c r="BQ27" t="s">
        <v>74</v>
      </c>
      <c r="BR27" t="s">
        <v>105</v>
      </c>
      <c r="BS27" t="s">
        <v>648</v>
      </c>
      <c r="BT27" t="str">
        <f>HYPERLINK("https%3A%2F%2Fwww.webofscience.com%2Fwos%2Fwoscc%2Ffull-record%2FWOS:000276869200004","View Full Record in Web of Science")</f>
        <v>View Full Record in Web of Science</v>
      </c>
    </row>
    <row r="28" spans="1:72" x14ac:dyDescent="0.15">
      <c r="A28" t="s">
        <v>72</v>
      </c>
      <c r="B28" t="s">
        <v>649</v>
      </c>
      <c r="C28" t="s">
        <v>74</v>
      </c>
      <c r="D28" t="s">
        <v>74</v>
      </c>
      <c r="E28" t="s">
        <v>74</v>
      </c>
      <c r="F28" t="s">
        <v>650</v>
      </c>
      <c r="G28" t="s">
        <v>74</v>
      </c>
      <c r="H28" t="s">
        <v>74</v>
      </c>
      <c r="I28" t="s">
        <v>651</v>
      </c>
      <c r="J28" t="s">
        <v>586</v>
      </c>
      <c r="K28" t="s">
        <v>74</v>
      </c>
      <c r="L28" t="s">
        <v>74</v>
      </c>
      <c r="M28" t="s">
        <v>78</v>
      </c>
      <c r="N28" t="s">
        <v>79</v>
      </c>
      <c r="O28" t="s">
        <v>74</v>
      </c>
      <c r="P28" t="s">
        <v>74</v>
      </c>
      <c r="Q28" t="s">
        <v>74</v>
      </c>
      <c r="R28" t="s">
        <v>74</v>
      </c>
      <c r="S28" t="s">
        <v>74</v>
      </c>
      <c r="T28" t="s">
        <v>652</v>
      </c>
      <c r="U28" t="s">
        <v>653</v>
      </c>
      <c r="V28" t="s">
        <v>654</v>
      </c>
      <c r="W28" t="s">
        <v>655</v>
      </c>
      <c r="X28" t="s">
        <v>656</v>
      </c>
      <c r="Y28" t="s">
        <v>657</v>
      </c>
      <c r="Z28" t="s">
        <v>658</v>
      </c>
      <c r="AA28" t="s">
        <v>659</v>
      </c>
      <c r="AB28" t="s">
        <v>74</v>
      </c>
      <c r="AC28" t="s">
        <v>660</v>
      </c>
      <c r="AD28" t="s">
        <v>661</v>
      </c>
      <c r="AE28" t="s">
        <v>662</v>
      </c>
      <c r="AF28" t="s">
        <v>74</v>
      </c>
      <c r="AG28">
        <v>65</v>
      </c>
      <c r="AH28">
        <v>31</v>
      </c>
      <c r="AI28">
        <v>35</v>
      </c>
      <c r="AJ28">
        <v>0</v>
      </c>
      <c r="AK28">
        <v>36</v>
      </c>
      <c r="AL28" t="s">
        <v>587</v>
      </c>
      <c r="AM28" t="s">
        <v>225</v>
      </c>
      <c r="AN28" t="s">
        <v>588</v>
      </c>
      <c r="AO28" t="s">
        <v>589</v>
      </c>
      <c r="AP28" t="s">
        <v>613</v>
      </c>
      <c r="AQ28" t="s">
        <v>74</v>
      </c>
      <c r="AR28" t="s">
        <v>590</v>
      </c>
      <c r="AS28" t="s">
        <v>591</v>
      </c>
      <c r="AT28" t="s">
        <v>505</v>
      </c>
      <c r="AU28">
        <v>2010</v>
      </c>
      <c r="AV28">
        <v>22</v>
      </c>
      <c r="AW28">
        <v>2</v>
      </c>
      <c r="AX28" t="s">
        <v>74</v>
      </c>
      <c r="AY28" t="s">
        <v>74</v>
      </c>
      <c r="AZ28" t="s">
        <v>74</v>
      </c>
      <c r="BA28" t="s">
        <v>74</v>
      </c>
      <c r="BB28">
        <v>131</v>
      </c>
      <c r="BC28">
        <v>143</v>
      </c>
      <c r="BD28" t="s">
        <v>74</v>
      </c>
      <c r="BE28" t="s">
        <v>663</v>
      </c>
      <c r="BF28" t="str">
        <f>HYPERLINK("http://dx.doi.org/10.1017/S0954102009990630","http://dx.doi.org/10.1017/S0954102009990630")</f>
        <v>http://dx.doi.org/10.1017/S0954102009990630</v>
      </c>
      <c r="BG28" t="s">
        <v>74</v>
      </c>
      <c r="BH28" t="s">
        <v>74</v>
      </c>
      <c r="BI28">
        <v>13</v>
      </c>
      <c r="BJ28" t="s">
        <v>593</v>
      </c>
      <c r="BK28" t="s">
        <v>102</v>
      </c>
      <c r="BL28" t="s">
        <v>594</v>
      </c>
      <c r="BM28" t="s">
        <v>595</v>
      </c>
      <c r="BN28" t="s">
        <v>74</v>
      </c>
      <c r="BO28" t="s">
        <v>74</v>
      </c>
      <c r="BP28" t="s">
        <v>74</v>
      </c>
      <c r="BQ28" t="s">
        <v>74</v>
      </c>
      <c r="BR28" t="s">
        <v>105</v>
      </c>
      <c r="BS28" t="s">
        <v>664</v>
      </c>
      <c r="BT28" t="str">
        <f>HYPERLINK("https%3A%2F%2Fwww.webofscience.com%2Fwos%2Fwoscc%2Ffull-record%2FWOS:000276869200005","View Full Record in Web of Science")</f>
        <v>View Full Record in Web of Science</v>
      </c>
    </row>
    <row r="29" spans="1:72" x14ac:dyDescent="0.15">
      <c r="A29" t="s">
        <v>72</v>
      </c>
      <c r="B29" t="s">
        <v>665</v>
      </c>
      <c r="C29" t="s">
        <v>74</v>
      </c>
      <c r="D29" t="s">
        <v>74</v>
      </c>
      <c r="E29" t="s">
        <v>74</v>
      </c>
      <c r="F29" t="s">
        <v>666</v>
      </c>
      <c r="G29" t="s">
        <v>74</v>
      </c>
      <c r="H29" t="s">
        <v>74</v>
      </c>
      <c r="I29" t="s">
        <v>667</v>
      </c>
      <c r="J29" t="s">
        <v>586</v>
      </c>
      <c r="K29" t="s">
        <v>74</v>
      </c>
      <c r="L29" t="s">
        <v>74</v>
      </c>
      <c r="M29" t="s">
        <v>78</v>
      </c>
      <c r="N29" t="s">
        <v>79</v>
      </c>
      <c r="O29" t="s">
        <v>74</v>
      </c>
      <c r="P29" t="s">
        <v>74</v>
      </c>
      <c r="Q29" t="s">
        <v>74</v>
      </c>
      <c r="R29" t="s">
        <v>74</v>
      </c>
      <c r="S29" t="s">
        <v>74</v>
      </c>
      <c r="T29" t="s">
        <v>668</v>
      </c>
      <c r="U29" t="s">
        <v>669</v>
      </c>
      <c r="V29" t="s">
        <v>670</v>
      </c>
      <c r="W29" t="s">
        <v>671</v>
      </c>
      <c r="X29" t="s">
        <v>672</v>
      </c>
      <c r="Y29" t="s">
        <v>673</v>
      </c>
      <c r="Z29" t="s">
        <v>674</v>
      </c>
      <c r="AA29" t="s">
        <v>675</v>
      </c>
      <c r="AB29" t="s">
        <v>676</v>
      </c>
      <c r="AC29" t="s">
        <v>677</v>
      </c>
      <c r="AD29" t="s">
        <v>678</v>
      </c>
      <c r="AE29" t="s">
        <v>679</v>
      </c>
      <c r="AF29" t="s">
        <v>74</v>
      </c>
      <c r="AG29">
        <v>50</v>
      </c>
      <c r="AH29">
        <v>10</v>
      </c>
      <c r="AI29">
        <v>10</v>
      </c>
      <c r="AJ29">
        <v>0</v>
      </c>
      <c r="AK29">
        <v>16</v>
      </c>
      <c r="AL29" t="s">
        <v>587</v>
      </c>
      <c r="AM29" t="s">
        <v>225</v>
      </c>
      <c r="AN29" t="s">
        <v>588</v>
      </c>
      <c r="AO29" t="s">
        <v>589</v>
      </c>
      <c r="AP29" t="s">
        <v>613</v>
      </c>
      <c r="AQ29" t="s">
        <v>74</v>
      </c>
      <c r="AR29" t="s">
        <v>590</v>
      </c>
      <c r="AS29" t="s">
        <v>591</v>
      </c>
      <c r="AT29" t="s">
        <v>505</v>
      </c>
      <c r="AU29">
        <v>2010</v>
      </c>
      <c r="AV29">
        <v>22</v>
      </c>
      <c r="AW29">
        <v>2</v>
      </c>
      <c r="AX29" t="s">
        <v>74</v>
      </c>
      <c r="AY29" t="s">
        <v>74</v>
      </c>
      <c r="AZ29" t="s">
        <v>74</v>
      </c>
      <c r="BA29" t="s">
        <v>74</v>
      </c>
      <c r="BB29">
        <v>145</v>
      </c>
      <c r="BC29">
        <v>156</v>
      </c>
      <c r="BD29" t="s">
        <v>74</v>
      </c>
      <c r="BE29" t="s">
        <v>680</v>
      </c>
      <c r="BF29" t="str">
        <f>HYPERLINK("http://dx.doi.org/10.1017/S0954102009990666","http://dx.doi.org/10.1017/S0954102009990666")</f>
        <v>http://dx.doi.org/10.1017/S0954102009990666</v>
      </c>
      <c r="BG29" t="s">
        <v>74</v>
      </c>
      <c r="BH29" t="s">
        <v>74</v>
      </c>
      <c r="BI29">
        <v>12</v>
      </c>
      <c r="BJ29" t="s">
        <v>593</v>
      </c>
      <c r="BK29" t="s">
        <v>102</v>
      </c>
      <c r="BL29" t="s">
        <v>594</v>
      </c>
      <c r="BM29" t="s">
        <v>595</v>
      </c>
      <c r="BN29" t="s">
        <v>74</v>
      </c>
      <c r="BO29" t="s">
        <v>74</v>
      </c>
      <c r="BP29" t="s">
        <v>74</v>
      </c>
      <c r="BQ29" t="s">
        <v>74</v>
      </c>
      <c r="BR29" t="s">
        <v>105</v>
      </c>
      <c r="BS29" t="s">
        <v>681</v>
      </c>
      <c r="BT29" t="str">
        <f>HYPERLINK("https%3A%2F%2Fwww.webofscience.com%2Fwos%2Fwoscc%2Ffull-record%2FWOS:000276869200006","View Full Record in Web of Science")</f>
        <v>View Full Record in Web of Science</v>
      </c>
    </row>
    <row r="30" spans="1:72" x14ac:dyDescent="0.15">
      <c r="A30" t="s">
        <v>72</v>
      </c>
      <c r="B30" t="s">
        <v>682</v>
      </c>
      <c r="C30" t="s">
        <v>74</v>
      </c>
      <c r="D30" t="s">
        <v>74</v>
      </c>
      <c r="E30" t="s">
        <v>74</v>
      </c>
      <c r="F30" t="s">
        <v>683</v>
      </c>
      <c r="G30" t="s">
        <v>74</v>
      </c>
      <c r="H30" t="s">
        <v>74</v>
      </c>
      <c r="I30" t="s">
        <v>684</v>
      </c>
      <c r="J30" t="s">
        <v>586</v>
      </c>
      <c r="K30" t="s">
        <v>74</v>
      </c>
      <c r="L30" t="s">
        <v>74</v>
      </c>
      <c r="M30" t="s">
        <v>78</v>
      </c>
      <c r="N30" t="s">
        <v>79</v>
      </c>
      <c r="O30" t="s">
        <v>74</v>
      </c>
      <c r="P30" t="s">
        <v>74</v>
      </c>
      <c r="Q30" t="s">
        <v>74</v>
      </c>
      <c r="R30" t="s">
        <v>74</v>
      </c>
      <c r="S30" t="s">
        <v>74</v>
      </c>
      <c r="T30" t="s">
        <v>685</v>
      </c>
      <c r="U30" t="s">
        <v>686</v>
      </c>
      <c r="V30" t="s">
        <v>687</v>
      </c>
      <c r="W30" t="s">
        <v>688</v>
      </c>
      <c r="X30" t="s">
        <v>689</v>
      </c>
      <c r="Y30" t="s">
        <v>690</v>
      </c>
      <c r="Z30" t="s">
        <v>691</v>
      </c>
      <c r="AA30" t="s">
        <v>692</v>
      </c>
      <c r="AB30" t="s">
        <v>693</v>
      </c>
      <c r="AC30" t="s">
        <v>74</v>
      </c>
      <c r="AD30" t="s">
        <v>74</v>
      </c>
      <c r="AE30" t="s">
        <v>74</v>
      </c>
      <c r="AF30" t="s">
        <v>74</v>
      </c>
      <c r="AG30">
        <v>18</v>
      </c>
      <c r="AH30">
        <v>24</v>
      </c>
      <c r="AI30">
        <v>25</v>
      </c>
      <c r="AJ30">
        <v>0</v>
      </c>
      <c r="AK30">
        <v>21</v>
      </c>
      <c r="AL30" t="s">
        <v>587</v>
      </c>
      <c r="AM30" t="s">
        <v>225</v>
      </c>
      <c r="AN30" t="s">
        <v>588</v>
      </c>
      <c r="AO30" t="s">
        <v>589</v>
      </c>
      <c r="AP30" t="s">
        <v>613</v>
      </c>
      <c r="AQ30" t="s">
        <v>74</v>
      </c>
      <c r="AR30" t="s">
        <v>590</v>
      </c>
      <c r="AS30" t="s">
        <v>591</v>
      </c>
      <c r="AT30" t="s">
        <v>505</v>
      </c>
      <c r="AU30">
        <v>2010</v>
      </c>
      <c r="AV30">
        <v>22</v>
      </c>
      <c r="AW30">
        <v>2</v>
      </c>
      <c r="AX30" t="s">
        <v>74</v>
      </c>
      <c r="AY30" t="s">
        <v>74</v>
      </c>
      <c r="AZ30" t="s">
        <v>74</v>
      </c>
      <c r="BA30" t="s">
        <v>74</v>
      </c>
      <c r="BB30">
        <v>157</v>
      </c>
      <c r="BC30">
        <v>162</v>
      </c>
      <c r="BD30" t="s">
        <v>74</v>
      </c>
      <c r="BE30" t="s">
        <v>694</v>
      </c>
      <c r="BF30" t="str">
        <f>HYPERLINK("http://dx.doi.org/10.1017/S0954102009990605","http://dx.doi.org/10.1017/S0954102009990605")</f>
        <v>http://dx.doi.org/10.1017/S0954102009990605</v>
      </c>
      <c r="BG30" t="s">
        <v>74</v>
      </c>
      <c r="BH30" t="s">
        <v>74</v>
      </c>
      <c r="BI30">
        <v>6</v>
      </c>
      <c r="BJ30" t="s">
        <v>593</v>
      </c>
      <c r="BK30" t="s">
        <v>102</v>
      </c>
      <c r="BL30" t="s">
        <v>594</v>
      </c>
      <c r="BM30" t="s">
        <v>595</v>
      </c>
      <c r="BN30" t="s">
        <v>74</v>
      </c>
      <c r="BO30" t="s">
        <v>555</v>
      </c>
      <c r="BP30" t="s">
        <v>74</v>
      </c>
      <c r="BQ30" t="s">
        <v>74</v>
      </c>
      <c r="BR30" t="s">
        <v>105</v>
      </c>
      <c r="BS30" t="s">
        <v>695</v>
      </c>
      <c r="BT30" t="str">
        <f>HYPERLINK("https%3A%2F%2Fwww.webofscience.com%2Fwos%2Fwoscc%2Ffull-record%2FWOS:000276869200007","View Full Record in Web of Science")</f>
        <v>View Full Record in Web of Science</v>
      </c>
    </row>
    <row r="31" spans="1:72" x14ac:dyDescent="0.15">
      <c r="A31" t="s">
        <v>72</v>
      </c>
      <c r="B31" t="s">
        <v>696</v>
      </c>
      <c r="C31" t="s">
        <v>74</v>
      </c>
      <c r="D31" t="s">
        <v>74</v>
      </c>
      <c r="E31" t="s">
        <v>74</v>
      </c>
      <c r="F31" t="s">
        <v>697</v>
      </c>
      <c r="G31" t="s">
        <v>74</v>
      </c>
      <c r="H31" t="s">
        <v>74</v>
      </c>
      <c r="I31" t="s">
        <v>698</v>
      </c>
      <c r="J31" t="s">
        <v>586</v>
      </c>
      <c r="K31" t="s">
        <v>74</v>
      </c>
      <c r="L31" t="s">
        <v>74</v>
      </c>
      <c r="M31" t="s">
        <v>78</v>
      </c>
      <c r="N31" t="s">
        <v>79</v>
      </c>
      <c r="O31" t="s">
        <v>74</v>
      </c>
      <c r="P31" t="s">
        <v>74</v>
      </c>
      <c r="Q31" t="s">
        <v>74</v>
      </c>
      <c r="R31" t="s">
        <v>74</v>
      </c>
      <c r="S31" t="s">
        <v>74</v>
      </c>
      <c r="T31" t="s">
        <v>699</v>
      </c>
      <c r="U31" t="s">
        <v>700</v>
      </c>
      <c r="V31" t="s">
        <v>701</v>
      </c>
      <c r="W31" t="s">
        <v>702</v>
      </c>
      <c r="X31" t="s">
        <v>703</v>
      </c>
      <c r="Y31" t="s">
        <v>704</v>
      </c>
      <c r="Z31" t="s">
        <v>705</v>
      </c>
      <c r="AA31" t="s">
        <v>706</v>
      </c>
      <c r="AB31" t="s">
        <v>707</v>
      </c>
      <c r="AC31" t="s">
        <v>708</v>
      </c>
      <c r="AD31" t="s">
        <v>708</v>
      </c>
      <c r="AE31" t="s">
        <v>709</v>
      </c>
      <c r="AF31" t="s">
        <v>74</v>
      </c>
      <c r="AG31">
        <v>35</v>
      </c>
      <c r="AH31">
        <v>10</v>
      </c>
      <c r="AI31">
        <v>11</v>
      </c>
      <c r="AJ31">
        <v>0</v>
      </c>
      <c r="AK31">
        <v>9</v>
      </c>
      <c r="AL31" t="s">
        <v>587</v>
      </c>
      <c r="AM31" t="s">
        <v>225</v>
      </c>
      <c r="AN31" t="s">
        <v>588</v>
      </c>
      <c r="AO31" t="s">
        <v>589</v>
      </c>
      <c r="AP31" t="s">
        <v>613</v>
      </c>
      <c r="AQ31" t="s">
        <v>74</v>
      </c>
      <c r="AR31" t="s">
        <v>590</v>
      </c>
      <c r="AS31" t="s">
        <v>591</v>
      </c>
      <c r="AT31" t="s">
        <v>505</v>
      </c>
      <c r="AU31">
        <v>2010</v>
      </c>
      <c r="AV31">
        <v>22</v>
      </c>
      <c r="AW31">
        <v>2</v>
      </c>
      <c r="AX31" t="s">
        <v>74</v>
      </c>
      <c r="AY31" t="s">
        <v>74</v>
      </c>
      <c r="AZ31" t="s">
        <v>74</v>
      </c>
      <c r="BA31" t="s">
        <v>74</v>
      </c>
      <c r="BB31">
        <v>163</v>
      </c>
      <c r="BC31">
        <v>169</v>
      </c>
      <c r="BD31" t="s">
        <v>74</v>
      </c>
      <c r="BE31" t="s">
        <v>710</v>
      </c>
      <c r="BF31" t="str">
        <f>HYPERLINK("http://dx.doi.org/10.1017/S0954102009990733","http://dx.doi.org/10.1017/S0954102009990733")</f>
        <v>http://dx.doi.org/10.1017/S0954102009990733</v>
      </c>
      <c r="BG31" t="s">
        <v>74</v>
      </c>
      <c r="BH31" t="s">
        <v>74</v>
      </c>
      <c r="BI31">
        <v>7</v>
      </c>
      <c r="BJ31" t="s">
        <v>593</v>
      </c>
      <c r="BK31" t="s">
        <v>102</v>
      </c>
      <c r="BL31" t="s">
        <v>594</v>
      </c>
      <c r="BM31" t="s">
        <v>595</v>
      </c>
      <c r="BN31" t="s">
        <v>74</v>
      </c>
      <c r="BO31" t="s">
        <v>104</v>
      </c>
      <c r="BP31" t="s">
        <v>74</v>
      </c>
      <c r="BQ31" t="s">
        <v>74</v>
      </c>
      <c r="BR31" t="s">
        <v>105</v>
      </c>
      <c r="BS31" t="s">
        <v>711</v>
      </c>
      <c r="BT31" t="str">
        <f>HYPERLINK("https%3A%2F%2Fwww.webofscience.com%2Fwos%2Fwoscc%2Ffull-record%2FWOS:000276869200008","View Full Record in Web of Science")</f>
        <v>View Full Record in Web of Science</v>
      </c>
    </row>
    <row r="32" spans="1:72" x14ac:dyDescent="0.15">
      <c r="A32" t="s">
        <v>72</v>
      </c>
      <c r="B32" t="s">
        <v>712</v>
      </c>
      <c r="C32" t="s">
        <v>74</v>
      </c>
      <c r="D32" t="s">
        <v>74</v>
      </c>
      <c r="E32" t="s">
        <v>74</v>
      </c>
      <c r="F32" t="s">
        <v>713</v>
      </c>
      <c r="G32" t="s">
        <v>74</v>
      </c>
      <c r="H32" t="s">
        <v>74</v>
      </c>
      <c r="I32" t="s">
        <v>714</v>
      </c>
      <c r="J32" t="s">
        <v>586</v>
      </c>
      <c r="K32" t="s">
        <v>74</v>
      </c>
      <c r="L32" t="s">
        <v>74</v>
      </c>
      <c r="M32" t="s">
        <v>78</v>
      </c>
      <c r="N32" t="s">
        <v>79</v>
      </c>
      <c r="O32" t="s">
        <v>74</v>
      </c>
      <c r="P32" t="s">
        <v>74</v>
      </c>
      <c r="Q32" t="s">
        <v>74</v>
      </c>
      <c r="R32" t="s">
        <v>74</v>
      </c>
      <c r="S32" t="s">
        <v>74</v>
      </c>
      <c r="T32" t="s">
        <v>74</v>
      </c>
      <c r="U32" t="s">
        <v>74</v>
      </c>
      <c r="V32" t="s">
        <v>74</v>
      </c>
      <c r="W32" t="s">
        <v>715</v>
      </c>
      <c r="X32" t="s">
        <v>716</v>
      </c>
      <c r="Y32" t="s">
        <v>717</v>
      </c>
      <c r="Z32" t="s">
        <v>718</v>
      </c>
      <c r="AA32" t="s">
        <v>74</v>
      </c>
      <c r="AB32" t="s">
        <v>719</v>
      </c>
      <c r="AC32" t="s">
        <v>720</v>
      </c>
      <c r="AD32" t="s">
        <v>721</v>
      </c>
      <c r="AE32" t="s">
        <v>722</v>
      </c>
      <c r="AF32" t="s">
        <v>74</v>
      </c>
      <c r="AG32">
        <v>5</v>
      </c>
      <c r="AH32">
        <v>5</v>
      </c>
      <c r="AI32">
        <v>5</v>
      </c>
      <c r="AJ32">
        <v>0</v>
      </c>
      <c r="AK32">
        <v>7</v>
      </c>
      <c r="AL32" t="s">
        <v>587</v>
      </c>
      <c r="AM32" t="s">
        <v>225</v>
      </c>
      <c r="AN32" t="s">
        <v>588</v>
      </c>
      <c r="AO32" t="s">
        <v>589</v>
      </c>
      <c r="AP32" t="s">
        <v>74</v>
      </c>
      <c r="AQ32" t="s">
        <v>74</v>
      </c>
      <c r="AR32" t="s">
        <v>590</v>
      </c>
      <c r="AS32" t="s">
        <v>591</v>
      </c>
      <c r="AT32" t="s">
        <v>505</v>
      </c>
      <c r="AU32">
        <v>2010</v>
      </c>
      <c r="AV32">
        <v>22</v>
      </c>
      <c r="AW32">
        <v>2</v>
      </c>
      <c r="AX32" t="s">
        <v>74</v>
      </c>
      <c r="AY32" t="s">
        <v>74</v>
      </c>
      <c r="AZ32" t="s">
        <v>74</v>
      </c>
      <c r="BA32" t="s">
        <v>74</v>
      </c>
      <c r="BB32">
        <v>171</v>
      </c>
      <c r="BC32">
        <v>172</v>
      </c>
      <c r="BD32" t="s">
        <v>74</v>
      </c>
      <c r="BE32" t="s">
        <v>723</v>
      </c>
      <c r="BF32" t="str">
        <f>HYPERLINK("http://dx.doi.org/10.1017/S0954102009990745","http://dx.doi.org/10.1017/S0954102009990745")</f>
        <v>http://dx.doi.org/10.1017/S0954102009990745</v>
      </c>
      <c r="BG32" t="s">
        <v>74</v>
      </c>
      <c r="BH32" t="s">
        <v>74</v>
      </c>
      <c r="BI32">
        <v>2</v>
      </c>
      <c r="BJ32" t="s">
        <v>593</v>
      </c>
      <c r="BK32" t="s">
        <v>102</v>
      </c>
      <c r="BL32" t="s">
        <v>594</v>
      </c>
      <c r="BM32" t="s">
        <v>595</v>
      </c>
      <c r="BN32" t="s">
        <v>74</v>
      </c>
      <c r="BO32" t="s">
        <v>555</v>
      </c>
      <c r="BP32" t="s">
        <v>74</v>
      </c>
      <c r="BQ32" t="s">
        <v>74</v>
      </c>
      <c r="BR32" t="s">
        <v>105</v>
      </c>
      <c r="BS32" t="s">
        <v>724</v>
      </c>
      <c r="BT32" t="str">
        <f>HYPERLINK("https%3A%2F%2Fwww.webofscience.com%2Fwos%2Fwoscc%2Ffull-record%2FWOS:000276869200009","View Full Record in Web of Science")</f>
        <v>View Full Record in Web of Science</v>
      </c>
    </row>
    <row r="33" spans="1:72" x14ac:dyDescent="0.15">
      <c r="A33" t="s">
        <v>72</v>
      </c>
      <c r="B33" t="s">
        <v>725</v>
      </c>
      <c r="C33" t="s">
        <v>74</v>
      </c>
      <c r="D33" t="s">
        <v>74</v>
      </c>
      <c r="E33" t="s">
        <v>74</v>
      </c>
      <c r="F33" t="s">
        <v>726</v>
      </c>
      <c r="G33" t="s">
        <v>74</v>
      </c>
      <c r="H33" t="s">
        <v>74</v>
      </c>
      <c r="I33" t="s">
        <v>727</v>
      </c>
      <c r="J33" t="s">
        <v>586</v>
      </c>
      <c r="K33" t="s">
        <v>74</v>
      </c>
      <c r="L33" t="s">
        <v>74</v>
      </c>
      <c r="M33" t="s">
        <v>78</v>
      </c>
      <c r="N33" t="s">
        <v>79</v>
      </c>
      <c r="O33" t="s">
        <v>74</v>
      </c>
      <c r="P33" t="s">
        <v>74</v>
      </c>
      <c r="Q33" t="s">
        <v>74</v>
      </c>
      <c r="R33" t="s">
        <v>74</v>
      </c>
      <c r="S33" t="s">
        <v>74</v>
      </c>
      <c r="T33" t="s">
        <v>74</v>
      </c>
      <c r="U33" t="s">
        <v>728</v>
      </c>
      <c r="V33" t="s">
        <v>74</v>
      </c>
      <c r="W33" t="s">
        <v>729</v>
      </c>
      <c r="X33" t="s">
        <v>730</v>
      </c>
      <c r="Y33" t="s">
        <v>731</v>
      </c>
      <c r="Z33" t="s">
        <v>732</v>
      </c>
      <c r="AA33" t="s">
        <v>74</v>
      </c>
      <c r="AB33" t="s">
        <v>74</v>
      </c>
      <c r="AC33" t="s">
        <v>733</v>
      </c>
      <c r="AD33" t="s">
        <v>734</v>
      </c>
      <c r="AE33" t="s">
        <v>735</v>
      </c>
      <c r="AF33" t="s">
        <v>74</v>
      </c>
      <c r="AG33">
        <v>8</v>
      </c>
      <c r="AH33">
        <v>9</v>
      </c>
      <c r="AI33">
        <v>9</v>
      </c>
      <c r="AJ33">
        <v>0</v>
      </c>
      <c r="AK33">
        <v>3</v>
      </c>
      <c r="AL33" t="s">
        <v>587</v>
      </c>
      <c r="AM33" t="s">
        <v>225</v>
      </c>
      <c r="AN33" t="s">
        <v>588</v>
      </c>
      <c r="AO33" t="s">
        <v>589</v>
      </c>
      <c r="AP33" t="s">
        <v>74</v>
      </c>
      <c r="AQ33" t="s">
        <v>74</v>
      </c>
      <c r="AR33" t="s">
        <v>590</v>
      </c>
      <c r="AS33" t="s">
        <v>591</v>
      </c>
      <c r="AT33" t="s">
        <v>505</v>
      </c>
      <c r="AU33">
        <v>2010</v>
      </c>
      <c r="AV33">
        <v>22</v>
      </c>
      <c r="AW33">
        <v>2</v>
      </c>
      <c r="AX33" t="s">
        <v>74</v>
      </c>
      <c r="AY33" t="s">
        <v>74</v>
      </c>
      <c r="AZ33" t="s">
        <v>74</v>
      </c>
      <c r="BA33" t="s">
        <v>74</v>
      </c>
      <c r="BB33">
        <v>173</v>
      </c>
      <c r="BC33">
        <v>174</v>
      </c>
      <c r="BD33" t="s">
        <v>74</v>
      </c>
      <c r="BE33" t="s">
        <v>736</v>
      </c>
      <c r="BF33" t="str">
        <f>HYPERLINK("http://dx.doi.org/10.1017/S0954102009990757","http://dx.doi.org/10.1017/S0954102009990757")</f>
        <v>http://dx.doi.org/10.1017/S0954102009990757</v>
      </c>
      <c r="BG33" t="s">
        <v>74</v>
      </c>
      <c r="BH33" t="s">
        <v>74</v>
      </c>
      <c r="BI33">
        <v>2</v>
      </c>
      <c r="BJ33" t="s">
        <v>593</v>
      </c>
      <c r="BK33" t="s">
        <v>102</v>
      </c>
      <c r="BL33" t="s">
        <v>594</v>
      </c>
      <c r="BM33" t="s">
        <v>595</v>
      </c>
      <c r="BN33" t="s">
        <v>74</v>
      </c>
      <c r="BO33" t="s">
        <v>74</v>
      </c>
      <c r="BP33" t="s">
        <v>74</v>
      </c>
      <c r="BQ33" t="s">
        <v>74</v>
      </c>
      <c r="BR33" t="s">
        <v>105</v>
      </c>
      <c r="BS33" t="s">
        <v>737</v>
      </c>
      <c r="BT33" t="str">
        <f>HYPERLINK("https%3A%2F%2Fwww.webofscience.com%2Fwos%2Fwoscc%2Ffull-record%2FWOS:000276869200010","View Full Record in Web of Science")</f>
        <v>View Full Record in Web of Science</v>
      </c>
    </row>
    <row r="34" spans="1:72" x14ac:dyDescent="0.15">
      <c r="A34" t="s">
        <v>72</v>
      </c>
      <c r="B34" t="s">
        <v>738</v>
      </c>
      <c r="C34" t="s">
        <v>74</v>
      </c>
      <c r="D34" t="s">
        <v>74</v>
      </c>
      <c r="E34" t="s">
        <v>74</v>
      </c>
      <c r="F34" t="s">
        <v>739</v>
      </c>
      <c r="G34" t="s">
        <v>74</v>
      </c>
      <c r="H34" t="s">
        <v>74</v>
      </c>
      <c r="I34" t="s">
        <v>740</v>
      </c>
      <c r="J34" t="s">
        <v>586</v>
      </c>
      <c r="K34" t="s">
        <v>74</v>
      </c>
      <c r="L34" t="s">
        <v>74</v>
      </c>
      <c r="M34" t="s">
        <v>78</v>
      </c>
      <c r="N34" t="s">
        <v>79</v>
      </c>
      <c r="O34" t="s">
        <v>74</v>
      </c>
      <c r="P34" t="s">
        <v>74</v>
      </c>
      <c r="Q34" t="s">
        <v>74</v>
      </c>
      <c r="R34" t="s">
        <v>74</v>
      </c>
      <c r="S34" t="s">
        <v>74</v>
      </c>
      <c r="T34" t="s">
        <v>741</v>
      </c>
      <c r="U34" t="s">
        <v>742</v>
      </c>
      <c r="V34" t="s">
        <v>743</v>
      </c>
      <c r="W34" t="s">
        <v>744</v>
      </c>
      <c r="X34" t="s">
        <v>745</v>
      </c>
      <c r="Y34" t="s">
        <v>746</v>
      </c>
      <c r="Z34" t="s">
        <v>747</v>
      </c>
      <c r="AA34" t="s">
        <v>74</v>
      </c>
      <c r="AB34" t="s">
        <v>74</v>
      </c>
      <c r="AC34" t="s">
        <v>748</v>
      </c>
      <c r="AD34" t="s">
        <v>748</v>
      </c>
      <c r="AE34" t="s">
        <v>749</v>
      </c>
      <c r="AF34" t="s">
        <v>74</v>
      </c>
      <c r="AG34">
        <v>21</v>
      </c>
      <c r="AH34">
        <v>10</v>
      </c>
      <c r="AI34">
        <v>11</v>
      </c>
      <c r="AJ34">
        <v>0</v>
      </c>
      <c r="AK34">
        <v>4</v>
      </c>
      <c r="AL34" t="s">
        <v>587</v>
      </c>
      <c r="AM34" t="s">
        <v>225</v>
      </c>
      <c r="AN34" t="s">
        <v>588</v>
      </c>
      <c r="AO34" t="s">
        <v>589</v>
      </c>
      <c r="AP34" t="s">
        <v>613</v>
      </c>
      <c r="AQ34" t="s">
        <v>74</v>
      </c>
      <c r="AR34" t="s">
        <v>590</v>
      </c>
      <c r="AS34" t="s">
        <v>591</v>
      </c>
      <c r="AT34" t="s">
        <v>505</v>
      </c>
      <c r="AU34">
        <v>2010</v>
      </c>
      <c r="AV34">
        <v>22</v>
      </c>
      <c r="AW34">
        <v>2</v>
      </c>
      <c r="AX34" t="s">
        <v>74</v>
      </c>
      <c r="AY34" t="s">
        <v>74</v>
      </c>
      <c r="AZ34" t="s">
        <v>74</v>
      </c>
      <c r="BA34" t="s">
        <v>74</v>
      </c>
      <c r="BB34">
        <v>175</v>
      </c>
      <c r="BC34">
        <v>183</v>
      </c>
      <c r="BD34" t="s">
        <v>74</v>
      </c>
      <c r="BE34" t="s">
        <v>750</v>
      </c>
      <c r="BF34" t="str">
        <f>HYPERLINK("http://dx.doi.org/10.1017/S0954102009990617","http://dx.doi.org/10.1017/S0954102009990617")</f>
        <v>http://dx.doi.org/10.1017/S0954102009990617</v>
      </c>
      <c r="BG34" t="s">
        <v>74</v>
      </c>
      <c r="BH34" t="s">
        <v>74</v>
      </c>
      <c r="BI34">
        <v>9</v>
      </c>
      <c r="BJ34" t="s">
        <v>593</v>
      </c>
      <c r="BK34" t="s">
        <v>102</v>
      </c>
      <c r="BL34" t="s">
        <v>594</v>
      </c>
      <c r="BM34" t="s">
        <v>595</v>
      </c>
      <c r="BN34" t="s">
        <v>74</v>
      </c>
      <c r="BO34" t="s">
        <v>555</v>
      </c>
      <c r="BP34" t="s">
        <v>74</v>
      </c>
      <c r="BQ34" t="s">
        <v>74</v>
      </c>
      <c r="BR34" t="s">
        <v>105</v>
      </c>
      <c r="BS34" t="s">
        <v>751</v>
      </c>
      <c r="BT34" t="str">
        <f>HYPERLINK("https%3A%2F%2Fwww.webofscience.com%2Fwos%2Fwoscc%2Ffull-record%2FWOS:000276869200011","View Full Record in Web of Science")</f>
        <v>View Full Record in Web of Science</v>
      </c>
    </row>
    <row r="35" spans="1:72" x14ac:dyDescent="0.15">
      <c r="A35" t="s">
        <v>72</v>
      </c>
      <c r="B35" t="s">
        <v>752</v>
      </c>
      <c r="C35" t="s">
        <v>74</v>
      </c>
      <c r="D35" t="s">
        <v>74</v>
      </c>
      <c r="E35" t="s">
        <v>74</v>
      </c>
      <c r="F35" t="s">
        <v>753</v>
      </c>
      <c r="G35" t="s">
        <v>74</v>
      </c>
      <c r="H35" t="s">
        <v>74</v>
      </c>
      <c r="I35" t="s">
        <v>754</v>
      </c>
      <c r="J35" t="s">
        <v>586</v>
      </c>
      <c r="K35" t="s">
        <v>74</v>
      </c>
      <c r="L35" t="s">
        <v>74</v>
      </c>
      <c r="M35" t="s">
        <v>78</v>
      </c>
      <c r="N35" t="s">
        <v>79</v>
      </c>
      <c r="O35" t="s">
        <v>74</v>
      </c>
      <c r="P35" t="s">
        <v>74</v>
      </c>
      <c r="Q35" t="s">
        <v>74</v>
      </c>
      <c r="R35" t="s">
        <v>74</v>
      </c>
      <c r="S35" t="s">
        <v>74</v>
      </c>
      <c r="T35" t="s">
        <v>755</v>
      </c>
      <c r="U35" t="s">
        <v>756</v>
      </c>
      <c r="V35" t="s">
        <v>757</v>
      </c>
      <c r="W35" t="s">
        <v>758</v>
      </c>
      <c r="X35" t="s">
        <v>759</v>
      </c>
      <c r="Y35" t="s">
        <v>760</v>
      </c>
      <c r="Z35" t="s">
        <v>761</v>
      </c>
      <c r="AA35" t="s">
        <v>74</v>
      </c>
      <c r="AB35" t="s">
        <v>74</v>
      </c>
      <c r="AC35" t="s">
        <v>762</v>
      </c>
      <c r="AD35" t="s">
        <v>763</v>
      </c>
      <c r="AE35" t="s">
        <v>764</v>
      </c>
      <c r="AF35" t="s">
        <v>74</v>
      </c>
      <c r="AG35">
        <v>52</v>
      </c>
      <c r="AH35">
        <v>15</v>
      </c>
      <c r="AI35">
        <v>16</v>
      </c>
      <c r="AJ35">
        <v>0</v>
      </c>
      <c r="AK35">
        <v>15</v>
      </c>
      <c r="AL35" t="s">
        <v>587</v>
      </c>
      <c r="AM35" t="s">
        <v>225</v>
      </c>
      <c r="AN35" t="s">
        <v>588</v>
      </c>
      <c r="AO35" t="s">
        <v>589</v>
      </c>
      <c r="AP35" t="s">
        <v>74</v>
      </c>
      <c r="AQ35" t="s">
        <v>74</v>
      </c>
      <c r="AR35" t="s">
        <v>590</v>
      </c>
      <c r="AS35" t="s">
        <v>591</v>
      </c>
      <c r="AT35" t="s">
        <v>505</v>
      </c>
      <c r="AU35">
        <v>2010</v>
      </c>
      <c r="AV35">
        <v>22</v>
      </c>
      <c r="AW35">
        <v>2</v>
      </c>
      <c r="AX35" t="s">
        <v>74</v>
      </c>
      <c r="AY35" t="s">
        <v>74</v>
      </c>
      <c r="AZ35" t="s">
        <v>74</v>
      </c>
      <c r="BA35" t="s">
        <v>74</v>
      </c>
      <c r="BB35">
        <v>185</v>
      </c>
      <c r="BC35">
        <v>192</v>
      </c>
      <c r="BD35" t="s">
        <v>74</v>
      </c>
      <c r="BE35" t="s">
        <v>765</v>
      </c>
      <c r="BF35" t="str">
        <f>HYPERLINK("http://dx.doi.org/10.1017/S0954102009990708","http://dx.doi.org/10.1017/S0954102009990708")</f>
        <v>http://dx.doi.org/10.1017/S0954102009990708</v>
      </c>
      <c r="BG35" t="s">
        <v>74</v>
      </c>
      <c r="BH35" t="s">
        <v>74</v>
      </c>
      <c r="BI35">
        <v>8</v>
      </c>
      <c r="BJ35" t="s">
        <v>593</v>
      </c>
      <c r="BK35" t="s">
        <v>102</v>
      </c>
      <c r="BL35" t="s">
        <v>594</v>
      </c>
      <c r="BM35" t="s">
        <v>595</v>
      </c>
      <c r="BN35" t="s">
        <v>74</v>
      </c>
      <c r="BO35" t="s">
        <v>74</v>
      </c>
      <c r="BP35" t="s">
        <v>74</v>
      </c>
      <c r="BQ35" t="s">
        <v>74</v>
      </c>
      <c r="BR35" t="s">
        <v>105</v>
      </c>
      <c r="BS35" t="s">
        <v>766</v>
      </c>
      <c r="BT35" t="str">
        <f>HYPERLINK("https%3A%2F%2Fwww.webofscience.com%2Fwos%2Fwoscc%2Ffull-record%2FWOS:000276869200012","View Full Record in Web of Science")</f>
        <v>View Full Record in Web of Science</v>
      </c>
    </row>
    <row r="36" spans="1:72" x14ac:dyDescent="0.15">
      <c r="A36" t="s">
        <v>72</v>
      </c>
      <c r="B36" t="s">
        <v>767</v>
      </c>
      <c r="C36" t="s">
        <v>74</v>
      </c>
      <c r="D36" t="s">
        <v>74</v>
      </c>
      <c r="E36" t="s">
        <v>74</v>
      </c>
      <c r="F36" t="s">
        <v>768</v>
      </c>
      <c r="G36" t="s">
        <v>74</v>
      </c>
      <c r="H36" t="s">
        <v>74</v>
      </c>
      <c r="I36" t="s">
        <v>769</v>
      </c>
      <c r="J36" t="s">
        <v>586</v>
      </c>
      <c r="K36" t="s">
        <v>74</v>
      </c>
      <c r="L36" t="s">
        <v>74</v>
      </c>
      <c r="M36" t="s">
        <v>78</v>
      </c>
      <c r="N36" t="s">
        <v>79</v>
      </c>
      <c r="O36" t="s">
        <v>74</v>
      </c>
      <c r="P36" t="s">
        <v>74</v>
      </c>
      <c r="Q36" t="s">
        <v>74</v>
      </c>
      <c r="R36" t="s">
        <v>74</v>
      </c>
      <c r="S36" t="s">
        <v>74</v>
      </c>
      <c r="T36" t="s">
        <v>770</v>
      </c>
      <c r="U36" t="s">
        <v>771</v>
      </c>
      <c r="V36" t="s">
        <v>772</v>
      </c>
      <c r="W36" t="s">
        <v>773</v>
      </c>
      <c r="X36" t="s">
        <v>774</v>
      </c>
      <c r="Y36" t="s">
        <v>775</v>
      </c>
      <c r="Z36" t="s">
        <v>776</v>
      </c>
      <c r="AA36" t="s">
        <v>74</v>
      </c>
      <c r="AB36" t="s">
        <v>74</v>
      </c>
      <c r="AC36" t="s">
        <v>777</v>
      </c>
      <c r="AD36" t="s">
        <v>778</v>
      </c>
      <c r="AE36" t="s">
        <v>779</v>
      </c>
      <c r="AF36" t="s">
        <v>74</v>
      </c>
      <c r="AG36">
        <v>36</v>
      </c>
      <c r="AH36">
        <v>27</v>
      </c>
      <c r="AI36">
        <v>29</v>
      </c>
      <c r="AJ36">
        <v>0</v>
      </c>
      <c r="AK36">
        <v>3</v>
      </c>
      <c r="AL36" t="s">
        <v>587</v>
      </c>
      <c r="AM36" t="s">
        <v>225</v>
      </c>
      <c r="AN36" t="s">
        <v>588</v>
      </c>
      <c r="AO36" t="s">
        <v>589</v>
      </c>
      <c r="AP36" t="s">
        <v>613</v>
      </c>
      <c r="AQ36" t="s">
        <v>74</v>
      </c>
      <c r="AR36" t="s">
        <v>590</v>
      </c>
      <c r="AS36" t="s">
        <v>591</v>
      </c>
      <c r="AT36" t="s">
        <v>505</v>
      </c>
      <c r="AU36">
        <v>2010</v>
      </c>
      <c r="AV36">
        <v>22</v>
      </c>
      <c r="AW36">
        <v>2</v>
      </c>
      <c r="AX36" t="s">
        <v>74</v>
      </c>
      <c r="AY36" t="s">
        <v>74</v>
      </c>
      <c r="AZ36" t="s">
        <v>74</v>
      </c>
      <c r="BA36" t="s">
        <v>74</v>
      </c>
      <c r="BB36">
        <v>193</v>
      </c>
      <c r="BC36">
        <v>198</v>
      </c>
      <c r="BD36" t="s">
        <v>74</v>
      </c>
      <c r="BE36" t="s">
        <v>780</v>
      </c>
      <c r="BF36" t="str">
        <f>HYPERLINK("http://dx.doi.org/10.1017/S0954102009990629","http://dx.doi.org/10.1017/S0954102009990629")</f>
        <v>http://dx.doi.org/10.1017/S0954102009990629</v>
      </c>
      <c r="BG36" t="s">
        <v>74</v>
      </c>
      <c r="BH36" t="s">
        <v>74</v>
      </c>
      <c r="BI36">
        <v>6</v>
      </c>
      <c r="BJ36" t="s">
        <v>593</v>
      </c>
      <c r="BK36" t="s">
        <v>102</v>
      </c>
      <c r="BL36" t="s">
        <v>594</v>
      </c>
      <c r="BM36" t="s">
        <v>595</v>
      </c>
      <c r="BN36" t="s">
        <v>74</v>
      </c>
      <c r="BO36" t="s">
        <v>74</v>
      </c>
      <c r="BP36" t="s">
        <v>74</v>
      </c>
      <c r="BQ36" t="s">
        <v>74</v>
      </c>
      <c r="BR36" t="s">
        <v>105</v>
      </c>
      <c r="BS36" t="s">
        <v>781</v>
      </c>
      <c r="BT36" t="str">
        <f>HYPERLINK("https%3A%2F%2Fwww.webofscience.com%2Fwos%2Fwoscc%2Ffull-record%2FWOS:000276869200013","View Full Record in Web of Science")</f>
        <v>View Full Record in Web of Science</v>
      </c>
    </row>
    <row r="37" spans="1:72" x14ac:dyDescent="0.15">
      <c r="A37" t="s">
        <v>72</v>
      </c>
      <c r="B37" t="s">
        <v>782</v>
      </c>
      <c r="C37" t="s">
        <v>74</v>
      </c>
      <c r="D37" t="s">
        <v>74</v>
      </c>
      <c r="E37" t="s">
        <v>74</v>
      </c>
      <c r="F37" t="s">
        <v>783</v>
      </c>
      <c r="G37" t="s">
        <v>74</v>
      </c>
      <c r="H37" t="s">
        <v>74</v>
      </c>
      <c r="I37" t="s">
        <v>784</v>
      </c>
      <c r="J37" t="s">
        <v>586</v>
      </c>
      <c r="K37" t="s">
        <v>74</v>
      </c>
      <c r="L37" t="s">
        <v>74</v>
      </c>
      <c r="M37" t="s">
        <v>78</v>
      </c>
      <c r="N37" t="s">
        <v>79</v>
      </c>
      <c r="O37" t="s">
        <v>74</v>
      </c>
      <c r="P37" t="s">
        <v>74</v>
      </c>
      <c r="Q37" t="s">
        <v>74</v>
      </c>
      <c r="R37" t="s">
        <v>74</v>
      </c>
      <c r="S37" t="s">
        <v>74</v>
      </c>
      <c r="T37" t="s">
        <v>785</v>
      </c>
      <c r="U37" t="s">
        <v>786</v>
      </c>
      <c r="V37" t="s">
        <v>787</v>
      </c>
      <c r="W37" t="s">
        <v>788</v>
      </c>
      <c r="X37" t="s">
        <v>789</v>
      </c>
      <c r="Y37" t="s">
        <v>790</v>
      </c>
      <c r="Z37" t="s">
        <v>791</v>
      </c>
      <c r="AA37" t="s">
        <v>74</v>
      </c>
      <c r="AB37" t="s">
        <v>74</v>
      </c>
      <c r="AC37" t="s">
        <v>792</v>
      </c>
      <c r="AD37" t="s">
        <v>793</v>
      </c>
      <c r="AE37" t="s">
        <v>794</v>
      </c>
      <c r="AF37" t="s">
        <v>74</v>
      </c>
      <c r="AG37">
        <v>15</v>
      </c>
      <c r="AH37">
        <v>4</v>
      </c>
      <c r="AI37">
        <v>4</v>
      </c>
      <c r="AJ37">
        <v>0</v>
      </c>
      <c r="AK37">
        <v>4</v>
      </c>
      <c r="AL37" t="s">
        <v>587</v>
      </c>
      <c r="AM37" t="s">
        <v>225</v>
      </c>
      <c r="AN37" t="s">
        <v>588</v>
      </c>
      <c r="AO37" t="s">
        <v>589</v>
      </c>
      <c r="AP37" t="s">
        <v>74</v>
      </c>
      <c r="AQ37" t="s">
        <v>74</v>
      </c>
      <c r="AR37" t="s">
        <v>590</v>
      </c>
      <c r="AS37" t="s">
        <v>591</v>
      </c>
      <c r="AT37" t="s">
        <v>505</v>
      </c>
      <c r="AU37">
        <v>2010</v>
      </c>
      <c r="AV37">
        <v>22</v>
      </c>
      <c r="AW37">
        <v>2</v>
      </c>
      <c r="AX37" t="s">
        <v>74</v>
      </c>
      <c r="AY37" t="s">
        <v>74</v>
      </c>
      <c r="AZ37" t="s">
        <v>74</v>
      </c>
      <c r="BA37" t="s">
        <v>74</v>
      </c>
      <c r="BB37">
        <v>199</v>
      </c>
      <c r="BC37">
        <v>208</v>
      </c>
      <c r="BD37" t="s">
        <v>74</v>
      </c>
      <c r="BE37" t="s">
        <v>795</v>
      </c>
      <c r="BF37" t="str">
        <f>HYPERLINK("http://dx.doi.org/10.1017/S0954102010000027","http://dx.doi.org/10.1017/S0954102010000027")</f>
        <v>http://dx.doi.org/10.1017/S0954102010000027</v>
      </c>
      <c r="BG37" t="s">
        <v>74</v>
      </c>
      <c r="BH37" t="s">
        <v>74</v>
      </c>
      <c r="BI37">
        <v>10</v>
      </c>
      <c r="BJ37" t="s">
        <v>593</v>
      </c>
      <c r="BK37" t="s">
        <v>102</v>
      </c>
      <c r="BL37" t="s">
        <v>594</v>
      </c>
      <c r="BM37" t="s">
        <v>595</v>
      </c>
      <c r="BN37" t="s">
        <v>74</v>
      </c>
      <c r="BO37" t="s">
        <v>74</v>
      </c>
      <c r="BP37" t="s">
        <v>74</v>
      </c>
      <c r="BQ37" t="s">
        <v>74</v>
      </c>
      <c r="BR37" t="s">
        <v>105</v>
      </c>
      <c r="BS37" t="s">
        <v>796</v>
      </c>
      <c r="BT37" t="str">
        <f>HYPERLINK("https%3A%2F%2Fwww.webofscience.com%2Fwos%2Fwoscc%2Ffull-record%2FWOS:000276869200014","View Full Record in Web of Science")</f>
        <v>View Full Record in Web of Science</v>
      </c>
    </row>
    <row r="38" spans="1:72" x14ac:dyDescent="0.15">
      <c r="A38" t="s">
        <v>72</v>
      </c>
      <c r="B38" t="s">
        <v>797</v>
      </c>
      <c r="C38" t="s">
        <v>74</v>
      </c>
      <c r="D38" t="s">
        <v>74</v>
      </c>
      <c r="E38" t="s">
        <v>74</v>
      </c>
      <c r="F38" t="s">
        <v>798</v>
      </c>
      <c r="G38" t="s">
        <v>74</v>
      </c>
      <c r="H38" t="s">
        <v>74</v>
      </c>
      <c r="I38" t="s">
        <v>799</v>
      </c>
      <c r="J38" t="s">
        <v>800</v>
      </c>
      <c r="K38" t="s">
        <v>74</v>
      </c>
      <c r="L38" t="s">
        <v>74</v>
      </c>
      <c r="M38" t="s">
        <v>78</v>
      </c>
      <c r="N38" t="s">
        <v>79</v>
      </c>
      <c r="O38" t="s">
        <v>74</v>
      </c>
      <c r="P38" t="s">
        <v>74</v>
      </c>
      <c r="Q38" t="s">
        <v>74</v>
      </c>
      <c r="R38" t="s">
        <v>74</v>
      </c>
      <c r="S38" t="s">
        <v>74</v>
      </c>
      <c r="T38" t="s">
        <v>801</v>
      </c>
      <c r="U38" t="s">
        <v>802</v>
      </c>
      <c r="V38" t="s">
        <v>803</v>
      </c>
      <c r="W38" t="s">
        <v>804</v>
      </c>
      <c r="X38" t="s">
        <v>805</v>
      </c>
      <c r="Y38" t="s">
        <v>806</v>
      </c>
      <c r="Z38" t="s">
        <v>807</v>
      </c>
      <c r="AA38" t="s">
        <v>808</v>
      </c>
      <c r="AB38" t="s">
        <v>809</v>
      </c>
      <c r="AC38" t="s">
        <v>810</v>
      </c>
      <c r="AD38" t="s">
        <v>811</v>
      </c>
      <c r="AE38" t="s">
        <v>812</v>
      </c>
      <c r="AF38" t="s">
        <v>74</v>
      </c>
      <c r="AG38">
        <v>54</v>
      </c>
      <c r="AH38">
        <v>34</v>
      </c>
      <c r="AI38">
        <v>37</v>
      </c>
      <c r="AJ38">
        <v>1</v>
      </c>
      <c r="AK38">
        <v>23</v>
      </c>
      <c r="AL38" t="s">
        <v>813</v>
      </c>
      <c r="AM38" t="s">
        <v>814</v>
      </c>
      <c r="AN38" t="s">
        <v>815</v>
      </c>
      <c r="AO38" t="s">
        <v>816</v>
      </c>
      <c r="AP38" t="s">
        <v>74</v>
      </c>
      <c r="AQ38" t="s">
        <v>74</v>
      </c>
      <c r="AR38" t="s">
        <v>800</v>
      </c>
      <c r="AS38" t="s">
        <v>817</v>
      </c>
      <c r="AT38" t="s">
        <v>505</v>
      </c>
      <c r="AU38">
        <v>2010</v>
      </c>
      <c r="AV38">
        <v>98</v>
      </c>
      <c r="AW38" t="s">
        <v>818</v>
      </c>
      <c r="AX38" t="s">
        <v>74</v>
      </c>
      <c r="AY38" t="s">
        <v>74</v>
      </c>
      <c r="AZ38" t="s">
        <v>74</v>
      </c>
      <c r="BA38" t="s">
        <v>74</v>
      </c>
      <c r="BB38">
        <v>9</v>
      </c>
      <c r="BC38">
        <v>27</v>
      </c>
      <c r="BD38" t="s">
        <v>74</v>
      </c>
      <c r="BE38" t="s">
        <v>819</v>
      </c>
      <c r="BF38" t="str">
        <f>HYPERLINK("http://dx.doi.org/10.1007/s10533-009-9372-2","http://dx.doi.org/10.1007/s10533-009-9372-2")</f>
        <v>http://dx.doi.org/10.1007/s10533-009-9372-2</v>
      </c>
      <c r="BG38" t="s">
        <v>74</v>
      </c>
      <c r="BH38" t="s">
        <v>74</v>
      </c>
      <c r="BI38">
        <v>19</v>
      </c>
      <c r="BJ38" t="s">
        <v>820</v>
      </c>
      <c r="BK38" t="s">
        <v>102</v>
      </c>
      <c r="BL38" t="s">
        <v>821</v>
      </c>
      <c r="BM38" t="s">
        <v>822</v>
      </c>
      <c r="BN38" t="s">
        <v>74</v>
      </c>
      <c r="BO38" t="s">
        <v>74</v>
      </c>
      <c r="BP38" t="s">
        <v>74</v>
      </c>
      <c r="BQ38" t="s">
        <v>74</v>
      </c>
      <c r="BR38" t="s">
        <v>105</v>
      </c>
      <c r="BS38" t="s">
        <v>823</v>
      </c>
      <c r="BT38" t="str">
        <f>HYPERLINK("https%3A%2F%2Fwww.webofscience.com%2Fwos%2Fwoscc%2Ffull-record%2FWOS:000276605000002","View Full Record in Web of Science")</f>
        <v>View Full Record in Web of Science</v>
      </c>
    </row>
    <row r="39" spans="1:72" x14ac:dyDescent="0.15">
      <c r="A39" t="s">
        <v>72</v>
      </c>
      <c r="B39" t="s">
        <v>824</v>
      </c>
      <c r="C39" t="s">
        <v>74</v>
      </c>
      <c r="D39" t="s">
        <v>74</v>
      </c>
      <c r="E39" t="s">
        <v>74</v>
      </c>
      <c r="F39" t="s">
        <v>825</v>
      </c>
      <c r="G39" t="s">
        <v>74</v>
      </c>
      <c r="H39" t="s">
        <v>74</v>
      </c>
      <c r="I39" t="s">
        <v>826</v>
      </c>
      <c r="J39" t="s">
        <v>827</v>
      </c>
      <c r="K39" t="s">
        <v>74</v>
      </c>
      <c r="L39" t="s">
        <v>74</v>
      </c>
      <c r="M39" t="s">
        <v>78</v>
      </c>
      <c r="N39" t="s">
        <v>79</v>
      </c>
      <c r="O39" t="s">
        <v>74</v>
      </c>
      <c r="P39" t="s">
        <v>74</v>
      </c>
      <c r="Q39" t="s">
        <v>74</v>
      </c>
      <c r="R39" t="s">
        <v>74</v>
      </c>
      <c r="S39" t="s">
        <v>74</v>
      </c>
      <c r="T39" t="s">
        <v>828</v>
      </c>
      <c r="U39" t="s">
        <v>829</v>
      </c>
      <c r="V39" t="s">
        <v>830</v>
      </c>
      <c r="W39" t="s">
        <v>831</v>
      </c>
      <c r="X39" t="s">
        <v>656</v>
      </c>
      <c r="Y39" t="s">
        <v>832</v>
      </c>
      <c r="Z39" t="s">
        <v>833</v>
      </c>
      <c r="AA39" t="s">
        <v>834</v>
      </c>
      <c r="AB39" t="s">
        <v>835</v>
      </c>
      <c r="AC39" t="s">
        <v>836</v>
      </c>
      <c r="AD39" t="s">
        <v>836</v>
      </c>
      <c r="AE39" t="s">
        <v>837</v>
      </c>
      <c r="AF39" t="s">
        <v>74</v>
      </c>
      <c r="AG39">
        <v>75</v>
      </c>
      <c r="AH39">
        <v>86</v>
      </c>
      <c r="AI39">
        <v>88</v>
      </c>
      <c r="AJ39">
        <v>0</v>
      </c>
      <c r="AK39">
        <v>55</v>
      </c>
      <c r="AL39" t="s">
        <v>813</v>
      </c>
      <c r="AM39" t="s">
        <v>814</v>
      </c>
      <c r="AN39" t="s">
        <v>815</v>
      </c>
      <c r="AO39" t="s">
        <v>838</v>
      </c>
      <c r="AP39" t="s">
        <v>839</v>
      </c>
      <c r="AQ39" t="s">
        <v>74</v>
      </c>
      <c r="AR39" t="s">
        <v>840</v>
      </c>
      <c r="AS39" t="s">
        <v>841</v>
      </c>
      <c r="AT39" t="s">
        <v>505</v>
      </c>
      <c r="AU39">
        <v>2010</v>
      </c>
      <c r="AV39">
        <v>12</v>
      </c>
      <c r="AW39">
        <v>4</v>
      </c>
      <c r="AX39" t="s">
        <v>74</v>
      </c>
      <c r="AY39" t="s">
        <v>74</v>
      </c>
      <c r="AZ39" t="s">
        <v>74</v>
      </c>
      <c r="BA39" t="s">
        <v>74</v>
      </c>
      <c r="BB39">
        <v>875</v>
      </c>
      <c r="BC39">
        <v>891</v>
      </c>
      <c r="BD39" t="s">
        <v>74</v>
      </c>
      <c r="BE39" t="s">
        <v>842</v>
      </c>
      <c r="BF39" t="str">
        <f>HYPERLINK("http://dx.doi.org/10.1007/s10530-009-9508-2","http://dx.doi.org/10.1007/s10530-009-9508-2")</f>
        <v>http://dx.doi.org/10.1007/s10530-009-9508-2</v>
      </c>
      <c r="BG39" t="s">
        <v>74</v>
      </c>
      <c r="BH39" t="s">
        <v>74</v>
      </c>
      <c r="BI39">
        <v>17</v>
      </c>
      <c r="BJ39" t="s">
        <v>843</v>
      </c>
      <c r="BK39" t="s">
        <v>102</v>
      </c>
      <c r="BL39" t="s">
        <v>844</v>
      </c>
      <c r="BM39" t="s">
        <v>845</v>
      </c>
      <c r="BN39" t="s">
        <v>74</v>
      </c>
      <c r="BO39" t="s">
        <v>74</v>
      </c>
      <c r="BP39" t="s">
        <v>74</v>
      </c>
      <c r="BQ39" t="s">
        <v>74</v>
      </c>
      <c r="BR39" t="s">
        <v>105</v>
      </c>
      <c r="BS39" t="s">
        <v>846</v>
      </c>
      <c r="BT39" t="str">
        <f>HYPERLINK("https%3A%2F%2Fwww.webofscience.com%2Fwos%2Fwoscc%2Ffull-record%2FWOS:000275634800017","View Full Record in Web of Science")</f>
        <v>View Full Record in Web of Science</v>
      </c>
    </row>
    <row r="40" spans="1:72" x14ac:dyDescent="0.15">
      <c r="A40" t="s">
        <v>72</v>
      </c>
      <c r="B40" t="s">
        <v>847</v>
      </c>
      <c r="C40" t="s">
        <v>74</v>
      </c>
      <c r="D40" t="s">
        <v>74</v>
      </c>
      <c r="E40" t="s">
        <v>74</v>
      </c>
      <c r="F40" t="s">
        <v>848</v>
      </c>
      <c r="G40" t="s">
        <v>74</v>
      </c>
      <c r="H40" t="s">
        <v>74</v>
      </c>
      <c r="I40" t="s">
        <v>849</v>
      </c>
      <c r="J40" t="s">
        <v>850</v>
      </c>
      <c r="K40" t="s">
        <v>74</v>
      </c>
      <c r="L40" t="s">
        <v>74</v>
      </c>
      <c r="M40" t="s">
        <v>78</v>
      </c>
      <c r="N40" t="s">
        <v>79</v>
      </c>
      <c r="O40" t="s">
        <v>74</v>
      </c>
      <c r="P40" t="s">
        <v>74</v>
      </c>
      <c r="Q40" t="s">
        <v>74</v>
      </c>
      <c r="R40" t="s">
        <v>74</v>
      </c>
      <c r="S40" t="s">
        <v>74</v>
      </c>
      <c r="T40" t="s">
        <v>851</v>
      </c>
      <c r="U40" t="s">
        <v>852</v>
      </c>
      <c r="V40" t="s">
        <v>853</v>
      </c>
      <c r="W40" t="s">
        <v>854</v>
      </c>
      <c r="X40" t="s">
        <v>855</v>
      </c>
      <c r="Y40" t="s">
        <v>856</v>
      </c>
      <c r="Z40" t="s">
        <v>857</v>
      </c>
      <c r="AA40" t="s">
        <v>74</v>
      </c>
      <c r="AB40" t="s">
        <v>858</v>
      </c>
      <c r="AC40" t="s">
        <v>859</v>
      </c>
      <c r="AD40" t="s">
        <v>860</v>
      </c>
      <c r="AE40" t="s">
        <v>861</v>
      </c>
      <c r="AF40" t="s">
        <v>74</v>
      </c>
      <c r="AG40">
        <v>25</v>
      </c>
      <c r="AH40">
        <v>6</v>
      </c>
      <c r="AI40">
        <v>7</v>
      </c>
      <c r="AJ40">
        <v>0</v>
      </c>
      <c r="AK40">
        <v>2</v>
      </c>
      <c r="AL40" t="s">
        <v>813</v>
      </c>
      <c r="AM40" t="s">
        <v>814</v>
      </c>
      <c r="AN40" t="s">
        <v>815</v>
      </c>
      <c r="AO40" t="s">
        <v>862</v>
      </c>
      <c r="AP40" t="s">
        <v>863</v>
      </c>
      <c r="AQ40" t="s">
        <v>74</v>
      </c>
      <c r="AR40" t="s">
        <v>864</v>
      </c>
      <c r="AS40" t="s">
        <v>865</v>
      </c>
      <c r="AT40" t="s">
        <v>505</v>
      </c>
      <c r="AU40">
        <v>2010</v>
      </c>
      <c r="AV40">
        <v>32</v>
      </c>
      <c r="AW40">
        <v>4</v>
      </c>
      <c r="AX40" t="s">
        <v>74</v>
      </c>
      <c r="AY40" t="s">
        <v>74</v>
      </c>
      <c r="AZ40" t="s">
        <v>74</v>
      </c>
      <c r="BA40" t="s">
        <v>74</v>
      </c>
      <c r="BB40">
        <v>471</v>
      </c>
      <c r="BC40">
        <v>475</v>
      </c>
      <c r="BD40" t="s">
        <v>74</v>
      </c>
      <c r="BE40" t="s">
        <v>866</v>
      </c>
      <c r="BF40" t="str">
        <f>HYPERLINK("http://dx.doi.org/10.1007/s10529-009-0191-2","http://dx.doi.org/10.1007/s10529-009-0191-2")</f>
        <v>http://dx.doi.org/10.1007/s10529-009-0191-2</v>
      </c>
      <c r="BG40" t="s">
        <v>74</v>
      </c>
      <c r="BH40" t="s">
        <v>74</v>
      </c>
      <c r="BI40">
        <v>5</v>
      </c>
      <c r="BJ40" t="s">
        <v>867</v>
      </c>
      <c r="BK40" t="s">
        <v>102</v>
      </c>
      <c r="BL40" t="s">
        <v>867</v>
      </c>
      <c r="BM40" t="s">
        <v>868</v>
      </c>
      <c r="BN40">
        <v>20035371</v>
      </c>
      <c r="BO40" t="s">
        <v>74</v>
      </c>
      <c r="BP40" t="s">
        <v>74</v>
      </c>
      <c r="BQ40" t="s">
        <v>74</v>
      </c>
      <c r="BR40" t="s">
        <v>105</v>
      </c>
      <c r="BS40" t="s">
        <v>869</v>
      </c>
      <c r="BT40" t="str">
        <f>HYPERLINK("https%3A%2F%2Fwww.webofscience.com%2Fwos%2Fwoscc%2Ffull-record%2FWOS:000275455500002","View Full Record in Web of Science")</f>
        <v>View Full Record in Web of Science</v>
      </c>
    </row>
    <row r="41" spans="1:72" x14ac:dyDescent="0.15">
      <c r="A41" t="s">
        <v>72</v>
      </c>
      <c r="B41" t="s">
        <v>870</v>
      </c>
      <c r="C41" t="s">
        <v>74</v>
      </c>
      <c r="D41" t="s">
        <v>74</v>
      </c>
      <c r="E41" t="s">
        <v>74</v>
      </c>
      <c r="F41" t="s">
        <v>871</v>
      </c>
      <c r="G41" t="s">
        <v>74</v>
      </c>
      <c r="H41" t="s">
        <v>74</v>
      </c>
      <c r="I41" t="s">
        <v>872</v>
      </c>
      <c r="J41" t="s">
        <v>873</v>
      </c>
      <c r="K41" t="s">
        <v>74</v>
      </c>
      <c r="L41" t="s">
        <v>74</v>
      </c>
      <c r="M41" t="s">
        <v>78</v>
      </c>
      <c r="N41" t="s">
        <v>79</v>
      </c>
      <c r="O41" t="s">
        <v>74</v>
      </c>
      <c r="P41" t="s">
        <v>74</v>
      </c>
      <c r="Q41" t="s">
        <v>74</v>
      </c>
      <c r="R41" t="s">
        <v>74</v>
      </c>
      <c r="S41" t="s">
        <v>74</v>
      </c>
      <c r="T41" t="s">
        <v>874</v>
      </c>
      <c r="U41" t="s">
        <v>875</v>
      </c>
      <c r="V41" t="s">
        <v>876</v>
      </c>
      <c r="W41" t="s">
        <v>877</v>
      </c>
      <c r="X41" t="s">
        <v>878</v>
      </c>
      <c r="Y41" t="s">
        <v>879</v>
      </c>
      <c r="Z41" t="s">
        <v>880</v>
      </c>
      <c r="AA41" t="s">
        <v>881</v>
      </c>
      <c r="AB41" t="s">
        <v>882</v>
      </c>
      <c r="AC41" t="s">
        <v>74</v>
      </c>
      <c r="AD41" t="s">
        <v>74</v>
      </c>
      <c r="AE41" t="s">
        <v>74</v>
      </c>
      <c r="AF41" t="s">
        <v>74</v>
      </c>
      <c r="AG41">
        <v>30</v>
      </c>
      <c r="AH41">
        <v>7</v>
      </c>
      <c r="AI41">
        <v>8</v>
      </c>
      <c r="AJ41">
        <v>0</v>
      </c>
      <c r="AK41">
        <v>6</v>
      </c>
      <c r="AL41" t="s">
        <v>883</v>
      </c>
      <c r="AM41" t="s">
        <v>884</v>
      </c>
      <c r="AN41" t="s">
        <v>885</v>
      </c>
      <c r="AO41" t="s">
        <v>886</v>
      </c>
      <c r="AP41" t="s">
        <v>887</v>
      </c>
      <c r="AQ41" t="s">
        <v>74</v>
      </c>
      <c r="AR41" t="s">
        <v>873</v>
      </c>
      <c r="AS41" t="s">
        <v>888</v>
      </c>
      <c r="AT41" t="s">
        <v>505</v>
      </c>
      <c r="AU41">
        <v>2010</v>
      </c>
      <c r="AV41">
        <v>88</v>
      </c>
      <c r="AW41">
        <v>4</v>
      </c>
      <c r="AX41" t="s">
        <v>74</v>
      </c>
      <c r="AY41" t="s">
        <v>74</v>
      </c>
      <c r="AZ41" t="s">
        <v>74</v>
      </c>
      <c r="BA41" t="s">
        <v>74</v>
      </c>
      <c r="BB41">
        <v>389</v>
      </c>
      <c r="BC41">
        <v>396</v>
      </c>
      <c r="BD41" t="s">
        <v>74</v>
      </c>
      <c r="BE41" t="s">
        <v>889</v>
      </c>
      <c r="BF41" t="str">
        <f>HYPERLINK("http://dx.doi.org/10.1139/B10-001","http://dx.doi.org/10.1139/B10-001")</f>
        <v>http://dx.doi.org/10.1139/B10-001</v>
      </c>
      <c r="BG41" t="s">
        <v>74</v>
      </c>
      <c r="BH41" t="s">
        <v>74</v>
      </c>
      <c r="BI41">
        <v>8</v>
      </c>
      <c r="BJ41" t="s">
        <v>890</v>
      </c>
      <c r="BK41" t="s">
        <v>102</v>
      </c>
      <c r="BL41" t="s">
        <v>890</v>
      </c>
      <c r="BM41" t="s">
        <v>891</v>
      </c>
      <c r="BN41" t="s">
        <v>74</v>
      </c>
      <c r="BO41" t="s">
        <v>74</v>
      </c>
      <c r="BP41" t="s">
        <v>74</v>
      </c>
      <c r="BQ41" t="s">
        <v>74</v>
      </c>
      <c r="BR41" t="s">
        <v>105</v>
      </c>
      <c r="BS41" t="s">
        <v>892</v>
      </c>
      <c r="BT41" t="str">
        <f>HYPERLINK("https%3A%2F%2Fwww.webofscience.com%2Fwos%2Fwoscc%2Ffull-record%2FWOS:000277319200013","View Full Record in Web of Science")</f>
        <v>View Full Record in Web of Science</v>
      </c>
    </row>
    <row r="42" spans="1:72" x14ac:dyDescent="0.15">
      <c r="A42" t="s">
        <v>72</v>
      </c>
      <c r="B42" t="s">
        <v>893</v>
      </c>
      <c r="C42" t="s">
        <v>74</v>
      </c>
      <c r="D42" t="s">
        <v>74</v>
      </c>
      <c r="E42" t="s">
        <v>74</v>
      </c>
      <c r="F42" t="s">
        <v>894</v>
      </c>
      <c r="G42" t="s">
        <v>74</v>
      </c>
      <c r="H42" t="s">
        <v>74</v>
      </c>
      <c r="I42" t="s">
        <v>895</v>
      </c>
      <c r="J42" t="s">
        <v>896</v>
      </c>
      <c r="K42" t="s">
        <v>74</v>
      </c>
      <c r="L42" t="s">
        <v>74</v>
      </c>
      <c r="M42" t="s">
        <v>78</v>
      </c>
      <c r="N42" t="s">
        <v>79</v>
      </c>
      <c r="O42" t="s">
        <v>74</v>
      </c>
      <c r="P42" t="s">
        <v>74</v>
      </c>
      <c r="Q42" t="s">
        <v>74</v>
      </c>
      <c r="R42" t="s">
        <v>74</v>
      </c>
      <c r="S42" t="s">
        <v>74</v>
      </c>
      <c r="T42" t="s">
        <v>897</v>
      </c>
      <c r="U42" t="s">
        <v>898</v>
      </c>
      <c r="V42" t="s">
        <v>899</v>
      </c>
      <c r="W42" t="s">
        <v>900</v>
      </c>
      <c r="X42" t="s">
        <v>901</v>
      </c>
      <c r="Y42" t="s">
        <v>902</v>
      </c>
      <c r="Z42" t="s">
        <v>903</v>
      </c>
      <c r="AA42" t="s">
        <v>74</v>
      </c>
      <c r="AB42" t="s">
        <v>904</v>
      </c>
      <c r="AC42" t="s">
        <v>905</v>
      </c>
      <c r="AD42" t="s">
        <v>905</v>
      </c>
      <c r="AE42" t="s">
        <v>906</v>
      </c>
      <c r="AF42" t="s">
        <v>74</v>
      </c>
      <c r="AG42">
        <v>77</v>
      </c>
      <c r="AH42">
        <v>46</v>
      </c>
      <c r="AI42">
        <v>51</v>
      </c>
      <c r="AJ42">
        <v>0</v>
      </c>
      <c r="AK42">
        <v>16</v>
      </c>
      <c r="AL42" t="s">
        <v>813</v>
      </c>
      <c r="AM42" t="s">
        <v>225</v>
      </c>
      <c r="AN42" t="s">
        <v>907</v>
      </c>
      <c r="AO42" t="s">
        <v>908</v>
      </c>
      <c r="AP42" t="s">
        <v>909</v>
      </c>
      <c r="AQ42" t="s">
        <v>74</v>
      </c>
      <c r="AR42" t="s">
        <v>910</v>
      </c>
      <c r="AS42" t="s">
        <v>911</v>
      </c>
      <c r="AT42" t="s">
        <v>505</v>
      </c>
      <c r="AU42">
        <v>2010</v>
      </c>
      <c r="AV42">
        <v>72</v>
      </c>
      <c r="AW42">
        <v>3</v>
      </c>
      <c r="AX42" t="s">
        <v>74</v>
      </c>
      <c r="AY42" t="s">
        <v>74</v>
      </c>
      <c r="AZ42" t="s">
        <v>74</v>
      </c>
      <c r="BA42" t="s">
        <v>74</v>
      </c>
      <c r="BB42">
        <v>357</v>
      </c>
      <c r="BC42">
        <v>371</v>
      </c>
      <c r="BD42" t="s">
        <v>74</v>
      </c>
      <c r="BE42" t="s">
        <v>912</v>
      </c>
      <c r="BF42" t="str">
        <f>HYPERLINK("http://dx.doi.org/10.1007/s00445-009-0319-1","http://dx.doi.org/10.1007/s00445-009-0319-1")</f>
        <v>http://dx.doi.org/10.1007/s00445-009-0319-1</v>
      </c>
      <c r="BG42" t="s">
        <v>74</v>
      </c>
      <c r="BH42" t="s">
        <v>74</v>
      </c>
      <c r="BI42">
        <v>15</v>
      </c>
      <c r="BJ42" t="s">
        <v>913</v>
      </c>
      <c r="BK42" t="s">
        <v>102</v>
      </c>
      <c r="BL42" t="s">
        <v>914</v>
      </c>
      <c r="BM42" t="s">
        <v>915</v>
      </c>
      <c r="BN42" t="s">
        <v>74</v>
      </c>
      <c r="BO42" t="s">
        <v>74</v>
      </c>
      <c r="BP42" t="s">
        <v>74</v>
      </c>
      <c r="BQ42" t="s">
        <v>74</v>
      </c>
      <c r="BR42" t="s">
        <v>105</v>
      </c>
      <c r="BS42" t="s">
        <v>916</v>
      </c>
      <c r="BT42" t="str">
        <f>HYPERLINK("https%3A%2F%2Fwww.webofscience.com%2Fwos%2Fwoscc%2Ffull-record%2FWOS:000275459900007","View Full Record in Web of Science")</f>
        <v>View Full Record in Web of Science</v>
      </c>
    </row>
    <row r="43" spans="1:72" x14ac:dyDescent="0.15">
      <c r="A43" t="s">
        <v>72</v>
      </c>
      <c r="B43" t="s">
        <v>917</v>
      </c>
      <c r="C43" t="s">
        <v>74</v>
      </c>
      <c r="D43" t="s">
        <v>74</v>
      </c>
      <c r="E43" t="s">
        <v>74</v>
      </c>
      <c r="F43" t="s">
        <v>918</v>
      </c>
      <c r="G43" t="s">
        <v>74</v>
      </c>
      <c r="H43" t="s">
        <v>74</v>
      </c>
      <c r="I43" t="s">
        <v>919</v>
      </c>
      <c r="J43" t="s">
        <v>920</v>
      </c>
      <c r="K43" t="s">
        <v>74</v>
      </c>
      <c r="L43" t="s">
        <v>74</v>
      </c>
      <c r="M43" t="s">
        <v>78</v>
      </c>
      <c r="N43" t="s">
        <v>79</v>
      </c>
      <c r="O43" t="s">
        <v>74</v>
      </c>
      <c r="P43" t="s">
        <v>74</v>
      </c>
      <c r="Q43" t="s">
        <v>74</v>
      </c>
      <c r="R43" t="s">
        <v>74</v>
      </c>
      <c r="S43" t="s">
        <v>74</v>
      </c>
      <c r="T43" t="s">
        <v>921</v>
      </c>
      <c r="U43" t="s">
        <v>922</v>
      </c>
      <c r="V43" t="s">
        <v>923</v>
      </c>
      <c r="W43" t="s">
        <v>924</v>
      </c>
      <c r="X43" t="s">
        <v>925</v>
      </c>
      <c r="Y43" t="s">
        <v>926</v>
      </c>
      <c r="Z43" t="s">
        <v>927</v>
      </c>
      <c r="AA43" t="s">
        <v>928</v>
      </c>
      <c r="AB43" t="s">
        <v>929</v>
      </c>
      <c r="AC43" t="s">
        <v>930</v>
      </c>
      <c r="AD43" t="s">
        <v>931</v>
      </c>
      <c r="AE43" t="s">
        <v>932</v>
      </c>
      <c r="AF43" t="s">
        <v>74</v>
      </c>
      <c r="AG43">
        <v>36</v>
      </c>
      <c r="AH43">
        <v>4</v>
      </c>
      <c r="AI43">
        <v>4</v>
      </c>
      <c r="AJ43">
        <v>3</v>
      </c>
      <c r="AK43">
        <v>32</v>
      </c>
      <c r="AL43" t="s">
        <v>933</v>
      </c>
      <c r="AM43" t="s">
        <v>934</v>
      </c>
      <c r="AN43" t="s">
        <v>935</v>
      </c>
      <c r="AO43" t="s">
        <v>936</v>
      </c>
      <c r="AP43" t="s">
        <v>937</v>
      </c>
      <c r="AQ43" t="s">
        <v>74</v>
      </c>
      <c r="AR43" t="s">
        <v>938</v>
      </c>
      <c r="AS43" t="s">
        <v>939</v>
      </c>
      <c r="AT43" t="s">
        <v>505</v>
      </c>
      <c r="AU43">
        <v>2010</v>
      </c>
      <c r="AV43">
        <v>55</v>
      </c>
      <c r="AW43">
        <v>11</v>
      </c>
      <c r="AX43" t="s">
        <v>74</v>
      </c>
      <c r="AY43" t="s">
        <v>74</v>
      </c>
      <c r="AZ43" t="s">
        <v>74</v>
      </c>
      <c r="BA43" t="s">
        <v>74</v>
      </c>
      <c r="BB43">
        <v>1041</v>
      </c>
      <c r="BC43">
        <v>1046</v>
      </c>
      <c r="BD43" t="s">
        <v>74</v>
      </c>
      <c r="BE43" t="s">
        <v>940</v>
      </c>
      <c r="BF43" t="str">
        <f>HYPERLINK("http://dx.doi.org/10.1007/s11434-009-0542-3","http://dx.doi.org/10.1007/s11434-009-0542-3")</f>
        <v>http://dx.doi.org/10.1007/s11434-009-0542-3</v>
      </c>
      <c r="BG43" t="s">
        <v>74</v>
      </c>
      <c r="BH43" t="s">
        <v>74</v>
      </c>
      <c r="BI43">
        <v>6</v>
      </c>
      <c r="BJ43" t="s">
        <v>323</v>
      </c>
      <c r="BK43" t="s">
        <v>102</v>
      </c>
      <c r="BL43" t="s">
        <v>324</v>
      </c>
      <c r="BM43" t="s">
        <v>941</v>
      </c>
      <c r="BN43" t="s">
        <v>74</v>
      </c>
      <c r="BO43" t="s">
        <v>74</v>
      </c>
      <c r="BP43" t="s">
        <v>74</v>
      </c>
      <c r="BQ43" t="s">
        <v>74</v>
      </c>
      <c r="BR43" t="s">
        <v>105</v>
      </c>
      <c r="BS43" t="s">
        <v>942</v>
      </c>
      <c r="BT43" t="str">
        <f>HYPERLINK("https%3A%2F%2Fwww.webofscience.com%2Fwos%2Fwoscc%2Ffull-record%2FWOS:000276903400006","View Full Record in Web of Science")</f>
        <v>View Full Record in Web of Science</v>
      </c>
    </row>
    <row r="44" spans="1:72" x14ac:dyDescent="0.15">
      <c r="A44" t="s">
        <v>72</v>
      </c>
      <c r="B44" t="s">
        <v>943</v>
      </c>
      <c r="C44" t="s">
        <v>74</v>
      </c>
      <c r="D44" t="s">
        <v>74</v>
      </c>
      <c r="E44" t="s">
        <v>74</v>
      </c>
      <c r="F44" t="s">
        <v>944</v>
      </c>
      <c r="G44" t="s">
        <v>74</v>
      </c>
      <c r="H44" t="s">
        <v>74</v>
      </c>
      <c r="I44" t="s">
        <v>945</v>
      </c>
      <c r="J44" t="s">
        <v>920</v>
      </c>
      <c r="K44" t="s">
        <v>74</v>
      </c>
      <c r="L44" t="s">
        <v>74</v>
      </c>
      <c r="M44" t="s">
        <v>78</v>
      </c>
      <c r="N44" t="s">
        <v>79</v>
      </c>
      <c r="O44" t="s">
        <v>74</v>
      </c>
      <c r="P44" t="s">
        <v>74</v>
      </c>
      <c r="Q44" t="s">
        <v>74</v>
      </c>
      <c r="R44" t="s">
        <v>74</v>
      </c>
      <c r="S44" t="s">
        <v>74</v>
      </c>
      <c r="T44" t="s">
        <v>946</v>
      </c>
      <c r="U44" t="s">
        <v>947</v>
      </c>
      <c r="V44" t="s">
        <v>948</v>
      </c>
      <c r="W44" t="s">
        <v>949</v>
      </c>
      <c r="X44" t="s">
        <v>950</v>
      </c>
      <c r="Y44" t="s">
        <v>951</v>
      </c>
      <c r="Z44" t="s">
        <v>952</v>
      </c>
      <c r="AA44" t="s">
        <v>953</v>
      </c>
      <c r="AB44" t="s">
        <v>74</v>
      </c>
      <c r="AC44" t="s">
        <v>954</v>
      </c>
      <c r="AD44" t="s">
        <v>955</v>
      </c>
      <c r="AE44" t="s">
        <v>956</v>
      </c>
      <c r="AF44" t="s">
        <v>74</v>
      </c>
      <c r="AG44">
        <v>20</v>
      </c>
      <c r="AH44">
        <v>9</v>
      </c>
      <c r="AI44">
        <v>15</v>
      </c>
      <c r="AJ44">
        <v>0</v>
      </c>
      <c r="AK44">
        <v>13</v>
      </c>
      <c r="AL44" t="s">
        <v>933</v>
      </c>
      <c r="AM44" t="s">
        <v>934</v>
      </c>
      <c r="AN44" t="s">
        <v>935</v>
      </c>
      <c r="AO44" t="s">
        <v>936</v>
      </c>
      <c r="AP44" t="s">
        <v>937</v>
      </c>
      <c r="AQ44" t="s">
        <v>74</v>
      </c>
      <c r="AR44" t="s">
        <v>938</v>
      </c>
      <c r="AS44" t="s">
        <v>939</v>
      </c>
      <c r="AT44" t="s">
        <v>505</v>
      </c>
      <c r="AU44">
        <v>2010</v>
      </c>
      <c r="AV44">
        <v>55</v>
      </c>
      <c r="AW44">
        <v>11</v>
      </c>
      <c r="AX44" t="s">
        <v>74</v>
      </c>
      <c r="AY44" t="s">
        <v>74</v>
      </c>
      <c r="AZ44" t="s">
        <v>74</v>
      </c>
      <c r="BA44" t="s">
        <v>74</v>
      </c>
      <c r="BB44">
        <v>1084</v>
      </c>
      <c r="BC44">
        <v>1087</v>
      </c>
      <c r="BD44" t="s">
        <v>74</v>
      </c>
      <c r="BE44" t="s">
        <v>957</v>
      </c>
      <c r="BF44" t="str">
        <f>HYPERLINK("http://dx.doi.org/10.1007/s11434-009-0581-9","http://dx.doi.org/10.1007/s11434-009-0581-9")</f>
        <v>http://dx.doi.org/10.1007/s11434-009-0581-9</v>
      </c>
      <c r="BG44" t="s">
        <v>74</v>
      </c>
      <c r="BH44" t="s">
        <v>74</v>
      </c>
      <c r="BI44">
        <v>4</v>
      </c>
      <c r="BJ44" t="s">
        <v>323</v>
      </c>
      <c r="BK44" t="s">
        <v>102</v>
      </c>
      <c r="BL44" t="s">
        <v>324</v>
      </c>
      <c r="BM44" t="s">
        <v>941</v>
      </c>
      <c r="BN44" t="s">
        <v>74</v>
      </c>
      <c r="BO44" t="s">
        <v>74</v>
      </c>
      <c r="BP44" t="s">
        <v>74</v>
      </c>
      <c r="BQ44" t="s">
        <v>74</v>
      </c>
      <c r="BR44" t="s">
        <v>105</v>
      </c>
      <c r="BS44" t="s">
        <v>958</v>
      </c>
      <c r="BT44" t="str">
        <f>HYPERLINK("https%3A%2F%2Fwww.webofscience.com%2Fwos%2Fwoscc%2Ffull-record%2FWOS:000276903400012","View Full Record in Web of Science")</f>
        <v>View Full Record in Web of Science</v>
      </c>
    </row>
    <row r="45" spans="1:72" x14ac:dyDescent="0.15">
      <c r="A45" t="s">
        <v>72</v>
      </c>
      <c r="B45" t="s">
        <v>959</v>
      </c>
      <c r="C45" t="s">
        <v>74</v>
      </c>
      <c r="D45" t="s">
        <v>74</v>
      </c>
      <c r="E45" t="s">
        <v>74</v>
      </c>
      <c r="F45" t="s">
        <v>960</v>
      </c>
      <c r="G45" t="s">
        <v>74</v>
      </c>
      <c r="H45" t="s">
        <v>74</v>
      </c>
      <c r="I45" t="s">
        <v>961</v>
      </c>
      <c r="J45" t="s">
        <v>962</v>
      </c>
      <c r="K45" t="s">
        <v>74</v>
      </c>
      <c r="L45" t="s">
        <v>74</v>
      </c>
      <c r="M45" t="s">
        <v>78</v>
      </c>
      <c r="N45" t="s">
        <v>79</v>
      </c>
      <c r="O45" t="s">
        <v>74</v>
      </c>
      <c r="P45" t="s">
        <v>74</v>
      </c>
      <c r="Q45" t="s">
        <v>74</v>
      </c>
      <c r="R45" t="s">
        <v>74</v>
      </c>
      <c r="S45" t="s">
        <v>74</v>
      </c>
      <c r="T45" t="s">
        <v>74</v>
      </c>
      <c r="U45" t="s">
        <v>74</v>
      </c>
      <c r="V45" t="s">
        <v>963</v>
      </c>
      <c r="W45" t="s">
        <v>964</v>
      </c>
      <c r="X45" t="s">
        <v>965</v>
      </c>
      <c r="Y45" t="s">
        <v>966</v>
      </c>
      <c r="Z45" t="s">
        <v>967</v>
      </c>
      <c r="AA45" t="s">
        <v>74</v>
      </c>
      <c r="AB45" t="s">
        <v>74</v>
      </c>
      <c r="AC45" t="s">
        <v>74</v>
      </c>
      <c r="AD45" t="s">
        <v>74</v>
      </c>
      <c r="AE45" t="s">
        <v>74</v>
      </c>
      <c r="AF45" t="s">
        <v>74</v>
      </c>
      <c r="AG45">
        <v>28</v>
      </c>
      <c r="AH45">
        <v>104</v>
      </c>
      <c r="AI45">
        <v>116</v>
      </c>
      <c r="AJ45">
        <v>0</v>
      </c>
      <c r="AK45">
        <v>24</v>
      </c>
      <c r="AL45" t="s">
        <v>813</v>
      </c>
      <c r="AM45" t="s">
        <v>814</v>
      </c>
      <c r="AN45" t="s">
        <v>815</v>
      </c>
      <c r="AO45" t="s">
        <v>968</v>
      </c>
      <c r="AP45" t="s">
        <v>969</v>
      </c>
      <c r="AQ45" t="s">
        <v>74</v>
      </c>
      <c r="AR45" t="s">
        <v>962</v>
      </c>
      <c r="AS45" t="s">
        <v>970</v>
      </c>
      <c r="AT45" t="s">
        <v>505</v>
      </c>
      <c r="AU45">
        <v>2010</v>
      </c>
      <c r="AV45">
        <v>99</v>
      </c>
      <c r="AW45" t="s">
        <v>971</v>
      </c>
      <c r="AX45" t="s">
        <v>74</v>
      </c>
      <c r="AY45" t="s">
        <v>74</v>
      </c>
      <c r="AZ45" t="s">
        <v>74</v>
      </c>
      <c r="BA45" t="s">
        <v>74</v>
      </c>
      <c r="BB45">
        <v>331</v>
      </c>
      <c r="BC45">
        <v>350</v>
      </c>
      <c r="BD45" t="s">
        <v>74</v>
      </c>
      <c r="BE45" t="s">
        <v>972</v>
      </c>
      <c r="BF45" t="str">
        <f>HYPERLINK("http://dx.doi.org/10.1007/s10584-009-9671-6","http://dx.doi.org/10.1007/s10584-009-9671-6")</f>
        <v>http://dx.doi.org/10.1007/s10584-009-9671-6</v>
      </c>
      <c r="BG45" t="s">
        <v>74</v>
      </c>
      <c r="BH45" t="s">
        <v>74</v>
      </c>
      <c r="BI45">
        <v>20</v>
      </c>
      <c r="BJ45" t="s">
        <v>973</v>
      </c>
      <c r="BK45" t="s">
        <v>102</v>
      </c>
      <c r="BL45" t="s">
        <v>974</v>
      </c>
      <c r="BM45" t="s">
        <v>975</v>
      </c>
      <c r="BN45" t="s">
        <v>74</v>
      </c>
      <c r="BO45" t="s">
        <v>74</v>
      </c>
      <c r="BP45" t="s">
        <v>74</v>
      </c>
      <c r="BQ45" t="s">
        <v>74</v>
      </c>
      <c r="BR45" t="s">
        <v>105</v>
      </c>
      <c r="BS45" t="s">
        <v>976</v>
      </c>
      <c r="BT45" t="str">
        <f>HYPERLINK("https%3A%2F%2Fwww.webofscience.com%2Fwos%2Fwoscc%2Ffull-record%2FWOS:000275704500001","View Full Record in Web of Science")</f>
        <v>View Full Record in Web of Science</v>
      </c>
    </row>
    <row r="46" spans="1:72" x14ac:dyDescent="0.15">
      <c r="A46" t="s">
        <v>72</v>
      </c>
      <c r="B46" t="s">
        <v>977</v>
      </c>
      <c r="C46" t="s">
        <v>74</v>
      </c>
      <c r="D46" t="s">
        <v>74</v>
      </c>
      <c r="E46" t="s">
        <v>74</v>
      </c>
      <c r="F46" t="s">
        <v>978</v>
      </c>
      <c r="G46" t="s">
        <v>74</v>
      </c>
      <c r="H46" t="s">
        <v>74</v>
      </c>
      <c r="I46" t="s">
        <v>979</v>
      </c>
      <c r="J46" t="s">
        <v>980</v>
      </c>
      <c r="K46" t="s">
        <v>74</v>
      </c>
      <c r="L46" t="s">
        <v>74</v>
      </c>
      <c r="M46" t="s">
        <v>78</v>
      </c>
      <c r="N46" t="s">
        <v>79</v>
      </c>
      <c r="O46" t="s">
        <v>74</v>
      </c>
      <c r="P46" t="s">
        <v>74</v>
      </c>
      <c r="Q46" t="s">
        <v>74</v>
      </c>
      <c r="R46" t="s">
        <v>74</v>
      </c>
      <c r="S46" t="s">
        <v>74</v>
      </c>
      <c r="T46" t="s">
        <v>74</v>
      </c>
      <c r="U46" t="s">
        <v>981</v>
      </c>
      <c r="V46" t="s">
        <v>982</v>
      </c>
      <c r="W46" t="s">
        <v>983</v>
      </c>
      <c r="X46" t="s">
        <v>984</v>
      </c>
      <c r="Y46" t="s">
        <v>985</v>
      </c>
      <c r="Z46" t="s">
        <v>986</v>
      </c>
      <c r="AA46" t="s">
        <v>74</v>
      </c>
      <c r="AB46" t="s">
        <v>987</v>
      </c>
      <c r="AC46" t="s">
        <v>988</v>
      </c>
      <c r="AD46" t="s">
        <v>989</v>
      </c>
      <c r="AE46" t="s">
        <v>990</v>
      </c>
      <c r="AF46" t="s">
        <v>74</v>
      </c>
      <c r="AG46">
        <v>38</v>
      </c>
      <c r="AH46">
        <v>9</v>
      </c>
      <c r="AI46">
        <v>11</v>
      </c>
      <c r="AJ46">
        <v>1</v>
      </c>
      <c r="AK46">
        <v>14</v>
      </c>
      <c r="AL46" t="s">
        <v>991</v>
      </c>
      <c r="AM46" t="s">
        <v>992</v>
      </c>
      <c r="AN46" t="s">
        <v>993</v>
      </c>
      <c r="AO46" t="s">
        <v>994</v>
      </c>
      <c r="AP46" t="s">
        <v>995</v>
      </c>
      <c r="AQ46" t="s">
        <v>74</v>
      </c>
      <c r="AR46" t="s">
        <v>996</v>
      </c>
      <c r="AS46" t="s">
        <v>997</v>
      </c>
      <c r="AT46" t="s">
        <v>505</v>
      </c>
      <c r="AU46">
        <v>2010</v>
      </c>
      <c r="AV46">
        <v>72</v>
      </c>
      <c r="AW46">
        <v>4</v>
      </c>
      <c r="AX46" t="s">
        <v>74</v>
      </c>
      <c r="AY46" t="s">
        <v>74</v>
      </c>
      <c r="AZ46" t="s">
        <v>74</v>
      </c>
      <c r="BA46" t="s">
        <v>74</v>
      </c>
      <c r="BB46">
        <v>543</v>
      </c>
      <c r="BC46">
        <v>550</v>
      </c>
      <c r="BD46" t="s">
        <v>74</v>
      </c>
      <c r="BE46" t="s">
        <v>998</v>
      </c>
      <c r="BF46" t="str">
        <f>HYPERLINK("http://dx.doi.org/10.1111/j.1365-2265.2009.03669.x","http://dx.doi.org/10.1111/j.1365-2265.2009.03669.x")</f>
        <v>http://dx.doi.org/10.1111/j.1365-2265.2009.03669.x</v>
      </c>
      <c r="BG46" t="s">
        <v>74</v>
      </c>
      <c r="BH46" t="s">
        <v>74</v>
      </c>
      <c r="BI46">
        <v>8</v>
      </c>
      <c r="BJ46" t="s">
        <v>999</v>
      </c>
      <c r="BK46" t="s">
        <v>102</v>
      </c>
      <c r="BL46" t="s">
        <v>999</v>
      </c>
      <c r="BM46" t="s">
        <v>1000</v>
      </c>
      <c r="BN46">
        <v>19650782</v>
      </c>
      <c r="BO46" t="s">
        <v>74</v>
      </c>
      <c r="BP46" t="s">
        <v>74</v>
      </c>
      <c r="BQ46" t="s">
        <v>74</v>
      </c>
      <c r="BR46" t="s">
        <v>105</v>
      </c>
      <c r="BS46" t="s">
        <v>1001</v>
      </c>
      <c r="BT46" t="str">
        <f>HYPERLINK("https%3A%2F%2Fwww.webofscience.com%2Fwos%2Fwoscc%2Ffull-record%2FWOS:000275180700018","View Full Record in Web of Science")</f>
        <v>View Full Record in Web of Science</v>
      </c>
    </row>
    <row r="47" spans="1:72" x14ac:dyDescent="0.15">
      <c r="A47" t="s">
        <v>72</v>
      </c>
      <c r="B47" t="s">
        <v>1002</v>
      </c>
      <c r="C47" t="s">
        <v>74</v>
      </c>
      <c r="D47" t="s">
        <v>74</v>
      </c>
      <c r="E47" t="s">
        <v>74</v>
      </c>
      <c r="F47" t="s">
        <v>1003</v>
      </c>
      <c r="G47" t="s">
        <v>74</v>
      </c>
      <c r="H47" t="s">
        <v>74</v>
      </c>
      <c r="I47" t="s">
        <v>1004</v>
      </c>
      <c r="J47" t="s">
        <v>1005</v>
      </c>
      <c r="K47" t="s">
        <v>74</v>
      </c>
      <c r="L47" t="s">
        <v>74</v>
      </c>
      <c r="M47" t="s">
        <v>78</v>
      </c>
      <c r="N47" t="s">
        <v>79</v>
      </c>
      <c r="O47" t="s">
        <v>74</v>
      </c>
      <c r="P47" t="s">
        <v>74</v>
      </c>
      <c r="Q47" t="s">
        <v>74</v>
      </c>
      <c r="R47" t="s">
        <v>74</v>
      </c>
      <c r="S47" t="s">
        <v>74</v>
      </c>
      <c r="T47" t="s">
        <v>1006</v>
      </c>
      <c r="U47" t="s">
        <v>1007</v>
      </c>
      <c r="V47" t="s">
        <v>1008</v>
      </c>
      <c r="W47" t="s">
        <v>1009</v>
      </c>
      <c r="X47" t="s">
        <v>1010</v>
      </c>
      <c r="Y47" t="s">
        <v>1011</v>
      </c>
      <c r="Z47" t="s">
        <v>1012</v>
      </c>
      <c r="AA47" t="s">
        <v>1013</v>
      </c>
      <c r="AB47" t="s">
        <v>1014</v>
      </c>
      <c r="AC47" t="s">
        <v>1015</v>
      </c>
      <c r="AD47" t="s">
        <v>1016</v>
      </c>
      <c r="AE47" t="s">
        <v>1017</v>
      </c>
      <c r="AF47" t="s">
        <v>74</v>
      </c>
      <c r="AG47">
        <v>41</v>
      </c>
      <c r="AH47">
        <v>23</v>
      </c>
      <c r="AI47">
        <v>29</v>
      </c>
      <c r="AJ47">
        <v>0</v>
      </c>
      <c r="AK47">
        <v>7</v>
      </c>
      <c r="AL47" t="s">
        <v>224</v>
      </c>
      <c r="AM47" t="s">
        <v>225</v>
      </c>
      <c r="AN47" t="s">
        <v>226</v>
      </c>
      <c r="AO47" t="s">
        <v>1018</v>
      </c>
      <c r="AP47" t="s">
        <v>1019</v>
      </c>
      <c r="AQ47" t="s">
        <v>74</v>
      </c>
      <c r="AR47" t="s">
        <v>1020</v>
      </c>
      <c r="AS47" t="s">
        <v>1021</v>
      </c>
      <c r="AT47" t="s">
        <v>505</v>
      </c>
      <c r="AU47">
        <v>2010</v>
      </c>
      <c r="AV47">
        <v>155</v>
      </c>
      <c r="AW47">
        <v>4</v>
      </c>
      <c r="AX47" t="s">
        <v>74</v>
      </c>
      <c r="AY47" t="s">
        <v>74</v>
      </c>
      <c r="AZ47" t="s">
        <v>74</v>
      </c>
      <c r="BA47" t="s">
        <v>74</v>
      </c>
      <c r="BB47">
        <v>403</v>
      </c>
      <c r="BC47">
        <v>412</v>
      </c>
      <c r="BD47" t="s">
        <v>74</v>
      </c>
      <c r="BE47" t="s">
        <v>1022</v>
      </c>
      <c r="BF47" t="str">
        <f>HYPERLINK("http://dx.doi.org/10.1016/j.cbpb.2010.01.003","http://dx.doi.org/10.1016/j.cbpb.2010.01.003")</f>
        <v>http://dx.doi.org/10.1016/j.cbpb.2010.01.003</v>
      </c>
      <c r="BG47" t="s">
        <v>74</v>
      </c>
      <c r="BH47" t="s">
        <v>74</v>
      </c>
      <c r="BI47">
        <v>10</v>
      </c>
      <c r="BJ47" t="s">
        <v>1023</v>
      </c>
      <c r="BK47" t="s">
        <v>102</v>
      </c>
      <c r="BL47" t="s">
        <v>1023</v>
      </c>
      <c r="BM47" t="s">
        <v>1024</v>
      </c>
      <c r="BN47">
        <v>20079869</v>
      </c>
      <c r="BO47" t="s">
        <v>74</v>
      </c>
      <c r="BP47" t="s">
        <v>74</v>
      </c>
      <c r="BQ47" t="s">
        <v>74</v>
      </c>
      <c r="BR47" t="s">
        <v>105</v>
      </c>
      <c r="BS47" t="s">
        <v>1025</v>
      </c>
      <c r="BT47" t="str">
        <f>HYPERLINK("https%3A%2F%2Fwww.webofscience.com%2Fwos%2Fwoscc%2Ffull-record%2FWOS:000276184900008","View Full Record in Web of Science")</f>
        <v>View Full Record in Web of Science</v>
      </c>
    </row>
    <row r="48" spans="1:72" x14ac:dyDescent="0.15">
      <c r="A48" t="s">
        <v>72</v>
      </c>
      <c r="B48" t="s">
        <v>1026</v>
      </c>
      <c r="C48" t="s">
        <v>74</v>
      </c>
      <c r="D48" t="s">
        <v>74</v>
      </c>
      <c r="E48" t="s">
        <v>74</v>
      </c>
      <c r="F48" t="s">
        <v>1027</v>
      </c>
      <c r="G48" t="s">
        <v>74</v>
      </c>
      <c r="H48" t="s">
        <v>74</v>
      </c>
      <c r="I48" t="s">
        <v>1028</v>
      </c>
      <c r="J48" t="s">
        <v>1029</v>
      </c>
      <c r="K48" t="s">
        <v>74</v>
      </c>
      <c r="L48" t="s">
        <v>74</v>
      </c>
      <c r="M48" t="s">
        <v>78</v>
      </c>
      <c r="N48" t="s">
        <v>79</v>
      </c>
      <c r="O48" t="s">
        <v>74</v>
      </c>
      <c r="P48" t="s">
        <v>74</v>
      </c>
      <c r="Q48" t="s">
        <v>74</v>
      </c>
      <c r="R48" t="s">
        <v>74</v>
      </c>
      <c r="S48" t="s">
        <v>74</v>
      </c>
      <c r="T48" t="s">
        <v>1030</v>
      </c>
      <c r="U48" t="s">
        <v>1031</v>
      </c>
      <c r="V48" t="s">
        <v>1032</v>
      </c>
      <c r="W48" t="s">
        <v>1033</v>
      </c>
      <c r="X48" t="s">
        <v>1034</v>
      </c>
      <c r="Y48" t="s">
        <v>1035</v>
      </c>
      <c r="Z48" t="s">
        <v>1036</v>
      </c>
      <c r="AA48" t="s">
        <v>74</v>
      </c>
      <c r="AB48" t="s">
        <v>74</v>
      </c>
      <c r="AC48" t="s">
        <v>74</v>
      </c>
      <c r="AD48" t="s">
        <v>74</v>
      </c>
      <c r="AE48" t="s">
        <v>74</v>
      </c>
      <c r="AF48" t="s">
        <v>74</v>
      </c>
      <c r="AG48">
        <v>27</v>
      </c>
      <c r="AH48">
        <v>7</v>
      </c>
      <c r="AI48">
        <v>7</v>
      </c>
      <c r="AJ48">
        <v>4</v>
      </c>
      <c r="AK48">
        <v>19</v>
      </c>
      <c r="AL48" t="s">
        <v>1037</v>
      </c>
      <c r="AM48" t="s">
        <v>1038</v>
      </c>
      <c r="AN48" t="s">
        <v>1039</v>
      </c>
      <c r="AO48" t="s">
        <v>1040</v>
      </c>
      <c r="AP48" t="s">
        <v>1041</v>
      </c>
      <c r="AQ48" t="s">
        <v>74</v>
      </c>
      <c r="AR48" t="s">
        <v>1042</v>
      </c>
      <c r="AS48" t="s">
        <v>1043</v>
      </c>
      <c r="AT48" t="s">
        <v>1044</v>
      </c>
      <c r="AU48">
        <v>2010</v>
      </c>
      <c r="AV48">
        <v>342</v>
      </c>
      <c r="AW48" t="s">
        <v>1045</v>
      </c>
      <c r="AX48" t="s">
        <v>74</v>
      </c>
      <c r="AY48" t="s">
        <v>74</v>
      </c>
      <c r="AZ48" t="s">
        <v>152</v>
      </c>
      <c r="BA48" t="s">
        <v>74</v>
      </c>
      <c r="BB48">
        <v>339</v>
      </c>
      <c r="BC48">
        <v>348</v>
      </c>
      <c r="BD48" t="s">
        <v>74</v>
      </c>
      <c r="BE48" t="s">
        <v>1046</v>
      </c>
      <c r="BF48" t="str">
        <f>HYPERLINK("http://dx.doi.org/10.1016/j.crte.2009.10.012","http://dx.doi.org/10.1016/j.crte.2009.10.012")</f>
        <v>http://dx.doi.org/10.1016/j.crte.2009.10.012</v>
      </c>
      <c r="BG48" t="s">
        <v>74</v>
      </c>
      <c r="BH48" t="s">
        <v>74</v>
      </c>
      <c r="BI48">
        <v>10</v>
      </c>
      <c r="BJ48" t="s">
        <v>913</v>
      </c>
      <c r="BK48" t="s">
        <v>102</v>
      </c>
      <c r="BL48" t="s">
        <v>914</v>
      </c>
      <c r="BM48" t="s">
        <v>1047</v>
      </c>
      <c r="BN48" t="s">
        <v>74</v>
      </c>
      <c r="BO48" t="s">
        <v>326</v>
      </c>
      <c r="BP48" t="s">
        <v>74</v>
      </c>
      <c r="BQ48" t="s">
        <v>74</v>
      </c>
      <c r="BR48" t="s">
        <v>105</v>
      </c>
      <c r="BS48" t="s">
        <v>1048</v>
      </c>
      <c r="BT48" t="str">
        <f>HYPERLINK("https%3A%2F%2Fwww.webofscience.com%2Fwos%2Fwoscc%2Ffull-record%2FWOS:000277810500009","View Full Record in Web of Science")</f>
        <v>View Full Record in Web of Science</v>
      </c>
    </row>
    <row r="49" spans="1:72" x14ac:dyDescent="0.15">
      <c r="A49" t="s">
        <v>72</v>
      </c>
      <c r="B49" t="s">
        <v>1049</v>
      </c>
      <c r="C49" t="s">
        <v>74</v>
      </c>
      <c r="D49" t="s">
        <v>74</v>
      </c>
      <c r="E49" t="s">
        <v>74</v>
      </c>
      <c r="F49" t="s">
        <v>1050</v>
      </c>
      <c r="G49" t="s">
        <v>74</v>
      </c>
      <c r="H49" t="s">
        <v>74</v>
      </c>
      <c r="I49" t="s">
        <v>1051</v>
      </c>
      <c r="J49" t="s">
        <v>1052</v>
      </c>
      <c r="K49" t="s">
        <v>74</v>
      </c>
      <c r="L49" t="s">
        <v>74</v>
      </c>
      <c r="M49" t="s">
        <v>78</v>
      </c>
      <c r="N49" t="s">
        <v>79</v>
      </c>
      <c r="O49" t="s">
        <v>74</v>
      </c>
      <c r="P49" t="s">
        <v>74</v>
      </c>
      <c r="Q49" t="s">
        <v>74</v>
      </c>
      <c r="R49" t="s">
        <v>74</v>
      </c>
      <c r="S49" t="s">
        <v>74</v>
      </c>
      <c r="T49" t="s">
        <v>1053</v>
      </c>
      <c r="U49" t="s">
        <v>1054</v>
      </c>
      <c r="V49" t="s">
        <v>1055</v>
      </c>
      <c r="W49" t="s">
        <v>1056</v>
      </c>
      <c r="X49" t="s">
        <v>1057</v>
      </c>
      <c r="Y49" t="s">
        <v>1058</v>
      </c>
      <c r="Z49" t="s">
        <v>74</v>
      </c>
      <c r="AA49" t="s">
        <v>74</v>
      </c>
      <c r="AB49" t="s">
        <v>1059</v>
      </c>
      <c r="AC49" t="s">
        <v>1060</v>
      </c>
      <c r="AD49" t="s">
        <v>1061</v>
      </c>
      <c r="AE49" t="s">
        <v>1062</v>
      </c>
      <c r="AF49" t="s">
        <v>74</v>
      </c>
      <c r="AG49">
        <v>89</v>
      </c>
      <c r="AH49">
        <v>58</v>
      </c>
      <c r="AI49">
        <v>60</v>
      </c>
      <c r="AJ49">
        <v>1</v>
      </c>
      <c r="AK49">
        <v>40</v>
      </c>
      <c r="AL49" t="s">
        <v>1063</v>
      </c>
      <c r="AM49" t="s">
        <v>1064</v>
      </c>
      <c r="AN49" t="s">
        <v>1065</v>
      </c>
      <c r="AO49" t="s">
        <v>1066</v>
      </c>
      <c r="AP49" t="s">
        <v>1067</v>
      </c>
      <c r="AQ49" t="s">
        <v>74</v>
      </c>
      <c r="AR49" t="s">
        <v>1068</v>
      </c>
      <c r="AS49" t="s">
        <v>1069</v>
      </c>
      <c r="AT49" t="s">
        <v>505</v>
      </c>
      <c r="AU49">
        <v>2010</v>
      </c>
      <c r="AV49">
        <v>57</v>
      </c>
      <c r="AW49">
        <v>4</v>
      </c>
      <c r="AX49" t="s">
        <v>74</v>
      </c>
      <c r="AY49" t="s">
        <v>74</v>
      </c>
      <c r="AZ49" t="s">
        <v>74</v>
      </c>
      <c r="BA49" t="s">
        <v>74</v>
      </c>
      <c r="BB49">
        <v>469</v>
      </c>
      <c r="BC49">
        <v>485</v>
      </c>
      <c r="BD49" t="s">
        <v>74</v>
      </c>
      <c r="BE49" t="s">
        <v>1070</v>
      </c>
      <c r="BF49" t="str">
        <f>HYPERLINK("http://dx.doi.org/10.1016/j.dsr.2009.12.010","http://dx.doi.org/10.1016/j.dsr.2009.12.010")</f>
        <v>http://dx.doi.org/10.1016/j.dsr.2009.12.010</v>
      </c>
      <c r="BG49" t="s">
        <v>74</v>
      </c>
      <c r="BH49" t="s">
        <v>74</v>
      </c>
      <c r="BI49">
        <v>17</v>
      </c>
      <c r="BJ49" t="s">
        <v>101</v>
      </c>
      <c r="BK49" t="s">
        <v>102</v>
      </c>
      <c r="BL49" t="s">
        <v>101</v>
      </c>
      <c r="BM49" t="s">
        <v>1071</v>
      </c>
      <c r="BN49" t="s">
        <v>74</v>
      </c>
      <c r="BO49" t="s">
        <v>74</v>
      </c>
      <c r="BP49" t="s">
        <v>74</v>
      </c>
      <c r="BQ49" t="s">
        <v>74</v>
      </c>
      <c r="BR49" t="s">
        <v>105</v>
      </c>
      <c r="BS49" t="s">
        <v>1072</v>
      </c>
      <c r="BT49" t="str">
        <f>HYPERLINK("https%3A%2F%2Fwww.webofscience.com%2Fwos%2Fwoscc%2Ffull-record%2FWOS:000276942400001","View Full Record in Web of Science")</f>
        <v>View Full Record in Web of Science</v>
      </c>
    </row>
    <row r="50" spans="1:72" x14ac:dyDescent="0.15">
      <c r="A50" t="s">
        <v>72</v>
      </c>
      <c r="B50" t="s">
        <v>1073</v>
      </c>
      <c r="C50" t="s">
        <v>74</v>
      </c>
      <c r="D50" t="s">
        <v>74</v>
      </c>
      <c r="E50" t="s">
        <v>74</v>
      </c>
      <c r="F50" t="s">
        <v>1074</v>
      </c>
      <c r="G50" t="s">
        <v>74</v>
      </c>
      <c r="H50" t="s">
        <v>74</v>
      </c>
      <c r="I50" t="s">
        <v>1075</v>
      </c>
      <c r="J50" t="s">
        <v>1052</v>
      </c>
      <c r="K50" t="s">
        <v>74</v>
      </c>
      <c r="L50" t="s">
        <v>74</v>
      </c>
      <c r="M50" t="s">
        <v>78</v>
      </c>
      <c r="N50" t="s">
        <v>79</v>
      </c>
      <c r="O50" t="s">
        <v>74</v>
      </c>
      <c r="P50" t="s">
        <v>74</v>
      </c>
      <c r="Q50" t="s">
        <v>74</v>
      </c>
      <c r="R50" t="s">
        <v>74</v>
      </c>
      <c r="S50" t="s">
        <v>74</v>
      </c>
      <c r="T50" t="s">
        <v>1076</v>
      </c>
      <c r="U50" t="s">
        <v>1077</v>
      </c>
      <c r="V50" t="s">
        <v>1078</v>
      </c>
      <c r="W50" t="s">
        <v>1079</v>
      </c>
      <c r="X50" t="s">
        <v>1080</v>
      </c>
      <c r="Y50" t="s">
        <v>1081</v>
      </c>
      <c r="Z50" t="s">
        <v>74</v>
      </c>
      <c r="AA50" t="s">
        <v>1082</v>
      </c>
      <c r="AB50" t="s">
        <v>1083</v>
      </c>
      <c r="AC50" t="s">
        <v>1084</v>
      </c>
      <c r="AD50" t="s">
        <v>1085</v>
      </c>
      <c r="AE50" t="s">
        <v>1086</v>
      </c>
      <c r="AF50" t="s">
        <v>74</v>
      </c>
      <c r="AG50">
        <v>105</v>
      </c>
      <c r="AH50">
        <v>65</v>
      </c>
      <c r="AI50">
        <v>66</v>
      </c>
      <c r="AJ50">
        <v>0</v>
      </c>
      <c r="AK50">
        <v>21</v>
      </c>
      <c r="AL50" t="s">
        <v>1063</v>
      </c>
      <c r="AM50" t="s">
        <v>1064</v>
      </c>
      <c r="AN50" t="s">
        <v>1065</v>
      </c>
      <c r="AO50" t="s">
        <v>1066</v>
      </c>
      <c r="AP50" t="s">
        <v>1067</v>
      </c>
      <c r="AQ50" t="s">
        <v>74</v>
      </c>
      <c r="AR50" t="s">
        <v>1068</v>
      </c>
      <c r="AS50" t="s">
        <v>1069</v>
      </c>
      <c r="AT50" t="s">
        <v>505</v>
      </c>
      <c r="AU50">
        <v>2010</v>
      </c>
      <c r="AV50">
        <v>57</v>
      </c>
      <c r="AW50">
        <v>4</v>
      </c>
      <c r="AX50" t="s">
        <v>74</v>
      </c>
      <c r="AY50" t="s">
        <v>74</v>
      </c>
      <c r="AZ50" t="s">
        <v>74</v>
      </c>
      <c r="BA50" t="s">
        <v>74</v>
      </c>
      <c r="BB50">
        <v>604</v>
      </c>
      <c r="BC50">
        <v>620</v>
      </c>
      <c r="BD50" t="s">
        <v>74</v>
      </c>
      <c r="BE50" t="s">
        <v>1087</v>
      </c>
      <c r="BF50" t="str">
        <f>HYPERLINK("http://dx.doi.org/10.1016/j.dsr.2010.01.004","http://dx.doi.org/10.1016/j.dsr.2010.01.004")</f>
        <v>http://dx.doi.org/10.1016/j.dsr.2010.01.004</v>
      </c>
      <c r="BG50" t="s">
        <v>74</v>
      </c>
      <c r="BH50" t="s">
        <v>74</v>
      </c>
      <c r="BI50">
        <v>17</v>
      </c>
      <c r="BJ50" t="s">
        <v>101</v>
      </c>
      <c r="BK50" t="s">
        <v>102</v>
      </c>
      <c r="BL50" t="s">
        <v>101</v>
      </c>
      <c r="BM50" t="s">
        <v>1071</v>
      </c>
      <c r="BN50" t="s">
        <v>74</v>
      </c>
      <c r="BO50" t="s">
        <v>74</v>
      </c>
      <c r="BP50" t="s">
        <v>74</v>
      </c>
      <c r="BQ50" t="s">
        <v>74</v>
      </c>
      <c r="BR50" t="s">
        <v>105</v>
      </c>
      <c r="BS50" t="s">
        <v>1088</v>
      </c>
      <c r="BT50" t="str">
        <f>HYPERLINK("https%3A%2F%2Fwww.webofscience.com%2Fwos%2Fwoscc%2Ffull-record%2FWOS:000276942400012","View Full Record in Web of Science")</f>
        <v>View Full Record in Web of Science</v>
      </c>
    </row>
    <row r="51" spans="1:72" x14ac:dyDescent="0.15">
      <c r="A51" t="s">
        <v>72</v>
      </c>
      <c r="B51" t="s">
        <v>1089</v>
      </c>
      <c r="C51" t="s">
        <v>74</v>
      </c>
      <c r="D51" t="s">
        <v>74</v>
      </c>
      <c r="E51" t="s">
        <v>74</v>
      </c>
      <c r="F51" t="s">
        <v>1090</v>
      </c>
      <c r="G51" t="s">
        <v>74</v>
      </c>
      <c r="H51" t="s">
        <v>74</v>
      </c>
      <c r="I51" t="s">
        <v>1091</v>
      </c>
      <c r="J51" t="s">
        <v>1092</v>
      </c>
      <c r="K51" t="s">
        <v>74</v>
      </c>
      <c r="L51" t="s">
        <v>74</v>
      </c>
      <c r="M51" t="s">
        <v>78</v>
      </c>
      <c r="N51" t="s">
        <v>536</v>
      </c>
      <c r="O51" t="s">
        <v>74</v>
      </c>
      <c r="P51" t="s">
        <v>74</v>
      </c>
      <c r="Q51" t="s">
        <v>74</v>
      </c>
      <c r="R51" t="s">
        <v>74</v>
      </c>
      <c r="S51" t="s">
        <v>74</v>
      </c>
      <c r="T51" t="s">
        <v>74</v>
      </c>
      <c r="U51" t="s">
        <v>74</v>
      </c>
      <c r="V51" t="s">
        <v>74</v>
      </c>
      <c r="W51" t="s">
        <v>1093</v>
      </c>
      <c r="X51" t="s">
        <v>1094</v>
      </c>
      <c r="Y51" t="s">
        <v>1095</v>
      </c>
      <c r="Z51" t="s">
        <v>1096</v>
      </c>
      <c r="AA51" t="s">
        <v>1097</v>
      </c>
      <c r="AB51" t="s">
        <v>1098</v>
      </c>
      <c r="AC51" t="s">
        <v>74</v>
      </c>
      <c r="AD51" t="s">
        <v>74</v>
      </c>
      <c r="AE51" t="s">
        <v>74</v>
      </c>
      <c r="AF51" t="s">
        <v>74</v>
      </c>
      <c r="AG51">
        <v>7</v>
      </c>
      <c r="AH51">
        <v>3</v>
      </c>
      <c r="AI51">
        <v>3</v>
      </c>
      <c r="AJ51">
        <v>0</v>
      </c>
      <c r="AK51">
        <v>9</v>
      </c>
      <c r="AL51" t="s">
        <v>1063</v>
      </c>
      <c r="AM51" t="s">
        <v>1064</v>
      </c>
      <c r="AN51" t="s">
        <v>1065</v>
      </c>
      <c r="AO51" t="s">
        <v>1099</v>
      </c>
      <c r="AP51" t="s">
        <v>74</v>
      </c>
      <c r="AQ51" t="s">
        <v>74</v>
      </c>
      <c r="AR51" t="s">
        <v>1100</v>
      </c>
      <c r="AS51" t="s">
        <v>1101</v>
      </c>
      <c r="AT51" t="s">
        <v>505</v>
      </c>
      <c r="AU51">
        <v>2010</v>
      </c>
      <c r="AV51">
        <v>57</v>
      </c>
      <c r="AW51" t="s">
        <v>1102</v>
      </c>
      <c r="AX51" t="s">
        <v>74</v>
      </c>
      <c r="AY51" t="s">
        <v>74</v>
      </c>
      <c r="AZ51" t="s">
        <v>74</v>
      </c>
      <c r="BA51" t="s">
        <v>74</v>
      </c>
      <c r="BB51">
        <v>494</v>
      </c>
      <c r="BC51">
        <v>495</v>
      </c>
      <c r="BD51" t="s">
        <v>74</v>
      </c>
      <c r="BE51" t="s">
        <v>1103</v>
      </c>
      <c r="BF51" t="str">
        <f>HYPERLINK("http://dx.doi.org/10.1016/j.dsr2.2009.10.001","http://dx.doi.org/10.1016/j.dsr2.2009.10.001")</f>
        <v>http://dx.doi.org/10.1016/j.dsr2.2009.10.001</v>
      </c>
      <c r="BG51" t="s">
        <v>74</v>
      </c>
      <c r="BH51" t="s">
        <v>74</v>
      </c>
      <c r="BI51">
        <v>2</v>
      </c>
      <c r="BJ51" t="s">
        <v>101</v>
      </c>
      <c r="BK51" t="s">
        <v>102</v>
      </c>
      <c r="BL51" t="s">
        <v>101</v>
      </c>
      <c r="BM51" t="s">
        <v>1104</v>
      </c>
      <c r="BN51" t="s">
        <v>74</v>
      </c>
      <c r="BO51" t="s">
        <v>74</v>
      </c>
      <c r="BP51" t="s">
        <v>74</v>
      </c>
      <c r="BQ51" t="s">
        <v>74</v>
      </c>
      <c r="BR51" t="s">
        <v>105</v>
      </c>
      <c r="BS51" t="s">
        <v>1105</v>
      </c>
      <c r="BT51" t="str">
        <f>HYPERLINK("https%3A%2F%2Fwww.webofscience.com%2Fwos%2Fwoscc%2Ffull-record%2FWOS:000277069300002","View Full Record in Web of Science")</f>
        <v>View Full Record in Web of Science</v>
      </c>
    </row>
    <row r="52" spans="1:72" x14ac:dyDescent="0.15">
      <c r="A52" t="s">
        <v>72</v>
      </c>
      <c r="B52" t="s">
        <v>1106</v>
      </c>
      <c r="C52" t="s">
        <v>74</v>
      </c>
      <c r="D52" t="s">
        <v>74</v>
      </c>
      <c r="E52" t="s">
        <v>74</v>
      </c>
      <c r="F52" t="s">
        <v>1107</v>
      </c>
      <c r="G52" t="s">
        <v>74</v>
      </c>
      <c r="H52" t="s">
        <v>74</v>
      </c>
      <c r="I52" t="s">
        <v>1108</v>
      </c>
      <c r="J52" t="s">
        <v>1092</v>
      </c>
      <c r="K52" t="s">
        <v>74</v>
      </c>
      <c r="L52" t="s">
        <v>74</v>
      </c>
      <c r="M52" t="s">
        <v>78</v>
      </c>
      <c r="N52" t="s">
        <v>79</v>
      </c>
      <c r="O52" t="s">
        <v>74</v>
      </c>
      <c r="P52" t="s">
        <v>74</v>
      </c>
      <c r="Q52" t="s">
        <v>74</v>
      </c>
      <c r="R52" t="s">
        <v>74</v>
      </c>
      <c r="S52" t="s">
        <v>74</v>
      </c>
      <c r="T52" t="s">
        <v>1109</v>
      </c>
      <c r="U52" t="s">
        <v>1110</v>
      </c>
      <c r="V52" t="s">
        <v>1111</v>
      </c>
      <c r="W52" t="s">
        <v>1112</v>
      </c>
      <c r="X52" t="s">
        <v>1113</v>
      </c>
      <c r="Y52" t="s">
        <v>1114</v>
      </c>
      <c r="Z52" t="s">
        <v>1115</v>
      </c>
      <c r="AA52" t="s">
        <v>1116</v>
      </c>
      <c r="AB52" t="s">
        <v>1117</v>
      </c>
      <c r="AC52" t="s">
        <v>74</v>
      </c>
      <c r="AD52" t="s">
        <v>74</v>
      </c>
      <c r="AE52" t="s">
        <v>74</v>
      </c>
      <c r="AF52" t="s">
        <v>74</v>
      </c>
      <c r="AG52">
        <v>127</v>
      </c>
      <c r="AH52">
        <v>30</v>
      </c>
      <c r="AI52">
        <v>34</v>
      </c>
      <c r="AJ52">
        <v>0</v>
      </c>
      <c r="AK52">
        <v>37</v>
      </c>
      <c r="AL52" t="s">
        <v>1063</v>
      </c>
      <c r="AM52" t="s">
        <v>1064</v>
      </c>
      <c r="AN52" t="s">
        <v>1065</v>
      </c>
      <c r="AO52" t="s">
        <v>1099</v>
      </c>
      <c r="AP52" t="s">
        <v>1118</v>
      </c>
      <c r="AQ52" t="s">
        <v>74</v>
      </c>
      <c r="AR52" t="s">
        <v>1100</v>
      </c>
      <c r="AS52" t="s">
        <v>1101</v>
      </c>
      <c r="AT52" t="s">
        <v>505</v>
      </c>
      <c r="AU52">
        <v>2010</v>
      </c>
      <c r="AV52">
        <v>57</v>
      </c>
      <c r="AW52" t="s">
        <v>1102</v>
      </c>
      <c r="AX52" t="s">
        <v>74</v>
      </c>
      <c r="AY52" t="s">
        <v>74</v>
      </c>
      <c r="AZ52" t="s">
        <v>74</v>
      </c>
      <c r="BA52" t="s">
        <v>74</v>
      </c>
      <c r="BB52">
        <v>496</v>
      </c>
      <c r="BC52">
        <v>507</v>
      </c>
      <c r="BD52" t="s">
        <v>74</v>
      </c>
      <c r="BE52" t="s">
        <v>1119</v>
      </c>
      <c r="BF52" t="str">
        <f>HYPERLINK("http://dx.doi.org/10.1016/j.dsr2.2009.10.002","http://dx.doi.org/10.1016/j.dsr2.2009.10.002")</f>
        <v>http://dx.doi.org/10.1016/j.dsr2.2009.10.002</v>
      </c>
      <c r="BG52" t="s">
        <v>74</v>
      </c>
      <c r="BH52" t="s">
        <v>74</v>
      </c>
      <c r="BI52">
        <v>12</v>
      </c>
      <c r="BJ52" t="s">
        <v>101</v>
      </c>
      <c r="BK52" t="s">
        <v>102</v>
      </c>
      <c r="BL52" t="s">
        <v>101</v>
      </c>
      <c r="BM52" t="s">
        <v>1104</v>
      </c>
      <c r="BN52" t="s">
        <v>74</v>
      </c>
      <c r="BO52" t="s">
        <v>74</v>
      </c>
      <c r="BP52" t="s">
        <v>74</v>
      </c>
      <c r="BQ52" t="s">
        <v>74</v>
      </c>
      <c r="BR52" t="s">
        <v>105</v>
      </c>
      <c r="BS52" t="s">
        <v>1120</v>
      </c>
      <c r="BT52" t="str">
        <f>HYPERLINK("https%3A%2F%2Fwww.webofscience.com%2Fwos%2Fwoscc%2Ffull-record%2FWOS:000277069300003","View Full Record in Web of Science")</f>
        <v>View Full Record in Web of Science</v>
      </c>
    </row>
    <row r="53" spans="1:72" x14ac:dyDescent="0.15">
      <c r="A53" t="s">
        <v>72</v>
      </c>
      <c r="B53" t="s">
        <v>1121</v>
      </c>
      <c r="C53" t="s">
        <v>74</v>
      </c>
      <c r="D53" t="s">
        <v>74</v>
      </c>
      <c r="E53" t="s">
        <v>74</v>
      </c>
      <c r="F53" t="s">
        <v>1122</v>
      </c>
      <c r="G53" t="s">
        <v>74</v>
      </c>
      <c r="H53" t="s">
        <v>74</v>
      </c>
      <c r="I53" t="s">
        <v>1123</v>
      </c>
      <c r="J53" t="s">
        <v>1092</v>
      </c>
      <c r="K53" t="s">
        <v>74</v>
      </c>
      <c r="L53" t="s">
        <v>74</v>
      </c>
      <c r="M53" t="s">
        <v>78</v>
      </c>
      <c r="N53" t="s">
        <v>79</v>
      </c>
      <c r="O53" t="s">
        <v>74</v>
      </c>
      <c r="P53" t="s">
        <v>74</v>
      </c>
      <c r="Q53" t="s">
        <v>74</v>
      </c>
      <c r="R53" t="s">
        <v>74</v>
      </c>
      <c r="S53" t="s">
        <v>74</v>
      </c>
      <c r="T53" t="s">
        <v>1124</v>
      </c>
      <c r="U53" t="s">
        <v>1125</v>
      </c>
      <c r="V53" t="s">
        <v>1126</v>
      </c>
      <c r="W53" t="s">
        <v>1127</v>
      </c>
      <c r="X53" t="s">
        <v>1128</v>
      </c>
      <c r="Y53" t="s">
        <v>1129</v>
      </c>
      <c r="Z53" t="s">
        <v>1130</v>
      </c>
      <c r="AA53" t="s">
        <v>1131</v>
      </c>
      <c r="AB53" t="s">
        <v>1132</v>
      </c>
      <c r="AC53" t="s">
        <v>1133</v>
      </c>
      <c r="AD53" t="s">
        <v>1134</v>
      </c>
      <c r="AE53" t="s">
        <v>1135</v>
      </c>
      <c r="AF53" t="s">
        <v>74</v>
      </c>
      <c r="AG53">
        <v>43</v>
      </c>
      <c r="AH53">
        <v>27</v>
      </c>
      <c r="AI53">
        <v>33</v>
      </c>
      <c r="AJ53">
        <v>0</v>
      </c>
      <c r="AK53">
        <v>33</v>
      </c>
      <c r="AL53" t="s">
        <v>1063</v>
      </c>
      <c r="AM53" t="s">
        <v>1064</v>
      </c>
      <c r="AN53" t="s">
        <v>1065</v>
      </c>
      <c r="AO53" t="s">
        <v>1099</v>
      </c>
      <c r="AP53" t="s">
        <v>74</v>
      </c>
      <c r="AQ53" t="s">
        <v>74</v>
      </c>
      <c r="AR53" t="s">
        <v>1100</v>
      </c>
      <c r="AS53" t="s">
        <v>1101</v>
      </c>
      <c r="AT53" t="s">
        <v>505</v>
      </c>
      <c r="AU53">
        <v>2010</v>
      </c>
      <c r="AV53">
        <v>57</v>
      </c>
      <c r="AW53" t="s">
        <v>1102</v>
      </c>
      <c r="AX53" t="s">
        <v>74</v>
      </c>
      <c r="AY53" t="s">
        <v>74</v>
      </c>
      <c r="AZ53" t="s">
        <v>74</v>
      </c>
      <c r="BA53" t="s">
        <v>74</v>
      </c>
      <c r="BB53">
        <v>508</v>
      </c>
      <c r="BC53">
        <v>518</v>
      </c>
      <c r="BD53" t="s">
        <v>74</v>
      </c>
      <c r="BE53" t="s">
        <v>1136</v>
      </c>
      <c r="BF53" t="str">
        <f>HYPERLINK("http://dx.doi.org/10.1016/j.dsr2.2009.10.003","http://dx.doi.org/10.1016/j.dsr2.2009.10.003")</f>
        <v>http://dx.doi.org/10.1016/j.dsr2.2009.10.003</v>
      </c>
      <c r="BG53" t="s">
        <v>74</v>
      </c>
      <c r="BH53" t="s">
        <v>74</v>
      </c>
      <c r="BI53">
        <v>11</v>
      </c>
      <c r="BJ53" t="s">
        <v>101</v>
      </c>
      <c r="BK53" t="s">
        <v>102</v>
      </c>
      <c r="BL53" t="s">
        <v>101</v>
      </c>
      <c r="BM53" t="s">
        <v>1104</v>
      </c>
      <c r="BN53" t="s">
        <v>74</v>
      </c>
      <c r="BO53" t="s">
        <v>74</v>
      </c>
      <c r="BP53" t="s">
        <v>74</v>
      </c>
      <c r="BQ53" t="s">
        <v>74</v>
      </c>
      <c r="BR53" t="s">
        <v>105</v>
      </c>
      <c r="BS53" t="s">
        <v>1137</v>
      </c>
      <c r="BT53" t="str">
        <f>HYPERLINK("https%3A%2F%2Fwww.webofscience.com%2Fwos%2Fwoscc%2Ffull-record%2FWOS:000277069300004","View Full Record in Web of Science")</f>
        <v>View Full Record in Web of Science</v>
      </c>
    </row>
    <row r="54" spans="1:72" x14ac:dyDescent="0.15">
      <c r="A54" t="s">
        <v>72</v>
      </c>
      <c r="B54" t="s">
        <v>1138</v>
      </c>
      <c r="C54" t="s">
        <v>74</v>
      </c>
      <c r="D54" t="s">
        <v>74</v>
      </c>
      <c r="E54" t="s">
        <v>74</v>
      </c>
      <c r="F54" t="s">
        <v>1139</v>
      </c>
      <c r="G54" t="s">
        <v>74</v>
      </c>
      <c r="H54" t="s">
        <v>74</v>
      </c>
      <c r="I54" t="s">
        <v>1140</v>
      </c>
      <c r="J54" t="s">
        <v>1092</v>
      </c>
      <c r="K54" t="s">
        <v>74</v>
      </c>
      <c r="L54" t="s">
        <v>74</v>
      </c>
      <c r="M54" t="s">
        <v>78</v>
      </c>
      <c r="N54" t="s">
        <v>79</v>
      </c>
      <c r="O54" t="s">
        <v>74</v>
      </c>
      <c r="P54" t="s">
        <v>74</v>
      </c>
      <c r="Q54" t="s">
        <v>74</v>
      </c>
      <c r="R54" t="s">
        <v>74</v>
      </c>
      <c r="S54" t="s">
        <v>74</v>
      </c>
      <c r="T54" t="s">
        <v>1141</v>
      </c>
      <c r="U54" t="s">
        <v>1142</v>
      </c>
      <c r="V54" t="s">
        <v>1143</v>
      </c>
      <c r="W54" t="s">
        <v>1144</v>
      </c>
      <c r="X54" t="s">
        <v>1145</v>
      </c>
      <c r="Y54" t="s">
        <v>1146</v>
      </c>
      <c r="Z54" t="s">
        <v>1147</v>
      </c>
      <c r="AA54" t="s">
        <v>74</v>
      </c>
      <c r="AB54" t="s">
        <v>1148</v>
      </c>
      <c r="AC54" t="s">
        <v>1149</v>
      </c>
      <c r="AD54" t="s">
        <v>1150</v>
      </c>
      <c r="AE54" t="s">
        <v>1151</v>
      </c>
      <c r="AF54" t="s">
        <v>74</v>
      </c>
      <c r="AG54">
        <v>107</v>
      </c>
      <c r="AH54">
        <v>55</v>
      </c>
      <c r="AI54">
        <v>58</v>
      </c>
      <c r="AJ54">
        <v>1</v>
      </c>
      <c r="AK54">
        <v>35</v>
      </c>
      <c r="AL54" t="s">
        <v>1063</v>
      </c>
      <c r="AM54" t="s">
        <v>1064</v>
      </c>
      <c r="AN54" t="s">
        <v>1065</v>
      </c>
      <c r="AO54" t="s">
        <v>1099</v>
      </c>
      <c r="AP54" t="s">
        <v>74</v>
      </c>
      <c r="AQ54" t="s">
        <v>74</v>
      </c>
      <c r="AR54" t="s">
        <v>1100</v>
      </c>
      <c r="AS54" t="s">
        <v>1101</v>
      </c>
      <c r="AT54" t="s">
        <v>505</v>
      </c>
      <c r="AU54">
        <v>2010</v>
      </c>
      <c r="AV54">
        <v>57</v>
      </c>
      <c r="AW54" t="s">
        <v>1102</v>
      </c>
      <c r="AX54" t="s">
        <v>74</v>
      </c>
      <c r="AY54" t="s">
        <v>74</v>
      </c>
      <c r="AZ54" t="s">
        <v>74</v>
      </c>
      <c r="BA54" t="s">
        <v>74</v>
      </c>
      <c r="BB54">
        <v>519</v>
      </c>
      <c r="BC54">
        <v>542</v>
      </c>
      <c r="BD54" t="s">
        <v>74</v>
      </c>
      <c r="BE54" t="s">
        <v>1152</v>
      </c>
      <c r="BF54" t="str">
        <f>HYPERLINK("http://dx.doi.org/10.1016/j.dsr2.2009.10.004","http://dx.doi.org/10.1016/j.dsr2.2009.10.004")</f>
        <v>http://dx.doi.org/10.1016/j.dsr2.2009.10.004</v>
      </c>
      <c r="BG54" t="s">
        <v>74</v>
      </c>
      <c r="BH54" t="s">
        <v>74</v>
      </c>
      <c r="BI54">
        <v>24</v>
      </c>
      <c r="BJ54" t="s">
        <v>101</v>
      </c>
      <c r="BK54" t="s">
        <v>102</v>
      </c>
      <c r="BL54" t="s">
        <v>101</v>
      </c>
      <c r="BM54" t="s">
        <v>1104</v>
      </c>
      <c r="BN54" t="s">
        <v>74</v>
      </c>
      <c r="BO54" t="s">
        <v>74</v>
      </c>
      <c r="BP54" t="s">
        <v>74</v>
      </c>
      <c r="BQ54" t="s">
        <v>74</v>
      </c>
      <c r="BR54" t="s">
        <v>105</v>
      </c>
      <c r="BS54" t="s">
        <v>1153</v>
      </c>
      <c r="BT54" t="str">
        <f>HYPERLINK("https%3A%2F%2Fwww.webofscience.com%2Fwos%2Fwoscc%2Ffull-record%2FWOS:000277069300005","View Full Record in Web of Science")</f>
        <v>View Full Record in Web of Science</v>
      </c>
    </row>
    <row r="55" spans="1:72" x14ac:dyDescent="0.15">
      <c r="A55" t="s">
        <v>72</v>
      </c>
      <c r="B55" t="s">
        <v>1154</v>
      </c>
      <c r="C55" t="s">
        <v>74</v>
      </c>
      <c r="D55" t="s">
        <v>74</v>
      </c>
      <c r="E55" t="s">
        <v>74</v>
      </c>
      <c r="F55" t="s">
        <v>1155</v>
      </c>
      <c r="G55" t="s">
        <v>74</v>
      </c>
      <c r="H55" t="s">
        <v>74</v>
      </c>
      <c r="I55" t="s">
        <v>1156</v>
      </c>
      <c r="J55" t="s">
        <v>1092</v>
      </c>
      <c r="K55" t="s">
        <v>74</v>
      </c>
      <c r="L55" t="s">
        <v>74</v>
      </c>
      <c r="M55" t="s">
        <v>78</v>
      </c>
      <c r="N55" t="s">
        <v>79</v>
      </c>
      <c r="O55" t="s">
        <v>74</v>
      </c>
      <c r="P55" t="s">
        <v>74</v>
      </c>
      <c r="Q55" t="s">
        <v>74</v>
      </c>
      <c r="R55" t="s">
        <v>74</v>
      </c>
      <c r="S55" t="s">
        <v>74</v>
      </c>
      <c r="T55" t="s">
        <v>1157</v>
      </c>
      <c r="U55" t="s">
        <v>1158</v>
      </c>
      <c r="V55" t="s">
        <v>1159</v>
      </c>
      <c r="W55" t="s">
        <v>1160</v>
      </c>
      <c r="X55" t="s">
        <v>1161</v>
      </c>
      <c r="Y55" t="s">
        <v>1162</v>
      </c>
      <c r="Z55" t="s">
        <v>1163</v>
      </c>
      <c r="AA55" t="s">
        <v>74</v>
      </c>
      <c r="AB55" t="s">
        <v>74</v>
      </c>
      <c r="AC55" t="s">
        <v>1164</v>
      </c>
      <c r="AD55" t="s">
        <v>1165</v>
      </c>
      <c r="AE55" t="s">
        <v>1166</v>
      </c>
      <c r="AF55" t="s">
        <v>74</v>
      </c>
      <c r="AG55">
        <v>78</v>
      </c>
      <c r="AH55">
        <v>30</v>
      </c>
      <c r="AI55">
        <v>38</v>
      </c>
      <c r="AJ55">
        <v>1</v>
      </c>
      <c r="AK55">
        <v>48</v>
      </c>
      <c r="AL55" t="s">
        <v>1063</v>
      </c>
      <c r="AM55" t="s">
        <v>1064</v>
      </c>
      <c r="AN55" t="s">
        <v>1065</v>
      </c>
      <c r="AO55" t="s">
        <v>1099</v>
      </c>
      <c r="AP55" t="s">
        <v>74</v>
      </c>
      <c r="AQ55" t="s">
        <v>74</v>
      </c>
      <c r="AR55" t="s">
        <v>1100</v>
      </c>
      <c r="AS55" t="s">
        <v>1101</v>
      </c>
      <c r="AT55" t="s">
        <v>505</v>
      </c>
      <c r="AU55">
        <v>2010</v>
      </c>
      <c r="AV55">
        <v>57</v>
      </c>
      <c r="AW55" t="s">
        <v>1102</v>
      </c>
      <c r="AX55" t="s">
        <v>74</v>
      </c>
      <c r="AY55" t="s">
        <v>74</v>
      </c>
      <c r="AZ55" t="s">
        <v>74</v>
      </c>
      <c r="BA55" t="s">
        <v>74</v>
      </c>
      <c r="BB55">
        <v>543</v>
      </c>
      <c r="BC55">
        <v>558</v>
      </c>
      <c r="BD55" t="s">
        <v>74</v>
      </c>
      <c r="BE55" t="s">
        <v>1167</v>
      </c>
      <c r="BF55" t="str">
        <f>HYPERLINK("http://dx.doi.org/10.1016/j.dsr2.2009.10.005","http://dx.doi.org/10.1016/j.dsr2.2009.10.005")</f>
        <v>http://dx.doi.org/10.1016/j.dsr2.2009.10.005</v>
      </c>
      <c r="BG55" t="s">
        <v>74</v>
      </c>
      <c r="BH55" t="s">
        <v>74</v>
      </c>
      <c r="BI55">
        <v>16</v>
      </c>
      <c r="BJ55" t="s">
        <v>101</v>
      </c>
      <c r="BK55" t="s">
        <v>102</v>
      </c>
      <c r="BL55" t="s">
        <v>101</v>
      </c>
      <c r="BM55" t="s">
        <v>1104</v>
      </c>
      <c r="BN55" t="s">
        <v>74</v>
      </c>
      <c r="BO55" t="s">
        <v>74</v>
      </c>
      <c r="BP55" t="s">
        <v>74</v>
      </c>
      <c r="BQ55" t="s">
        <v>74</v>
      </c>
      <c r="BR55" t="s">
        <v>105</v>
      </c>
      <c r="BS55" t="s">
        <v>1168</v>
      </c>
      <c r="BT55" t="str">
        <f>HYPERLINK("https%3A%2F%2Fwww.webofscience.com%2Fwos%2Fwoscc%2Ffull-record%2FWOS:000277069300006","View Full Record in Web of Science")</f>
        <v>View Full Record in Web of Science</v>
      </c>
    </row>
    <row r="56" spans="1:72" x14ac:dyDescent="0.15">
      <c r="A56" t="s">
        <v>72</v>
      </c>
      <c r="B56" t="s">
        <v>1169</v>
      </c>
      <c r="C56" t="s">
        <v>74</v>
      </c>
      <c r="D56" t="s">
        <v>74</v>
      </c>
      <c r="E56" t="s">
        <v>74</v>
      </c>
      <c r="F56" t="s">
        <v>1170</v>
      </c>
      <c r="G56" t="s">
        <v>74</v>
      </c>
      <c r="H56" t="s">
        <v>74</v>
      </c>
      <c r="I56" t="s">
        <v>1171</v>
      </c>
      <c r="J56" t="s">
        <v>1092</v>
      </c>
      <c r="K56" t="s">
        <v>74</v>
      </c>
      <c r="L56" t="s">
        <v>74</v>
      </c>
      <c r="M56" t="s">
        <v>78</v>
      </c>
      <c r="N56" t="s">
        <v>79</v>
      </c>
      <c r="O56" t="s">
        <v>74</v>
      </c>
      <c r="P56" t="s">
        <v>74</v>
      </c>
      <c r="Q56" t="s">
        <v>74</v>
      </c>
      <c r="R56" t="s">
        <v>74</v>
      </c>
      <c r="S56" t="s">
        <v>74</v>
      </c>
      <c r="T56" t="s">
        <v>1172</v>
      </c>
      <c r="U56" t="s">
        <v>1173</v>
      </c>
      <c r="V56" t="s">
        <v>1174</v>
      </c>
      <c r="W56" t="s">
        <v>1175</v>
      </c>
      <c r="X56" t="s">
        <v>1176</v>
      </c>
      <c r="Y56" t="s">
        <v>1177</v>
      </c>
      <c r="Z56" t="s">
        <v>1178</v>
      </c>
      <c r="AA56" t="s">
        <v>1179</v>
      </c>
      <c r="AB56" t="s">
        <v>1180</v>
      </c>
      <c r="AC56" t="s">
        <v>1181</v>
      </c>
      <c r="AD56" t="s">
        <v>1182</v>
      </c>
      <c r="AE56" t="s">
        <v>1183</v>
      </c>
      <c r="AF56" t="s">
        <v>74</v>
      </c>
      <c r="AG56">
        <v>37</v>
      </c>
      <c r="AH56">
        <v>8</v>
      </c>
      <c r="AI56">
        <v>8</v>
      </c>
      <c r="AJ56">
        <v>1</v>
      </c>
      <c r="AK56">
        <v>11</v>
      </c>
      <c r="AL56" t="s">
        <v>1063</v>
      </c>
      <c r="AM56" t="s">
        <v>1064</v>
      </c>
      <c r="AN56" t="s">
        <v>1065</v>
      </c>
      <c r="AO56" t="s">
        <v>1099</v>
      </c>
      <c r="AP56" t="s">
        <v>1118</v>
      </c>
      <c r="AQ56" t="s">
        <v>74</v>
      </c>
      <c r="AR56" t="s">
        <v>1100</v>
      </c>
      <c r="AS56" t="s">
        <v>1101</v>
      </c>
      <c r="AT56" t="s">
        <v>505</v>
      </c>
      <c r="AU56">
        <v>2010</v>
      </c>
      <c r="AV56">
        <v>57</v>
      </c>
      <c r="AW56" t="s">
        <v>1102</v>
      </c>
      <c r="AX56" t="s">
        <v>74</v>
      </c>
      <c r="AY56" t="s">
        <v>74</v>
      </c>
      <c r="AZ56" t="s">
        <v>74</v>
      </c>
      <c r="BA56" t="s">
        <v>74</v>
      </c>
      <c r="BB56">
        <v>559</v>
      </c>
      <c r="BC56">
        <v>564</v>
      </c>
      <c r="BD56" t="s">
        <v>74</v>
      </c>
      <c r="BE56" t="s">
        <v>1184</v>
      </c>
      <c r="BF56" t="str">
        <f>HYPERLINK("http://dx.doi.org/10.1016/j.dsr2.2009.10.006","http://dx.doi.org/10.1016/j.dsr2.2009.10.006")</f>
        <v>http://dx.doi.org/10.1016/j.dsr2.2009.10.006</v>
      </c>
      <c r="BG56" t="s">
        <v>74</v>
      </c>
      <c r="BH56" t="s">
        <v>74</v>
      </c>
      <c r="BI56">
        <v>6</v>
      </c>
      <c r="BJ56" t="s">
        <v>101</v>
      </c>
      <c r="BK56" t="s">
        <v>102</v>
      </c>
      <c r="BL56" t="s">
        <v>101</v>
      </c>
      <c r="BM56" t="s">
        <v>1104</v>
      </c>
      <c r="BN56" t="s">
        <v>74</v>
      </c>
      <c r="BO56" t="s">
        <v>74</v>
      </c>
      <c r="BP56" t="s">
        <v>74</v>
      </c>
      <c r="BQ56" t="s">
        <v>74</v>
      </c>
      <c r="BR56" t="s">
        <v>105</v>
      </c>
      <c r="BS56" t="s">
        <v>1185</v>
      </c>
      <c r="BT56" t="str">
        <f>HYPERLINK("https%3A%2F%2Fwww.webofscience.com%2Fwos%2Fwoscc%2Ffull-record%2FWOS:000277069300007","View Full Record in Web of Science")</f>
        <v>View Full Record in Web of Science</v>
      </c>
    </row>
    <row r="57" spans="1:72" x14ac:dyDescent="0.15">
      <c r="A57" t="s">
        <v>72</v>
      </c>
      <c r="B57" t="s">
        <v>1186</v>
      </c>
      <c r="C57" t="s">
        <v>74</v>
      </c>
      <c r="D57" t="s">
        <v>74</v>
      </c>
      <c r="E57" t="s">
        <v>74</v>
      </c>
      <c r="F57" t="s">
        <v>1187</v>
      </c>
      <c r="G57" t="s">
        <v>74</v>
      </c>
      <c r="H57" t="s">
        <v>74</v>
      </c>
      <c r="I57" t="s">
        <v>1188</v>
      </c>
      <c r="J57" t="s">
        <v>1092</v>
      </c>
      <c r="K57" t="s">
        <v>74</v>
      </c>
      <c r="L57" t="s">
        <v>74</v>
      </c>
      <c r="M57" t="s">
        <v>78</v>
      </c>
      <c r="N57" t="s">
        <v>79</v>
      </c>
      <c r="O57" t="s">
        <v>74</v>
      </c>
      <c r="P57" t="s">
        <v>74</v>
      </c>
      <c r="Q57" t="s">
        <v>74</v>
      </c>
      <c r="R57" t="s">
        <v>74</v>
      </c>
      <c r="S57" t="s">
        <v>74</v>
      </c>
      <c r="T57" t="s">
        <v>1189</v>
      </c>
      <c r="U57" t="s">
        <v>1190</v>
      </c>
      <c r="V57" t="s">
        <v>1191</v>
      </c>
      <c r="W57" t="s">
        <v>1192</v>
      </c>
      <c r="X57" t="s">
        <v>1193</v>
      </c>
      <c r="Y57" t="s">
        <v>1194</v>
      </c>
      <c r="Z57" t="s">
        <v>1195</v>
      </c>
      <c r="AA57" t="s">
        <v>74</v>
      </c>
      <c r="AB57" t="s">
        <v>74</v>
      </c>
      <c r="AC57" t="s">
        <v>74</v>
      </c>
      <c r="AD57" t="s">
        <v>74</v>
      </c>
      <c r="AE57" t="s">
        <v>74</v>
      </c>
      <c r="AF57" t="s">
        <v>74</v>
      </c>
      <c r="AG57">
        <v>26</v>
      </c>
      <c r="AH57">
        <v>8</v>
      </c>
      <c r="AI57">
        <v>10</v>
      </c>
      <c r="AJ57">
        <v>0</v>
      </c>
      <c r="AK57">
        <v>14</v>
      </c>
      <c r="AL57" t="s">
        <v>1063</v>
      </c>
      <c r="AM57" t="s">
        <v>1064</v>
      </c>
      <c r="AN57" t="s">
        <v>1065</v>
      </c>
      <c r="AO57" t="s">
        <v>1099</v>
      </c>
      <c r="AP57" t="s">
        <v>74</v>
      </c>
      <c r="AQ57" t="s">
        <v>74</v>
      </c>
      <c r="AR57" t="s">
        <v>1100</v>
      </c>
      <c r="AS57" t="s">
        <v>1101</v>
      </c>
      <c r="AT57" t="s">
        <v>505</v>
      </c>
      <c r="AU57">
        <v>2010</v>
      </c>
      <c r="AV57">
        <v>57</v>
      </c>
      <c r="AW57" t="s">
        <v>1102</v>
      </c>
      <c r="AX57" t="s">
        <v>74</v>
      </c>
      <c r="AY57" t="s">
        <v>74</v>
      </c>
      <c r="AZ57" t="s">
        <v>74</v>
      </c>
      <c r="BA57" t="s">
        <v>74</v>
      </c>
      <c r="BB57">
        <v>565</v>
      </c>
      <c r="BC57">
        <v>571</v>
      </c>
      <c r="BD57" t="s">
        <v>74</v>
      </c>
      <c r="BE57" t="s">
        <v>1196</v>
      </c>
      <c r="BF57" t="str">
        <f>HYPERLINK("http://dx.doi.org/10.1016/j.dsr2.2009.11.001","http://dx.doi.org/10.1016/j.dsr2.2009.11.001")</f>
        <v>http://dx.doi.org/10.1016/j.dsr2.2009.11.001</v>
      </c>
      <c r="BG57" t="s">
        <v>74</v>
      </c>
      <c r="BH57" t="s">
        <v>74</v>
      </c>
      <c r="BI57">
        <v>7</v>
      </c>
      <c r="BJ57" t="s">
        <v>101</v>
      </c>
      <c r="BK57" t="s">
        <v>102</v>
      </c>
      <c r="BL57" t="s">
        <v>101</v>
      </c>
      <c r="BM57" t="s">
        <v>1104</v>
      </c>
      <c r="BN57" t="s">
        <v>74</v>
      </c>
      <c r="BO57" t="s">
        <v>74</v>
      </c>
      <c r="BP57" t="s">
        <v>74</v>
      </c>
      <c r="BQ57" t="s">
        <v>74</v>
      </c>
      <c r="BR57" t="s">
        <v>105</v>
      </c>
      <c r="BS57" t="s">
        <v>1197</v>
      </c>
      <c r="BT57" t="str">
        <f>HYPERLINK("https%3A%2F%2Fwww.webofscience.com%2Fwos%2Fwoscc%2Ffull-record%2FWOS:000277069300008","View Full Record in Web of Science")</f>
        <v>View Full Record in Web of Science</v>
      </c>
    </row>
    <row r="58" spans="1:72" x14ac:dyDescent="0.15">
      <c r="A58" t="s">
        <v>72</v>
      </c>
      <c r="B58" t="s">
        <v>1198</v>
      </c>
      <c r="C58" t="s">
        <v>74</v>
      </c>
      <c r="D58" t="s">
        <v>74</v>
      </c>
      <c r="E58" t="s">
        <v>74</v>
      </c>
      <c r="F58" t="s">
        <v>1199</v>
      </c>
      <c r="G58" t="s">
        <v>74</v>
      </c>
      <c r="H58" t="s">
        <v>74</v>
      </c>
      <c r="I58" t="s">
        <v>1200</v>
      </c>
      <c r="J58" t="s">
        <v>1092</v>
      </c>
      <c r="K58" t="s">
        <v>74</v>
      </c>
      <c r="L58" t="s">
        <v>74</v>
      </c>
      <c r="M58" t="s">
        <v>78</v>
      </c>
      <c r="N58" t="s">
        <v>79</v>
      </c>
      <c r="O58" t="s">
        <v>74</v>
      </c>
      <c r="P58" t="s">
        <v>74</v>
      </c>
      <c r="Q58" t="s">
        <v>74</v>
      </c>
      <c r="R58" t="s">
        <v>74</v>
      </c>
      <c r="S58" t="s">
        <v>74</v>
      </c>
      <c r="T58" t="s">
        <v>1201</v>
      </c>
      <c r="U58" t="s">
        <v>1202</v>
      </c>
      <c r="V58" t="s">
        <v>1203</v>
      </c>
      <c r="W58" t="s">
        <v>1204</v>
      </c>
      <c r="X58" t="s">
        <v>1205</v>
      </c>
      <c r="Y58" t="s">
        <v>1206</v>
      </c>
      <c r="Z58" t="s">
        <v>1207</v>
      </c>
      <c r="AA58" t="s">
        <v>74</v>
      </c>
      <c r="AB58" t="s">
        <v>74</v>
      </c>
      <c r="AC58" t="s">
        <v>1208</v>
      </c>
      <c r="AD58" t="s">
        <v>1209</v>
      </c>
      <c r="AE58" t="s">
        <v>74</v>
      </c>
      <c r="AF58" t="s">
        <v>74</v>
      </c>
      <c r="AG58">
        <v>58</v>
      </c>
      <c r="AH58">
        <v>41</v>
      </c>
      <c r="AI58">
        <v>49</v>
      </c>
      <c r="AJ58">
        <v>0</v>
      </c>
      <c r="AK58">
        <v>20</v>
      </c>
      <c r="AL58" t="s">
        <v>1063</v>
      </c>
      <c r="AM58" t="s">
        <v>1064</v>
      </c>
      <c r="AN58" t="s">
        <v>1065</v>
      </c>
      <c r="AO58" t="s">
        <v>1099</v>
      </c>
      <c r="AP58" t="s">
        <v>1118</v>
      </c>
      <c r="AQ58" t="s">
        <v>74</v>
      </c>
      <c r="AR58" t="s">
        <v>1100</v>
      </c>
      <c r="AS58" t="s">
        <v>1101</v>
      </c>
      <c r="AT58" t="s">
        <v>505</v>
      </c>
      <c r="AU58">
        <v>2010</v>
      </c>
      <c r="AV58">
        <v>57</v>
      </c>
      <c r="AW58" t="s">
        <v>1102</v>
      </c>
      <c r="AX58" t="s">
        <v>74</v>
      </c>
      <c r="AY58" t="s">
        <v>74</v>
      </c>
      <c r="AZ58" t="s">
        <v>74</v>
      </c>
      <c r="BA58" t="s">
        <v>74</v>
      </c>
      <c r="BB58">
        <v>584</v>
      </c>
      <c r="BC58">
        <v>593</v>
      </c>
      <c r="BD58" t="s">
        <v>74</v>
      </c>
      <c r="BE58" t="s">
        <v>1210</v>
      </c>
      <c r="BF58" t="str">
        <f>HYPERLINK("http://dx.doi.org/10.1016/j.dsr2.2009.10.008","http://dx.doi.org/10.1016/j.dsr2.2009.10.008")</f>
        <v>http://dx.doi.org/10.1016/j.dsr2.2009.10.008</v>
      </c>
      <c r="BG58" t="s">
        <v>74</v>
      </c>
      <c r="BH58" t="s">
        <v>74</v>
      </c>
      <c r="BI58">
        <v>10</v>
      </c>
      <c r="BJ58" t="s">
        <v>101</v>
      </c>
      <c r="BK58" t="s">
        <v>102</v>
      </c>
      <c r="BL58" t="s">
        <v>101</v>
      </c>
      <c r="BM58" t="s">
        <v>1104</v>
      </c>
      <c r="BN58" t="s">
        <v>74</v>
      </c>
      <c r="BO58" t="s">
        <v>74</v>
      </c>
      <c r="BP58" t="s">
        <v>74</v>
      </c>
      <c r="BQ58" t="s">
        <v>74</v>
      </c>
      <c r="BR58" t="s">
        <v>105</v>
      </c>
      <c r="BS58" t="s">
        <v>1211</v>
      </c>
      <c r="BT58" t="str">
        <f>HYPERLINK("https%3A%2F%2Fwww.webofscience.com%2Fwos%2Fwoscc%2Ffull-record%2FWOS:000277069300010","View Full Record in Web of Science")</f>
        <v>View Full Record in Web of Science</v>
      </c>
    </row>
    <row r="59" spans="1:72" x14ac:dyDescent="0.15">
      <c r="A59" t="s">
        <v>72</v>
      </c>
      <c r="B59" t="s">
        <v>1212</v>
      </c>
      <c r="C59" t="s">
        <v>74</v>
      </c>
      <c r="D59" t="s">
        <v>74</v>
      </c>
      <c r="E59" t="s">
        <v>74</v>
      </c>
      <c r="F59" t="s">
        <v>1213</v>
      </c>
      <c r="G59" t="s">
        <v>74</v>
      </c>
      <c r="H59" t="s">
        <v>74</v>
      </c>
      <c r="I59" t="s">
        <v>1214</v>
      </c>
      <c r="J59" t="s">
        <v>1092</v>
      </c>
      <c r="K59" t="s">
        <v>74</v>
      </c>
      <c r="L59" t="s">
        <v>74</v>
      </c>
      <c r="M59" t="s">
        <v>78</v>
      </c>
      <c r="N59" t="s">
        <v>79</v>
      </c>
      <c r="O59" t="s">
        <v>74</v>
      </c>
      <c r="P59" t="s">
        <v>74</v>
      </c>
      <c r="Q59" t="s">
        <v>74</v>
      </c>
      <c r="R59" t="s">
        <v>74</v>
      </c>
      <c r="S59" t="s">
        <v>74</v>
      </c>
      <c r="T59" t="s">
        <v>1215</v>
      </c>
      <c r="U59" t="s">
        <v>1216</v>
      </c>
      <c r="V59" t="s">
        <v>1217</v>
      </c>
      <c r="W59" t="s">
        <v>1218</v>
      </c>
      <c r="X59" t="s">
        <v>1219</v>
      </c>
      <c r="Y59" t="s">
        <v>1220</v>
      </c>
      <c r="Z59" t="s">
        <v>1221</v>
      </c>
      <c r="AA59" t="s">
        <v>1222</v>
      </c>
      <c r="AB59" t="s">
        <v>1223</v>
      </c>
      <c r="AC59" t="s">
        <v>1224</v>
      </c>
      <c r="AD59" t="s">
        <v>1225</v>
      </c>
      <c r="AE59" t="s">
        <v>1226</v>
      </c>
      <c r="AF59" t="s">
        <v>74</v>
      </c>
      <c r="AG59">
        <v>80</v>
      </c>
      <c r="AH59">
        <v>13</v>
      </c>
      <c r="AI59">
        <v>13</v>
      </c>
      <c r="AJ59">
        <v>0</v>
      </c>
      <c r="AK59">
        <v>4</v>
      </c>
      <c r="AL59" t="s">
        <v>1063</v>
      </c>
      <c r="AM59" t="s">
        <v>1064</v>
      </c>
      <c r="AN59" t="s">
        <v>1065</v>
      </c>
      <c r="AO59" t="s">
        <v>1099</v>
      </c>
      <c r="AP59" t="s">
        <v>1118</v>
      </c>
      <c r="AQ59" t="s">
        <v>74</v>
      </c>
      <c r="AR59" t="s">
        <v>1100</v>
      </c>
      <c r="AS59" t="s">
        <v>1101</v>
      </c>
      <c r="AT59" t="s">
        <v>505</v>
      </c>
      <c r="AU59">
        <v>2010</v>
      </c>
      <c r="AV59">
        <v>57</v>
      </c>
      <c r="AW59" t="s">
        <v>1102</v>
      </c>
      <c r="AX59" t="s">
        <v>74</v>
      </c>
      <c r="AY59" t="s">
        <v>74</v>
      </c>
      <c r="AZ59" t="s">
        <v>74</v>
      </c>
      <c r="BA59" t="s">
        <v>74</v>
      </c>
      <c r="BB59">
        <v>616</v>
      </c>
      <c r="BC59">
        <v>630</v>
      </c>
      <c r="BD59" t="s">
        <v>74</v>
      </c>
      <c r="BE59" t="s">
        <v>1227</v>
      </c>
      <c r="BF59" t="str">
        <f>HYPERLINK("http://dx.doi.org/10.1016/j.dsr2.2009.10.011","http://dx.doi.org/10.1016/j.dsr2.2009.10.011")</f>
        <v>http://dx.doi.org/10.1016/j.dsr2.2009.10.011</v>
      </c>
      <c r="BG59" t="s">
        <v>74</v>
      </c>
      <c r="BH59" t="s">
        <v>74</v>
      </c>
      <c r="BI59">
        <v>15</v>
      </c>
      <c r="BJ59" t="s">
        <v>101</v>
      </c>
      <c r="BK59" t="s">
        <v>102</v>
      </c>
      <c r="BL59" t="s">
        <v>101</v>
      </c>
      <c r="BM59" t="s">
        <v>1104</v>
      </c>
      <c r="BN59" t="s">
        <v>74</v>
      </c>
      <c r="BO59" t="s">
        <v>326</v>
      </c>
      <c r="BP59" t="s">
        <v>74</v>
      </c>
      <c r="BQ59" t="s">
        <v>74</v>
      </c>
      <c r="BR59" t="s">
        <v>105</v>
      </c>
      <c r="BS59" t="s">
        <v>1228</v>
      </c>
      <c r="BT59" t="str">
        <f>HYPERLINK("https%3A%2F%2Fwww.webofscience.com%2Fwos%2Fwoscc%2Ffull-record%2FWOS:000277069300013","View Full Record in Web of Science")</f>
        <v>View Full Record in Web of Science</v>
      </c>
    </row>
    <row r="60" spans="1:72" x14ac:dyDescent="0.15">
      <c r="A60" t="s">
        <v>72</v>
      </c>
      <c r="B60" t="s">
        <v>1229</v>
      </c>
      <c r="C60" t="s">
        <v>74</v>
      </c>
      <c r="D60" t="s">
        <v>74</v>
      </c>
      <c r="E60" t="s">
        <v>74</v>
      </c>
      <c r="F60" t="s">
        <v>1230</v>
      </c>
      <c r="G60" t="s">
        <v>74</v>
      </c>
      <c r="H60" t="s">
        <v>74</v>
      </c>
      <c r="I60" t="s">
        <v>1231</v>
      </c>
      <c r="J60" t="s">
        <v>1092</v>
      </c>
      <c r="K60" t="s">
        <v>74</v>
      </c>
      <c r="L60" t="s">
        <v>74</v>
      </c>
      <c r="M60" t="s">
        <v>78</v>
      </c>
      <c r="N60" t="s">
        <v>79</v>
      </c>
      <c r="O60" t="s">
        <v>74</v>
      </c>
      <c r="P60" t="s">
        <v>74</v>
      </c>
      <c r="Q60" t="s">
        <v>74</v>
      </c>
      <c r="R60" t="s">
        <v>74</v>
      </c>
      <c r="S60" t="s">
        <v>74</v>
      </c>
      <c r="T60" t="s">
        <v>1232</v>
      </c>
      <c r="U60" t="s">
        <v>1233</v>
      </c>
      <c r="V60" t="s">
        <v>1234</v>
      </c>
      <c r="W60" t="s">
        <v>1235</v>
      </c>
      <c r="X60" t="s">
        <v>1236</v>
      </c>
      <c r="Y60" t="s">
        <v>1237</v>
      </c>
      <c r="Z60" t="s">
        <v>1238</v>
      </c>
      <c r="AA60" t="s">
        <v>74</v>
      </c>
      <c r="AB60" t="s">
        <v>74</v>
      </c>
      <c r="AC60" t="s">
        <v>1239</v>
      </c>
      <c r="AD60" t="s">
        <v>1239</v>
      </c>
      <c r="AE60" t="s">
        <v>1240</v>
      </c>
      <c r="AF60" t="s">
        <v>74</v>
      </c>
      <c r="AG60">
        <v>45</v>
      </c>
      <c r="AH60">
        <v>29</v>
      </c>
      <c r="AI60">
        <v>32</v>
      </c>
      <c r="AJ60">
        <v>1</v>
      </c>
      <c r="AK60">
        <v>10</v>
      </c>
      <c r="AL60" t="s">
        <v>1063</v>
      </c>
      <c r="AM60" t="s">
        <v>1064</v>
      </c>
      <c r="AN60" t="s">
        <v>1065</v>
      </c>
      <c r="AO60" t="s">
        <v>1099</v>
      </c>
      <c r="AP60" t="s">
        <v>1118</v>
      </c>
      <c r="AQ60" t="s">
        <v>74</v>
      </c>
      <c r="AR60" t="s">
        <v>1100</v>
      </c>
      <c r="AS60" t="s">
        <v>1101</v>
      </c>
      <c r="AT60" t="s">
        <v>505</v>
      </c>
      <c r="AU60">
        <v>2010</v>
      </c>
      <c r="AV60">
        <v>57</v>
      </c>
      <c r="AW60" t="s">
        <v>1102</v>
      </c>
      <c r="AX60" t="s">
        <v>74</v>
      </c>
      <c r="AY60" t="s">
        <v>74</v>
      </c>
      <c r="AZ60" t="s">
        <v>74</v>
      </c>
      <c r="BA60" t="s">
        <v>74</v>
      </c>
      <c r="BB60">
        <v>642</v>
      </c>
      <c r="BC60">
        <v>651</v>
      </c>
      <c r="BD60" t="s">
        <v>74</v>
      </c>
      <c r="BE60" t="s">
        <v>1241</v>
      </c>
      <c r="BF60" t="str">
        <f>HYPERLINK("http://dx.doi.org/10.1016/j.dsr2.2009.10.013","http://dx.doi.org/10.1016/j.dsr2.2009.10.013")</f>
        <v>http://dx.doi.org/10.1016/j.dsr2.2009.10.013</v>
      </c>
      <c r="BG60" t="s">
        <v>74</v>
      </c>
      <c r="BH60" t="s">
        <v>74</v>
      </c>
      <c r="BI60">
        <v>10</v>
      </c>
      <c r="BJ60" t="s">
        <v>101</v>
      </c>
      <c r="BK60" t="s">
        <v>102</v>
      </c>
      <c r="BL60" t="s">
        <v>101</v>
      </c>
      <c r="BM60" t="s">
        <v>1104</v>
      </c>
      <c r="BN60" t="s">
        <v>74</v>
      </c>
      <c r="BO60" t="s">
        <v>74</v>
      </c>
      <c r="BP60" t="s">
        <v>74</v>
      </c>
      <c r="BQ60" t="s">
        <v>74</v>
      </c>
      <c r="BR60" t="s">
        <v>105</v>
      </c>
      <c r="BS60" t="s">
        <v>1242</v>
      </c>
      <c r="BT60" t="str">
        <f>HYPERLINK("https%3A%2F%2Fwww.webofscience.com%2Fwos%2Fwoscc%2Ffull-record%2FWOS:000277069300015","View Full Record in Web of Science")</f>
        <v>View Full Record in Web of Science</v>
      </c>
    </row>
    <row r="61" spans="1:72" x14ac:dyDescent="0.15">
      <c r="A61" t="s">
        <v>72</v>
      </c>
      <c r="B61" t="s">
        <v>1243</v>
      </c>
      <c r="C61" t="s">
        <v>74</v>
      </c>
      <c r="D61" t="s">
        <v>74</v>
      </c>
      <c r="E61" t="s">
        <v>74</v>
      </c>
      <c r="F61" t="s">
        <v>1244</v>
      </c>
      <c r="G61" t="s">
        <v>74</v>
      </c>
      <c r="H61" t="s">
        <v>74</v>
      </c>
      <c r="I61" t="s">
        <v>1245</v>
      </c>
      <c r="J61" t="s">
        <v>1092</v>
      </c>
      <c r="K61" t="s">
        <v>74</v>
      </c>
      <c r="L61" t="s">
        <v>74</v>
      </c>
      <c r="M61" t="s">
        <v>78</v>
      </c>
      <c r="N61" t="s">
        <v>79</v>
      </c>
      <c r="O61" t="s">
        <v>74</v>
      </c>
      <c r="P61" t="s">
        <v>74</v>
      </c>
      <c r="Q61" t="s">
        <v>74</v>
      </c>
      <c r="R61" t="s">
        <v>74</v>
      </c>
      <c r="S61" t="s">
        <v>74</v>
      </c>
      <c r="T61" t="s">
        <v>1246</v>
      </c>
      <c r="U61" t="s">
        <v>1247</v>
      </c>
      <c r="V61" t="s">
        <v>1248</v>
      </c>
      <c r="W61" t="s">
        <v>1249</v>
      </c>
      <c r="X61" t="s">
        <v>1250</v>
      </c>
      <c r="Y61" t="s">
        <v>1251</v>
      </c>
      <c r="Z61" t="s">
        <v>1252</v>
      </c>
      <c r="AA61" t="s">
        <v>1253</v>
      </c>
      <c r="AB61" t="s">
        <v>74</v>
      </c>
      <c r="AC61" t="s">
        <v>1254</v>
      </c>
      <c r="AD61" t="s">
        <v>1255</v>
      </c>
      <c r="AE61" t="s">
        <v>1256</v>
      </c>
      <c r="AF61" t="s">
        <v>74</v>
      </c>
      <c r="AG61">
        <v>36</v>
      </c>
      <c r="AH61">
        <v>22</v>
      </c>
      <c r="AI61">
        <v>27</v>
      </c>
      <c r="AJ61">
        <v>0</v>
      </c>
      <c r="AK61">
        <v>14</v>
      </c>
      <c r="AL61" t="s">
        <v>1063</v>
      </c>
      <c r="AM61" t="s">
        <v>1064</v>
      </c>
      <c r="AN61" t="s">
        <v>1065</v>
      </c>
      <c r="AO61" t="s">
        <v>1099</v>
      </c>
      <c r="AP61" t="s">
        <v>1118</v>
      </c>
      <c r="AQ61" t="s">
        <v>74</v>
      </c>
      <c r="AR61" t="s">
        <v>1100</v>
      </c>
      <c r="AS61" t="s">
        <v>1101</v>
      </c>
      <c r="AT61" t="s">
        <v>505</v>
      </c>
      <c r="AU61">
        <v>2010</v>
      </c>
      <c r="AV61">
        <v>57</v>
      </c>
      <c r="AW61" t="s">
        <v>1102</v>
      </c>
      <c r="AX61" t="s">
        <v>74</v>
      </c>
      <c r="AY61" t="s">
        <v>74</v>
      </c>
      <c r="AZ61" t="s">
        <v>74</v>
      </c>
      <c r="BA61" t="s">
        <v>74</v>
      </c>
      <c r="BB61">
        <v>663</v>
      </c>
      <c r="BC61">
        <v>671</v>
      </c>
      <c r="BD61" t="s">
        <v>74</v>
      </c>
      <c r="BE61" t="s">
        <v>1257</v>
      </c>
      <c r="BF61" t="str">
        <f>HYPERLINK("http://dx.doi.org/10.1016/j.dsr2.2009.10.015","http://dx.doi.org/10.1016/j.dsr2.2009.10.015")</f>
        <v>http://dx.doi.org/10.1016/j.dsr2.2009.10.015</v>
      </c>
      <c r="BG61" t="s">
        <v>74</v>
      </c>
      <c r="BH61" t="s">
        <v>74</v>
      </c>
      <c r="BI61">
        <v>9</v>
      </c>
      <c r="BJ61" t="s">
        <v>101</v>
      </c>
      <c r="BK61" t="s">
        <v>102</v>
      </c>
      <c r="BL61" t="s">
        <v>101</v>
      </c>
      <c r="BM61" t="s">
        <v>1104</v>
      </c>
      <c r="BN61" t="s">
        <v>74</v>
      </c>
      <c r="BO61" t="s">
        <v>74</v>
      </c>
      <c r="BP61" t="s">
        <v>74</v>
      </c>
      <c r="BQ61" t="s">
        <v>74</v>
      </c>
      <c r="BR61" t="s">
        <v>105</v>
      </c>
      <c r="BS61" t="s">
        <v>1258</v>
      </c>
      <c r="BT61" t="str">
        <f>HYPERLINK("https%3A%2F%2Fwww.webofscience.com%2Fwos%2Fwoscc%2Ffull-record%2FWOS:000277069300017","View Full Record in Web of Science")</f>
        <v>View Full Record in Web of Science</v>
      </c>
    </row>
    <row r="62" spans="1:72" x14ac:dyDescent="0.15">
      <c r="A62" t="s">
        <v>72</v>
      </c>
      <c r="B62" t="s">
        <v>1259</v>
      </c>
      <c r="C62" t="s">
        <v>74</v>
      </c>
      <c r="D62" t="s">
        <v>74</v>
      </c>
      <c r="E62" t="s">
        <v>74</v>
      </c>
      <c r="F62" t="s">
        <v>1260</v>
      </c>
      <c r="G62" t="s">
        <v>74</v>
      </c>
      <c r="H62" t="s">
        <v>74</v>
      </c>
      <c r="I62" t="s">
        <v>1261</v>
      </c>
      <c r="J62" t="s">
        <v>1092</v>
      </c>
      <c r="K62" t="s">
        <v>74</v>
      </c>
      <c r="L62" t="s">
        <v>74</v>
      </c>
      <c r="M62" t="s">
        <v>78</v>
      </c>
      <c r="N62" t="s">
        <v>79</v>
      </c>
      <c r="O62" t="s">
        <v>74</v>
      </c>
      <c r="P62" t="s">
        <v>74</v>
      </c>
      <c r="Q62" t="s">
        <v>74</v>
      </c>
      <c r="R62" t="s">
        <v>74</v>
      </c>
      <c r="S62" t="s">
        <v>74</v>
      </c>
      <c r="T62" t="s">
        <v>1262</v>
      </c>
      <c r="U62" t="s">
        <v>1263</v>
      </c>
      <c r="V62" t="s">
        <v>1264</v>
      </c>
      <c r="W62" t="s">
        <v>1265</v>
      </c>
      <c r="X62" t="s">
        <v>1266</v>
      </c>
      <c r="Y62" t="s">
        <v>1267</v>
      </c>
      <c r="Z62" t="s">
        <v>1268</v>
      </c>
      <c r="AA62" t="s">
        <v>1097</v>
      </c>
      <c r="AB62" t="s">
        <v>1269</v>
      </c>
      <c r="AC62" t="s">
        <v>1270</v>
      </c>
      <c r="AD62" t="s">
        <v>1271</v>
      </c>
      <c r="AE62" t="s">
        <v>1272</v>
      </c>
      <c r="AF62" t="s">
        <v>74</v>
      </c>
      <c r="AG62">
        <v>53</v>
      </c>
      <c r="AH62">
        <v>34</v>
      </c>
      <c r="AI62">
        <v>42</v>
      </c>
      <c r="AJ62">
        <v>0</v>
      </c>
      <c r="AK62">
        <v>32</v>
      </c>
      <c r="AL62" t="s">
        <v>1063</v>
      </c>
      <c r="AM62" t="s">
        <v>1064</v>
      </c>
      <c r="AN62" t="s">
        <v>1065</v>
      </c>
      <c r="AO62" t="s">
        <v>1099</v>
      </c>
      <c r="AP62" t="s">
        <v>1118</v>
      </c>
      <c r="AQ62" t="s">
        <v>74</v>
      </c>
      <c r="AR62" t="s">
        <v>1100</v>
      </c>
      <c r="AS62" t="s">
        <v>1101</v>
      </c>
      <c r="AT62" t="s">
        <v>505</v>
      </c>
      <c r="AU62">
        <v>2010</v>
      </c>
      <c r="AV62">
        <v>57</v>
      </c>
      <c r="AW62" t="s">
        <v>1102</v>
      </c>
      <c r="AX62" t="s">
        <v>74</v>
      </c>
      <c r="AY62" t="s">
        <v>74</v>
      </c>
      <c r="AZ62" t="s">
        <v>74</v>
      </c>
      <c r="BA62" t="s">
        <v>74</v>
      </c>
      <c r="BB62">
        <v>672</v>
      </c>
      <c r="BC62">
        <v>682</v>
      </c>
      <c r="BD62" t="s">
        <v>74</v>
      </c>
      <c r="BE62" t="s">
        <v>1273</v>
      </c>
      <c r="BF62" t="str">
        <f>HYPERLINK("http://dx.doi.org/10.1016/j.dsr2.2009.10.016","http://dx.doi.org/10.1016/j.dsr2.2009.10.016")</f>
        <v>http://dx.doi.org/10.1016/j.dsr2.2009.10.016</v>
      </c>
      <c r="BG62" t="s">
        <v>74</v>
      </c>
      <c r="BH62" t="s">
        <v>74</v>
      </c>
      <c r="BI62">
        <v>11</v>
      </c>
      <c r="BJ62" t="s">
        <v>101</v>
      </c>
      <c r="BK62" t="s">
        <v>102</v>
      </c>
      <c r="BL62" t="s">
        <v>101</v>
      </c>
      <c r="BM62" t="s">
        <v>1104</v>
      </c>
      <c r="BN62" t="s">
        <v>74</v>
      </c>
      <c r="BO62" t="s">
        <v>74</v>
      </c>
      <c r="BP62" t="s">
        <v>74</v>
      </c>
      <c r="BQ62" t="s">
        <v>74</v>
      </c>
      <c r="BR62" t="s">
        <v>105</v>
      </c>
      <c r="BS62" t="s">
        <v>1274</v>
      </c>
      <c r="BT62" t="str">
        <f>HYPERLINK("https%3A%2F%2Fwww.webofscience.com%2Fwos%2Fwoscc%2Ffull-record%2FWOS:000277069300018","View Full Record in Web of Science")</f>
        <v>View Full Record in Web of Science</v>
      </c>
    </row>
    <row r="63" spans="1:72" x14ac:dyDescent="0.15">
      <c r="A63" t="s">
        <v>72</v>
      </c>
      <c r="B63" t="s">
        <v>1275</v>
      </c>
      <c r="C63" t="s">
        <v>74</v>
      </c>
      <c r="D63" t="s">
        <v>74</v>
      </c>
      <c r="E63" t="s">
        <v>74</v>
      </c>
      <c r="F63" t="s">
        <v>1276</v>
      </c>
      <c r="G63" t="s">
        <v>74</v>
      </c>
      <c r="H63" t="s">
        <v>74</v>
      </c>
      <c r="I63" t="s">
        <v>1277</v>
      </c>
      <c r="J63" t="s">
        <v>1092</v>
      </c>
      <c r="K63" t="s">
        <v>74</v>
      </c>
      <c r="L63" t="s">
        <v>74</v>
      </c>
      <c r="M63" t="s">
        <v>78</v>
      </c>
      <c r="N63" t="s">
        <v>79</v>
      </c>
      <c r="O63" t="s">
        <v>74</v>
      </c>
      <c r="P63" t="s">
        <v>74</v>
      </c>
      <c r="Q63" t="s">
        <v>74</v>
      </c>
      <c r="R63" t="s">
        <v>74</v>
      </c>
      <c r="S63" t="s">
        <v>74</v>
      </c>
      <c r="T63" t="s">
        <v>1278</v>
      </c>
      <c r="U63" t="s">
        <v>1279</v>
      </c>
      <c r="V63" t="s">
        <v>1280</v>
      </c>
      <c r="W63" t="s">
        <v>1281</v>
      </c>
      <c r="X63" t="s">
        <v>1282</v>
      </c>
      <c r="Y63" t="s">
        <v>1283</v>
      </c>
      <c r="Z63" t="s">
        <v>1096</v>
      </c>
      <c r="AA63" t="s">
        <v>1097</v>
      </c>
      <c r="AB63" t="s">
        <v>1284</v>
      </c>
      <c r="AC63" t="s">
        <v>74</v>
      </c>
      <c r="AD63" t="s">
        <v>74</v>
      </c>
      <c r="AE63" t="s">
        <v>74</v>
      </c>
      <c r="AF63" t="s">
        <v>74</v>
      </c>
      <c r="AG63">
        <v>55</v>
      </c>
      <c r="AH63">
        <v>61</v>
      </c>
      <c r="AI63">
        <v>76</v>
      </c>
      <c r="AJ63">
        <v>2</v>
      </c>
      <c r="AK63">
        <v>35</v>
      </c>
      <c r="AL63" t="s">
        <v>1063</v>
      </c>
      <c r="AM63" t="s">
        <v>1064</v>
      </c>
      <c r="AN63" t="s">
        <v>1065</v>
      </c>
      <c r="AO63" t="s">
        <v>1099</v>
      </c>
      <c r="AP63" t="s">
        <v>74</v>
      </c>
      <c r="AQ63" t="s">
        <v>74</v>
      </c>
      <c r="AR63" t="s">
        <v>1100</v>
      </c>
      <c r="AS63" t="s">
        <v>1101</v>
      </c>
      <c r="AT63" t="s">
        <v>505</v>
      </c>
      <c r="AU63">
        <v>2010</v>
      </c>
      <c r="AV63">
        <v>57</v>
      </c>
      <c r="AW63" t="s">
        <v>1102</v>
      </c>
      <c r="AX63" t="s">
        <v>74</v>
      </c>
      <c r="AY63" t="s">
        <v>74</v>
      </c>
      <c r="AZ63" t="s">
        <v>74</v>
      </c>
      <c r="BA63" t="s">
        <v>74</v>
      </c>
      <c r="BB63">
        <v>683</v>
      </c>
      <c r="BC63">
        <v>692</v>
      </c>
      <c r="BD63" t="s">
        <v>74</v>
      </c>
      <c r="BE63" t="s">
        <v>1285</v>
      </c>
      <c r="BF63" t="str">
        <f>HYPERLINK("http://dx.doi.org/10.1016/j.dsr2.2009.10.017","http://dx.doi.org/10.1016/j.dsr2.2009.10.017")</f>
        <v>http://dx.doi.org/10.1016/j.dsr2.2009.10.017</v>
      </c>
      <c r="BG63" t="s">
        <v>74</v>
      </c>
      <c r="BH63" t="s">
        <v>74</v>
      </c>
      <c r="BI63">
        <v>10</v>
      </c>
      <c r="BJ63" t="s">
        <v>101</v>
      </c>
      <c r="BK63" t="s">
        <v>102</v>
      </c>
      <c r="BL63" t="s">
        <v>101</v>
      </c>
      <c r="BM63" t="s">
        <v>1104</v>
      </c>
      <c r="BN63" t="s">
        <v>74</v>
      </c>
      <c r="BO63" t="s">
        <v>74</v>
      </c>
      <c r="BP63" t="s">
        <v>74</v>
      </c>
      <c r="BQ63" t="s">
        <v>74</v>
      </c>
      <c r="BR63" t="s">
        <v>105</v>
      </c>
      <c r="BS63" t="s">
        <v>1286</v>
      </c>
      <c r="BT63" t="str">
        <f>HYPERLINK("https%3A%2F%2Fwww.webofscience.com%2Fwos%2Fwoscc%2Ffull-record%2FWOS:000277069300019","View Full Record in Web of Science")</f>
        <v>View Full Record in Web of Science</v>
      </c>
    </row>
    <row r="64" spans="1:72" x14ac:dyDescent="0.15">
      <c r="A64" t="s">
        <v>72</v>
      </c>
      <c r="B64" t="s">
        <v>1287</v>
      </c>
      <c r="C64" t="s">
        <v>74</v>
      </c>
      <c r="D64" t="s">
        <v>74</v>
      </c>
      <c r="E64" t="s">
        <v>74</v>
      </c>
      <c r="F64" t="s">
        <v>1288</v>
      </c>
      <c r="G64" t="s">
        <v>74</v>
      </c>
      <c r="H64" t="s">
        <v>74</v>
      </c>
      <c r="I64" t="s">
        <v>1289</v>
      </c>
      <c r="J64" t="s">
        <v>1290</v>
      </c>
      <c r="K64" t="s">
        <v>74</v>
      </c>
      <c r="L64" t="s">
        <v>74</v>
      </c>
      <c r="M64" t="s">
        <v>78</v>
      </c>
      <c r="N64" t="s">
        <v>79</v>
      </c>
      <c r="O64" t="s">
        <v>74</v>
      </c>
      <c r="P64" t="s">
        <v>74</v>
      </c>
      <c r="Q64" t="s">
        <v>74</v>
      </c>
      <c r="R64" t="s">
        <v>74</v>
      </c>
      <c r="S64" t="s">
        <v>74</v>
      </c>
      <c r="T64" t="s">
        <v>1291</v>
      </c>
      <c r="U64" t="s">
        <v>1292</v>
      </c>
      <c r="V64" t="s">
        <v>1293</v>
      </c>
      <c r="W64" t="s">
        <v>1294</v>
      </c>
      <c r="X64" t="s">
        <v>1295</v>
      </c>
      <c r="Y64" t="s">
        <v>1296</v>
      </c>
      <c r="Z64" t="s">
        <v>1297</v>
      </c>
      <c r="AA64" t="s">
        <v>1298</v>
      </c>
      <c r="AB64" t="s">
        <v>1299</v>
      </c>
      <c r="AC64" t="s">
        <v>1300</v>
      </c>
      <c r="AD64" t="s">
        <v>1301</v>
      </c>
      <c r="AE64" t="s">
        <v>1302</v>
      </c>
      <c r="AF64" t="s">
        <v>74</v>
      </c>
      <c r="AG64">
        <v>37</v>
      </c>
      <c r="AH64">
        <v>61</v>
      </c>
      <c r="AI64">
        <v>67</v>
      </c>
      <c r="AJ64">
        <v>1</v>
      </c>
      <c r="AK64">
        <v>30</v>
      </c>
      <c r="AL64" t="s">
        <v>173</v>
      </c>
      <c r="AM64" t="s">
        <v>145</v>
      </c>
      <c r="AN64" t="s">
        <v>174</v>
      </c>
      <c r="AO64" t="s">
        <v>1303</v>
      </c>
      <c r="AP64" t="s">
        <v>74</v>
      </c>
      <c r="AQ64" t="s">
        <v>74</v>
      </c>
      <c r="AR64" t="s">
        <v>1304</v>
      </c>
      <c r="AS64" t="s">
        <v>1305</v>
      </c>
      <c r="AT64" t="s">
        <v>1306</v>
      </c>
      <c r="AU64">
        <v>2010</v>
      </c>
      <c r="AV64">
        <v>292</v>
      </c>
      <c r="AW64" t="s">
        <v>971</v>
      </c>
      <c r="AX64" t="s">
        <v>74</v>
      </c>
      <c r="AY64" t="s">
        <v>74</v>
      </c>
      <c r="AZ64" t="s">
        <v>74</v>
      </c>
      <c r="BA64" t="s">
        <v>74</v>
      </c>
      <c r="BB64">
        <v>281</v>
      </c>
      <c r="BC64">
        <v>289</v>
      </c>
      <c r="BD64" t="s">
        <v>74</v>
      </c>
      <c r="BE64" t="s">
        <v>1307</v>
      </c>
      <c r="BF64" t="str">
        <f>HYPERLINK("http://dx.doi.org/10.1016/j.epsl.2010.01.036","http://dx.doi.org/10.1016/j.epsl.2010.01.036")</f>
        <v>http://dx.doi.org/10.1016/j.epsl.2010.01.036</v>
      </c>
      <c r="BG64" t="s">
        <v>74</v>
      </c>
      <c r="BH64" t="s">
        <v>74</v>
      </c>
      <c r="BI64">
        <v>9</v>
      </c>
      <c r="BJ64" t="s">
        <v>507</v>
      </c>
      <c r="BK64" t="s">
        <v>102</v>
      </c>
      <c r="BL64" t="s">
        <v>507</v>
      </c>
      <c r="BM64" t="s">
        <v>1308</v>
      </c>
      <c r="BN64" t="s">
        <v>74</v>
      </c>
      <c r="BO64" t="s">
        <v>74</v>
      </c>
      <c r="BP64" t="s">
        <v>74</v>
      </c>
      <c r="BQ64" t="s">
        <v>74</v>
      </c>
      <c r="BR64" t="s">
        <v>105</v>
      </c>
      <c r="BS64" t="s">
        <v>1309</v>
      </c>
      <c r="BT64" t="str">
        <f>HYPERLINK("https%3A%2F%2Fwww.webofscience.com%2Fwos%2Fwoscc%2Ffull-record%2FWOS:000276885800005","View Full Record in Web of Science")</f>
        <v>View Full Record in Web of Science</v>
      </c>
    </row>
    <row r="65" spans="1:72" x14ac:dyDescent="0.15">
      <c r="A65" t="s">
        <v>72</v>
      </c>
      <c r="B65" t="s">
        <v>1310</v>
      </c>
      <c r="C65" t="s">
        <v>74</v>
      </c>
      <c r="D65" t="s">
        <v>74</v>
      </c>
      <c r="E65" t="s">
        <v>74</v>
      </c>
      <c r="F65" t="s">
        <v>1311</v>
      </c>
      <c r="G65" t="s">
        <v>74</v>
      </c>
      <c r="H65" t="s">
        <v>74</v>
      </c>
      <c r="I65" t="s">
        <v>1312</v>
      </c>
      <c r="J65" t="s">
        <v>1290</v>
      </c>
      <c r="K65" t="s">
        <v>74</v>
      </c>
      <c r="L65" t="s">
        <v>74</v>
      </c>
      <c r="M65" t="s">
        <v>78</v>
      </c>
      <c r="N65" t="s">
        <v>79</v>
      </c>
      <c r="O65" t="s">
        <v>74</v>
      </c>
      <c r="P65" t="s">
        <v>74</v>
      </c>
      <c r="Q65" t="s">
        <v>74</v>
      </c>
      <c r="R65" t="s">
        <v>74</v>
      </c>
      <c r="S65" t="s">
        <v>74</v>
      </c>
      <c r="T65" t="s">
        <v>1313</v>
      </c>
      <c r="U65" t="s">
        <v>1314</v>
      </c>
      <c r="V65" t="s">
        <v>1315</v>
      </c>
      <c r="W65" t="s">
        <v>1316</v>
      </c>
      <c r="X65" t="s">
        <v>1317</v>
      </c>
      <c r="Y65" t="s">
        <v>1318</v>
      </c>
      <c r="Z65" t="s">
        <v>1319</v>
      </c>
      <c r="AA65" t="s">
        <v>1320</v>
      </c>
      <c r="AB65" t="s">
        <v>1321</v>
      </c>
      <c r="AC65" t="s">
        <v>1322</v>
      </c>
      <c r="AD65" t="s">
        <v>1323</v>
      </c>
      <c r="AE65" t="s">
        <v>1324</v>
      </c>
      <c r="AF65" t="s">
        <v>74</v>
      </c>
      <c r="AG65">
        <v>68</v>
      </c>
      <c r="AH65">
        <v>63</v>
      </c>
      <c r="AI65">
        <v>67</v>
      </c>
      <c r="AJ65">
        <v>2</v>
      </c>
      <c r="AK65">
        <v>45</v>
      </c>
      <c r="AL65" t="s">
        <v>144</v>
      </c>
      <c r="AM65" t="s">
        <v>145</v>
      </c>
      <c r="AN65" t="s">
        <v>146</v>
      </c>
      <c r="AO65" t="s">
        <v>1303</v>
      </c>
      <c r="AP65" t="s">
        <v>1325</v>
      </c>
      <c r="AQ65" t="s">
        <v>74</v>
      </c>
      <c r="AR65" t="s">
        <v>1304</v>
      </c>
      <c r="AS65" t="s">
        <v>1305</v>
      </c>
      <c r="AT65" t="s">
        <v>1306</v>
      </c>
      <c r="AU65">
        <v>2010</v>
      </c>
      <c r="AV65">
        <v>292</v>
      </c>
      <c r="AW65" t="s">
        <v>971</v>
      </c>
      <c r="AX65" t="s">
        <v>74</v>
      </c>
      <c r="AY65" t="s">
        <v>74</v>
      </c>
      <c r="AZ65" t="s">
        <v>74</v>
      </c>
      <c r="BA65" t="s">
        <v>74</v>
      </c>
      <c r="BB65">
        <v>290</v>
      </c>
      <c r="BC65">
        <v>300</v>
      </c>
      <c r="BD65" t="s">
        <v>74</v>
      </c>
      <c r="BE65" t="s">
        <v>1326</v>
      </c>
      <c r="BF65" t="str">
        <f>HYPERLINK("http://dx.doi.org/10.1016/j.epsl.2010.02.005","http://dx.doi.org/10.1016/j.epsl.2010.02.005")</f>
        <v>http://dx.doi.org/10.1016/j.epsl.2010.02.005</v>
      </c>
      <c r="BG65" t="s">
        <v>74</v>
      </c>
      <c r="BH65" t="s">
        <v>74</v>
      </c>
      <c r="BI65">
        <v>11</v>
      </c>
      <c r="BJ65" t="s">
        <v>507</v>
      </c>
      <c r="BK65" t="s">
        <v>102</v>
      </c>
      <c r="BL65" t="s">
        <v>507</v>
      </c>
      <c r="BM65" t="s">
        <v>1308</v>
      </c>
      <c r="BN65" t="s">
        <v>74</v>
      </c>
      <c r="BO65" t="s">
        <v>555</v>
      </c>
      <c r="BP65" t="s">
        <v>74</v>
      </c>
      <c r="BQ65" t="s">
        <v>74</v>
      </c>
      <c r="BR65" t="s">
        <v>105</v>
      </c>
      <c r="BS65" t="s">
        <v>1327</v>
      </c>
      <c r="BT65" t="str">
        <f>HYPERLINK("https%3A%2F%2Fwww.webofscience.com%2Fwos%2Fwoscc%2Ffull-record%2FWOS:000276885800006","View Full Record in Web of Science")</f>
        <v>View Full Record in Web of Science</v>
      </c>
    </row>
    <row r="66" spans="1:72" x14ac:dyDescent="0.15">
      <c r="A66" t="s">
        <v>72</v>
      </c>
      <c r="B66" t="s">
        <v>1328</v>
      </c>
      <c r="C66" t="s">
        <v>74</v>
      </c>
      <c r="D66" t="s">
        <v>74</v>
      </c>
      <c r="E66" t="s">
        <v>74</v>
      </c>
      <c r="F66" t="s">
        <v>1329</v>
      </c>
      <c r="G66" t="s">
        <v>74</v>
      </c>
      <c r="H66" t="s">
        <v>74</v>
      </c>
      <c r="I66" t="s">
        <v>1330</v>
      </c>
      <c r="J66" t="s">
        <v>1331</v>
      </c>
      <c r="K66" t="s">
        <v>74</v>
      </c>
      <c r="L66" t="s">
        <v>74</v>
      </c>
      <c r="M66" t="s">
        <v>78</v>
      </c>
      <c r="N66" t="s">
        <v>79</v>
      </c>
      <c r="O66" t="s">
        <v>74</v>
      </c>
      <c r="P66" t="s">
        <v>74</v>
      </c>
      <c r="Q66" t="s">
        <v>74</v>
      </c>
      <c r="R66" t="s">
        <v>74</v>
      </c>
      <c r="S66" t="s">
        <v>74</v>
      </c>
      <c r="T66" t="s">
        <v>1332</v>
      </c>
      <c r="U66" t="s">
        <v>1333</v>
      </c>
      <c r="V66" t="s">
        <v>1334</v>
      </c>
      <c r="W66" t="s">
        <v>1335</v>
      </c>
      <c r="X66" t="s">
        <v>1336</v>
      </c>
      <c r="Y66" t="s">
        <v>1337</v>
      </c>
      <c r="Z66" t="s">
        <v>1338</v>
      </c>
      <c r="AA66" t="s">
        <v>1339</v>
      </c>
      <c r="AB66" t="s">
        <v>1340</v>
      </c>
      <c r="AC66" t="s">
        <v>1341</v>
      </c>
      <c r="AD66" t="s">
        <v>1342</v>
      </c>
      <c r="AE66" t="s">
        <v>1343</v>
      </c>
      <c r="AF66" t="s">
        <v>74</v>
      </c>
      <c r="AG66">
        <v>60</v>
      </c>
      <c r="AH66">
        <v>75</v>
      </c>
      <c r="AI66">
        <v>90</v>
      </c>
      <c r="AJ66">
        <v>1</v>
      </c>
      <c r="AK66">
        <v>53</v>
      </c>
      <c r="AL66" t="s">
        <v>991</v>
      </c>
      <c r="AM66" t="s">
        <v>992</v>
      </c>
      <c r="AN66" t="s">
        <v>993</v>
      </c>
      <c r="AO66" t="s">
        <v>1344</v>
      </c>
      <c r="AP66" t="s">
        <v>1345</v>
      </c>
      <c r="AQ66" t="s">
        <v>74</v>
      </c>
      <c r="AR66" t="s">
        <v>1331</v>
      </c>
      <c r="AS66" t="s">
        <v>1346</v>
      </c>
      <c r="AT66" t="s">
        <v>505</v>
      </c>
      <c r="AU66">
        <v>2010</v>
      </c>
      <c r="AV66">
        <v>91</v>
      </c>
      <c r="AW66">
        <v>4</v>
      </c>
      <c r="AX66" t="s">
        <v>74</v>
      </c>
      <c r="AY66" t="s">
        <v>74</v>
      </c>
      <c r="AZ66" t="s">
        <v>74</v>
      </c>
      <c r="BA66" t="s">
        <v>74</v>
      </c>
      <c r="BB66">
        <v>1004</v>
      </c>
      <c r="BC66">
        <v>1015</v>
      </c>
      <c r="BD66" t="s">
        <v>74</v>
      </c>
      <c r="BE66" t="s">
        <v>1347</v>
      </c>
      <c r="BF66" t="str">
        <f>HYPERLINK("http://dx.doi.org/10.1890/08-1554.1","http://dx.doi.org/10.1890/08-1554.1")</f>
        <v>http://dx.doi.org/10.1890/08-1554.1</v>
      </c>
      <c r="BG66" t="s">
        <v>74</v>
      </c>
      <c r="BH66" t="s">
        <v>74</v>
      </c>
      <c r="BI66">
        <v>12</v>
      </c>
      <c r="BJ66" t="s">
        <v>1346</v>
      </c>
      <c r="BK66" t="s">
        <v>102</v>
      </c>
      <c r="BL66" t="s">
        <v>1348</v>
      </c>
      <c r="BM66" t="s">
        <v>1349</v>
      </c>
      <c r="BN66">
        <v>20462115</v>
      </c>
      <c r="BO66" t="s">
        <v>74</v>
      </c>
      <c r="BP66" t="s">
        <v>74</v>
      </c>
      <c r="BQ66" t="s">
        <v>74</v>
      </c>
      <c r="BR66" t="s">
        <v>105</v>
      </c>
      <c r="BS66" t="s">
        <v>1350</v>
      </c>
      <c r="BT66" t="str">
        <f>HYPERLINK("https%3A%2F%2Fwww.webofscience.com%2Fwos%2Fwoscc%2Ffull-record%2FWOS:000277525300008","View Full Record in Web of Science")</f>
        <v>View Full Record in Web of Science</v>
      </c>
    </row>
    <row r="67" spans="1:72" x14ac:dyDescent="0.15">
      <c r="A67" t="s">
        <v>72</v>
      </c>
      <c r="B67" t="s">
        <v>1351</v>
      </c>
      <c r="C67" t="s">
        <v>74</v>
      </c>
      <c r="D67" t="s">
        <v>74</v>
      </c>
      <c r="E67" t="s">
        <v>74</v>
      </c>
      <c r="F67" t="s">
        <v>1352</v>
      </c>
      <c r="G67" t="s">
        <v>74</v>
      </c>
      <c r="H67" t="s">
        <v>74</v>
      </c>
      <c r="I67" t="s">
        <v>1353</v>
      </c>
      <c r="J67" t="s">
        <v>1331</v>
      </c>
      <c r="K67" t="s">
        <v>74</v>
      </c>
      <c r="L67" t="s">
        <v>74</v>
      </c>
      <c r="M67" t="s">
        <v>78</v>
      </c>
      <c r="N67" t="s">
        <v>79</v>
      </c>
      <c r="O67" t="s">
        <v>74</v>
      </c>
      <c r="P67" t="s">
        <v>74</v>
      </c>
      <c r="Q67" t="s">
        <v>74</v>
      </c>
      <c r="R67" t="s">
        <v>74</v>
      </c>
      <c r="S67" t="s">
        <v>74</v>
      </c>
      <c r="T67" t="s">
        <v>1354</v>
      </c>
      <c r="U67" t="s">
        <v>1355</v>
      </c>
      <c r="V67" t="s">
        <v>1356</v>
      </c>
      <c r="W67" t="s">
        <v>1357</v>
      </c>
      <c r="X67" t="s">
        <v>1358</v>
      </c>
      <c r="Y67" t="s">
        <v>1359</v>
      </c>
      <c r="Z67" t="s">
        <v>1360</v>
      </c>
      <c r="AA67" t="s">
        <v>74</v>
      </c>
      <c r="AB67" t="s">
        <v>1361</v>
      </c>
      <c r="AC67" t="s">
        <v>1362</v>
      </c>
      <c r="AD67" t="s">
        <v>1363</v>
      </c>
      <c r="AE67" t="s">
        <v>1364</v>
      </c>
      <c r="AF67" t="s">
        <v>74</v>
      </c>
      <c r="AG67">
        <v>34</v>
      </c>
      <c r="AH67">
        <v>11</v>
      </c>
      <c r="AI67">
        <v>12</v>
      </c>
      <c r="AJ67">
        <v>0</v>
      </c>
      <c r="AK67">
        <v>22</v>
      </c>
      <c r="AL67" t="s">
        <v>1365</v>
      </c>
      <c r="AM67" t="s">
        <v>92</v>
      </c>
      <c r="AN67" t="s">
        <v>1366</v>
      </c>
      <c r="AO67" t="s">
        <v>1344</v>
      </c>
      <c r="AP67" t="s">
        <v>74</v>
      </c>
      <c r="AQ67" t="s">
        <v>74</v>
      </c>
      <c r="AR67" t="s">
        <v>1331</v>
      </c>
      <c r="AS67" t="s">
        <v>1346</v>
      </c>
      <c r="AT67" t="s">
        <v>505</v>
      </c>
      <c r="AU67">
        <v>2010</v>
      </c>
      <c r="AV67">
        <v>91</v>
      </c>
      <c r="AW67">
        <v>4</v>
      </c>
      <c r="AX67" t="s">
        <v>74</v>
      </c>
      <c r="AY67" t="s">
        <v>74</v>
      </c>
      <c r="AZ67" t="s">
        <v>74</v>
      </c>
      <c r="BA67" t="s">
        <v>74</v>
      </c>
      <c r="BB67">
        <v>1016</v>
      </c>
      <c r="BC67">
        <v>1024</v>
      </c>
      <c r="BD67" t="s">
        <v>74</v>
      </c>
      <c r="BE67" t="s">
        <v>1367</v>
      </c>
      <c r="BF67" t="str">
        <f>HYPERLINK("http://dx.doi.org/10.1890/09-0252.1","http://dx.doi.org/10.1890/09-0252.1")</f>
        <v>http://dx.doi.org/10.1890/09-0252.1</v>
      </c>
      <c r="BG67" t="s">
        <v>74</v>
      </c>
      <c r="BH67" t="s">
        <v>74</v>
      </c>
      <c r="BI67">
        <v>9</v>
      </c>
      <c r="BJ67" t="s">
        <v>1346</v>
      </c>
      <c r="BK67" t="s">
        <v>102</v>
      </c>
      <c r="BL67" t="s">
        <v>1348</v>
      </c>
      <c r="BM67" t="s">
        <v>1349</v>
      </c>
      <c r="BN67">
        <v>20462116</v>
      </c>
      <c r="BO67" t="s">
        <v>74</v>
      </c>
      <c r="BP67" t="s">
        <v>74</v>
      </c>
      <c r="BQ67" t="s">
        <v>74</v>
      </c>
      <c r="BR67" t="s">
        <v>105</v>
      </c>
      <c r="BS67" t="s">
        <v>1368</v>
      </c>
      <c r="BT67" t="str">
        <f>HYPERLINK("https%3A%2F%2Fwww.webofscience.com%2Fwos%2Fwoscc%2Ffull-record%2FWOS:000277525300009","View Full Record in Web of Science")</f>
        <v>View Full Record in Web of Science</v>
      </c>
    </row>
    <row r="68" spans="1:72" x14ac:dyDescent="0.15">
      <c r="A68" t="s">
        <v>72</v>
      </c>
      <c r="B68" t="s">
        <v>1369</v>
      </c>
      <c r="C68" t="s">
        <v>74</v>
      </c>
      <c r="D68" t="s">
        <v>74</v>
      </c>
      <c r="E68" t="s">
        <v>74</v>
      </c>
      <c r="F68" t="s">
        <v>1370</v>
      </c>
      <c r="G68" t="s">
        <v>74</v>
      </c>
      <c r="H68" t="s">
        <v>74</v>
      </c>
      <c r="I68" t="s">
        <v>1371</v>
      </c>
      <c r="J68" t="s">
        <v>1372</v>
      </c>
      <c r="K68" t="s">
        <v>74</v>
      </c>
      <c r="L68" t="s">
        <v>74</v>
      </c>
      <c r="M68" t="s">
        <v>78</v>
      </c>
      <c r="N68" t="s">
        <v>79</v>
      </c>
      <c r="O68" t="s">
        <v>74</v>
      </c>
      <c r="P68" t="s">
        <v>74</v>
      </c>
      <c r="Q68" t="s">
        <v>74</v>
      </c>
      <c r="R68" t="s">
        <v>74</v>
      </c>
      <c r="S68" t="s">
        <v>74</v>
      </c>
      <c r="T68" t="s">
        <v>74</v>
      </c>
      <c r="U68" t="s">
        <v>1373</v>
      </c>
      <c r="V68" t="s">
        <v>1374</v>
      </c>
      <c r="W68" t="s">
        <v>1375</v>
      </c>
      <c r="X68" t="s">
        <v>1376</v>
      </c>
      <c r="Y68" t="s">
        <v>1377</v>
      </c>
      <c r="Z68" t="s">
        <v>1378</v>
      </c>
      <c r="AA68" t="s">
        <v>1379</v>
      </c>
      <c r="AB68" t="s">
        <v>1380</v>
      </c>
      <c r="AC68" t="s">
        <v>1381</v>
      </c>
      <c r="AD68" t="s">
        <v>1382</v>
      </c>
      <c r="AE68" t="s">
        <v>1383</v>
      </c>
      <c r="AF68" t="s">
        <v>74</v>
      </c>
      <c r="AG68">
        <v>40</v>
      </c>
      <c r="AH68">
        <v>146</v>
      </c>
      <c r="AI68">
        <v>177</v>
      </c>
      <c r="AJ68">
        <v>0</v>
      </c>
      <c r="AK68">
        <v>41</v>
      </c>
      <c r="AL68" t="s">
        <v>121</v>
      </c>
      <c r="AM68" t="s">
        <v>92</v>
      </c>
      <c r="AN68" t="s">
        <v>122</v>
      </c>
      <c r="AO68" t="s">
        <v>1384</v>
      </c>
      <c r="AP68" t="s">
        <v>1385</v>
      </c>
      <c r="AQ68" t="s">
        <v>74</v>
      </c>
      <c r="AR68" t="s">
        <v>1386</v>
      </c>
      <c r="AS68" t="s">
        <v>1387</v>
      </c>
      <c r="AT68" t="s">
        <v>1306</v>
      </c>
      <c r="AU68">
        <v>2010</v>
      </c>
      <c r="AV68">
        <v>44</v>
      </c>
      <c r="AW68">
        <v>7</v>
      </c>
      <c r="AX68" t="s">
        <v>74</v>
      </c>
      <c r="AY68" t="s">
        <v>74</v>
      </c>
      <c r="AZ68" t="s">
        <v>74</v>
      </c>
      <c r="BA68" t="s">
        <v>74</v>
      </c>
      <c r="BB68">
        <v>2360</v>
      </c>
      <c r="BC68">
        <v>2364</v>
      </c>
      <c r="BD68" t="s">
        <v>74</v>
      </c>
      <c r="BE68" t="s">
        <v>1388</v>
      </c>
      <c r="BF68" t="str">
        <f>HYPERLINK("http://dx.doi.org/10.1021/es9033606","http://dx.doi.org/10.1021/es9033606")</f>
        <v>http://dx.doi.org/10.1021/es9033606</v>
      </c>
      <c r="BG68" t="s">
        <v>74</v>
      </c>
      <c r="BH68" t="s">
        <v>74</v>
      </c>
      <c r="BI68">
        <v>5</v>
      </c>
      <c r="BJ68" t="s">
        <v>1389</v>
      </c>
      <c r="BK68" t="s">
        <v>102</v>
      </c>
      <c r="BL68" t="s">
        <v>1390</v>
      </c>
      <c r="BM68" t="s">
        <v>1391</v>
      </c>
      <c r="BN68">
        <v>20155929</v>
      </c>
      <c r="BO68" t="s">
        <v>74</v>
      </c>
      <c r="BP68" t="s">
        <v>74</v>
      </c>
      <c r="BQ68" t="s">
        <v>74</v>
      </c>
      <c r="BR68" t="s">
        <v>105</v>
      </c>
      <c r="BS68" t="s">
        <v>1392</v>
      </c>
      <c r="BT68" t="str">
        <f>HYPERLINK("https%3A%2F%2Fwww.webofscience.com%2Fwos%2Fwoscc%2Ffull-record%2FWOS:000275993700023","View Full Record in Web of Science")</f>
        <v>View Full Record in Web of Science</v>
      </c>
    </row>
    <row r="69" spans="1:72" x14ac:dyDescent="0.15">
      <c r="A69" t="s">
        <v>72</v>
      </c>
      <c r="B69" t="s">
        <v>1393</v>
      </c>
      <c r="C69" t="s">
        <v>74</v>
      </c>
      <c r="D69" t="s">
        <v>74</v>
      </c>
      <c r="E69" t="s">
        <v>74</v>
      </c>
      <c r="F69" t="s">
        <v>1394</v>
      </c>
      <c r="G69" t="s">
        <v>74</v>
      </c>
      <c r="H69" t="s">
        <v>74</v>
      </c>
      <c r="I69" t="s">
        <v>1395</v>
      </c>
      <c r="J69" t="s">
        <v>1396</v>
      </c>
      <c r="K69" t="s">
        <v>74</v>
      </c>
      <c r="L69" t="s">
        <v>74</v>
      </c>
      <c r="M69" t="s">
        <v>78</v>
      </c>
      <c r="N69" t="s">
        <v>79</v>
      </c>
      <c r="O69" t="s">
        <v>74</v>
      </c>
      <c r="P69" t="s">
        <v>74</v>
      </c>
      <c r="Q69" t="s">
        <v>74</v>
      </c>
      <c r="R69" t="s">
        <v>74</v>
      </c>
      <c r="S69" t="s">
        <v>74</v>
      </c>
      <c r="T69" t="s">
        <v>74</v>
      </c>
      <c r="U69" t="s">
        <v>74</v>
      </c>
      <c r="V69" t="s">
        <v>1397</v>
      </c>
      <c r="W69" t="s">
        <v>1398</v>
      </c>
      <c r="X69" t="s">
        <v>1399</v>
      </c>
      <c r="Y69" t="s">
        <v>1400</v>
      </c>
      <c r="Z69" t="s">
        <v>1401</v>
      </c>
      <c r="AA69" t="s">
        <v>74</v>
      </c>
      <c r="AB69" t="s">
        <v>74</v>
      </c>
      <c r="AC69" t="s">
        <v>74</v>
      </c>
      <c r="AD69" t="s">
        <v>74</v>
      </c>
      <c r="AE69" t="s">
        <v>74</v>
      </c>
      <c r="AF69" t="s">
        <v>74</v>
      </c>
      <c r="AG69">
        <v>2</v>
      </c>
      <c r="AH69">
        <v>0</v>
      </c>
      <c r="AI69">
        <v>0</v>
      </c>
      <c r="AJ69">
        <v>0</v>
      </c>
      <c r="AK69">
        <v>0</v>
      </c>
      <c r="AL69" t="s">
        <v>1402</v>
      </c>
      <c r="AM69" t="s">
        <v>1403</v>
      </c>
      <c r="AN69" t="s">
        <v>1404</v>
      </c>
      <c r="AO69" t="s">
        <v>1405</v>
      </c>
      <c r="AP69" t="s">
        <v>74</v>
      </c>
      <c r="AQ69" t="s">
        <v>74</v>
      </c>
      <c r="AR69" t="s">
        <v>1406</v>
      </c>
      <c r="AS69" t="s">
        <v>1407</v>
      </c>
      <c r="AT69" t="s">
        <v>1044</v>
      </c>
      <c r="AU69">
        <v>2010</v>
      </c>
      <c r="AV69">
        <v>45</v>
      </c>
      <c r="AW69">
        <v>1</v>
      </c>
      <c r="AX69" t="s">
        <v>74</v>
      </c>
      <c r="AY69" t="s">
        <v>74</v>
      </c>
      <c r="AZ69" t="s">
        <v>74</v>
      </c>
      <c r="BA69" t="s">
        <v>74</v>
      </c>
      <c r="BB69">
        <v>50</v>
      </c>
      <c r="BC69">
        <v>52</v>
      </c>
      <c r="BD69" t="s">
        <v>74</v>
      </c>
      <c r="BE69" t="s">
        <v>74</v>
      </c>
      <c r="BF69" t="s">
        <v>74</v>
      </c>
      <c r="BG69" t="s">
        <v>74</v>
      </c>
      <c r="BH69" t="s">
        <v>74</v>
      </c>
      <c r="BI69">
        <v>3</v>
      </c>
      <c r="BJ69" t="s">
        <v>323</v>
      </c>
      <c r="BK69" t="s">
        <v>1408</v>
      </c>
      <c r="BL69" t="s">
        <v>324</v>
      </c>
      <c r="BM69" t="s">
        <v>1409</v>
      </c>
      <c r="BN69" t="s">
        <v>74</v>
      </c>
      <c r="BO69" t="s">
        <v>74</v>
      </c>
      <c r="BP69" t="s">
        <v>74</v>
      </c>
      <c r="BQ69" t="s">
        <v>74</v>
      </c>
      <c r="BR69" t="s">
        <v>105</v>
      </c>
      <c r="BS69" t="s">
        <v>1410</v>
      </c>
      <c r="BT69" t="str">
        <f>HYPERLINK("https%3A%2F%2Fwww.webofscience.com%2Fwos%2Fwoscc%2Ffull-record%2FWOS:000416783700007","View Full Record in Web of Science")</f>
        <v>View Full Record in Web of Science</v>
      </c>
    </row>
    <row r="70" spans="1:72" x14ac:dyDescent="0.15">
      <c r="A70" t="s">
        <v>72</v>
      </c>
      <c r="B70" t="s">
        <v>1411</v>
      </c>
      <c r="C70" t="s">
        <v>74</v>
      </c>
      <c r="D70" t="s">
        <v>74</v>
      </c>
      <c r="E70" t="s">
        <v>74</v>
      </c>
      <c r="F70" t="s">
        <v>1412</v>
      </c>
      <c r="G70" t="s">
        <v>74</v>
      </c>
      <c r="H70" t="s">
        <v>74</v>
      </c>
      <c r="I70" t="s">
        <v>1413</v>
      </c>
      <c r="J70" t="s">
        <v>1414</v>
      </c>
      <c r="K70" t="s">
        <v>74</v>
      </c>
      <c r="L70" t="s">
        <v>74</v>
      </c>
      <c r="M70" t="s">
        <v>78</v>
      </c>
      <c r="N70" t="s">
        <v>52</v>
      </c>
      <c r="O70" t="s">
        <v>74</v>
      </c>
      <c r="P70" t="s">
        <v>74</v>
      </c>
      <c r="Q70" t="s">
        <v>74</v>
      </c>
      <c r="R70" t="s">
        <v>74</v>
      </c>
      <c r="S70" t="s">
        <v>74</v>
      </c>
      <c r="T70" t="s">
        <v>74</v>
      </c>
      <c r="U70" t="s">
        <v>74</v>
      </c>
      <c r="V70" t="s">
        <v>74</v>
      </c>
      <c r="W70" t="s">
        <v>1415</v>
      </c>
      <c r="X70" t="s">
        <v>1416</v>
      </c>
      <c r="Y70" t="s">
        <v>74</v>
      </c>
      <c r="Z70" t="s">
        <v>74</v>
      </c>
      <c r="AA70" t="s">
        <v>74</v>
      </c>
      <c r="AB70" t="s">
        <v>74</v>
      </c>
      <c r="AC70" t="s">
        <v>74</v>
      </c>
      <c r="AD70" t="s">
        <v>74</v>
      </c>
      <c r="AE70" t="s">
        <v>74</v>
      </c>
      <c r="AF70" t="s">
        <v>74</v>
      </c>
      <c r="AG70">
        <v>0</v>
      </c>
      <c r="AH70">
        <v>0</v>
      </c>
      <c r="AI70">
        <v>0</v>
      </c>
      <c r="AJ70">
        <v>0</v>
      </c>
      <c r="AK70">
        <v>0</v>
      </c>
      <c r="AL70" t="s">
        <v>1417</v>
      </c>
      <c r="AM70" t="s">
        <v>1418</v>
      </c>
      <c r="AN70" t="s">
        <v>1419</v>
      </c>
      <c r="AO70" t="s">
        <v>1420</v>
      </c>
      <c r="AP70" t="s">
        <v>74</v>
      </c>
      <c r="AQ70" t="s">
        <v>74</v>
      </c>
      <c r="AR70" t="s">
        <v>1421</v>
      </c>
      <c r="AS70" t="s">
        <v>1422</v>
      </c>
      <c r="AT70" t="s">
        <v>505</v>
      </c>
      <c r="AU70">
        <v>2010</v>
      </c>
      <c r="AV70">
        <v>24</v>
      </c>
      <c r="AW70" t="s">
        <v>74</v>
      </c>
      <c r="AX70" t="s">
        <v>74</v>
      </c>
      <c r="AY70" t="s">
        <v>74</v>
      </c>
      <c r="AZ70" t="s">
        <v>74</v>
      </c>
      <c r="BA70" t="s">
        <v>74</v>
      </c>
      <c r="BB70" t="s">
        <v>74</v>
      </c>
      <c r="BC70" t="s">
        <v>74</v>
      </c>
      <c r="BD70" t="s">
        <v>74</v>
      </c>
      <c r="BE70" t="s">
        <v>74</v>
      </c>
      <c r="BF70" t="s">
        <v>74</v>
      </c>
      <c r="BG70" t="s">
        <v>74</v>
      </c>
      <c r="BH70" t="s">
        <v>74</v>
      </c>
      <c r="BI70">
        <v>1</v>
      </c>
      <c r="BJ70" t="s">
        <v>1423</v>
      </c>
      <c r="BK70" t="s">
        <v>102</v>
      </c>
      <c r="BL70" t="s">
        <v>1424</v>
      </c>
      <c r="BM70" t="s">
        <v>1425</v>
      </c>
      <c r="BN70" t="s">
        <v>74</v>
      </c>
      <c r="BO70" t="s">
        <v>74</v>
      </c>
      <c r="BP70" t="s">
        <v>74</v>
      </c>
      <c r="BQ70" t="s">
        <v>74</v>
      </c>
      <c r="BR70" t="s">
        <v>105</v>
      </c>
      <c r="BS70" t="s">
        <v>1426</v>
      </c>
      <c r="BT70" t="str">
        <f>HYPERLINK("https%3A%2F%2Fwww.webofscience.com%2Fwos%2Fwoscc%2Ffull-record%2FWOS:000208675504682","View Full Record in Web of Science")</f>
        <v>View Full Record in Web of Science</v>
      </c>
    </row>
    <row r="71" spans="1:72" x14ac:dyDescent="0.15">
      <c r="A71" t="s">
        <v>72</v>
      </c>
      <c r="B71" t="s">
        <v>1427</v>
      </c>
      <c r="C71" t="s">
        <v>74</v>
      </c>
      <c r="D71" t="s">
        <v>74</v>
      </c>
      <c r="E71" t="s">
        <v>74</v>
      </c>
      <c r="F71" t="s">
        <v>1428</v>
      </c>
      <c r="G71" t="s">
        <v>74</v>
      </c>
      <c r="H71" t="s">
        <v>74</v>
      </c>
      <c r="I71" t="s">
        <v>1429</v>
      </c>
      <c r="J71" t="s">
        <v>1414</v>
      </c>
      <c r="K71" t="s">
        <v>74</v>
      </c>
      <c r="L71" t="s">
        <v>74</v>
      </c>
      <c r="M71" t="s">
        <v>78</v>
      </c>
      <c r="N71" t="s">
        <v>52</v>
      </c>
      <c r="O71" t="s">
        <v>74</v>
      </c>
      <c r="P71" t="s">
        <v>74</v>
      </c>
      <c r="Q71" t="s">
        <v>74</v>
      </c>
      <c r="R71" t="s">
        <v>74</v>
      </c>
      <c r="S71" t="s">
        <v>74</v>
      </c>
      <c r="T71" t="s">
        <v>74</v>
      </c>
      <c r="U71" t="s">
        <v>74</v>
      </c>
      <c r="V71" t="s">
        <v>74</v>
      </c>
      <c r="W71" t="s">
        <v>1430</v>
      </c>
      <c r="X71" t="s">
        <v>1431</v>
      </c>
      <c r="Y71" t="s">
        <v>74</v>
      </c>
      <c r="Z71" t="s">
        <v>74</v>
      </c>
      <c r="AA71" t="s">
        <v>74</v>
      </c>
      <c r="AB71" t="s">
        <v>74</v>
      </c>
      <c r="AC71" t="s">
        <v>74</v>
      </c>
      <c r="AD71" t="s">
        <v>74</v>
      </c>
      <c r="AE71" t="s">
        <v>74</v>
      </c>
      <c r="AF71" t="s">
        <v>74</v>
      </c>
      <c r="AG71">
        <v>0</v>
      </c>
      <c r="AH71">
        <v>0</v>
      </c>
      <c r="AI71">
        <v>0</v>
      </c>
      <c r="AJ71">
        <v>0</v>
      </c>
      <c r="AK71">
        <v>0</v>
      </c>
      <c r="AL71" t="s">
        <v>1417</v>
      </c>
      <c r="AM71" t="s">
        <v>1418</v>
      </c>
      <c r="AN71" t="s">
        <v>1419</v>
      </c>
      <c r="AO71" t="s">
        <v>1420</v>
      </c>
      <c r="AP71" t="s">
        <v>74</v>
      </c>
      <c r="AQ71" t="s">
        <v>74</v>
      </c>
      <c r="AR71" t="s">
        <v>1421</v>
      </c>
      <c r="AS71" t="s">
        <v>1422</v>
      </c>
      <c r="AT71" t="s">
        <v>505</v>
      </c>
      <c r="AU71">
        <v>2010</v>
      </c>
      <c r="AV71">
        <v>24</v>
      </c>
      <c r="AW71" t="s">
        <v>74</v>
      </c>
      <c r="AX71" t="s">
        <v>74</v>
      </c>
      <c r="AY71" t="s">
        <v>74</v>
      </c>
      <c r="AZ71" t="s">
        <v>74</v>
      </c>
      <c r="BA71" t="s">
        <v>74</v>
      </c>
      <c r="BB71" t="s">
        <v>74</v>
      </c>
      <c r="BC71" t="s">
        <v>74</v>
      </c>
      <c r="BD71" t="s">
        <v>74</v>
      </c>
      <c r="BE71" t="s">
        <v>74</v>
      </c>
      <c r="BF71" t="s">
        <v>74</v>
      </c>
      <c r="BG71" t="s">
        <v>74</v>
      </c>
      <c r="BH71" t="s">
        <v>74</v>
      </c>
      <c r="BI71">
        <v>1</v>
      </c>
      <c r="BJ71" t="s">
        <v>1423</v>
      </c>
      <c r="BK71" t="s">
        <v>102</v>
      </c>
      <c r="BL71" t="s">
        <v>1424</v>
      </c>
      <c r="BM71" t="s">
        <v>1425</v>
      </c>
      <c r="BN71" t="s">
        <v>74</v>
      </c>
      <c r="BO71" t="s">
        <v>74</v>
      </c>
      <c r="BP71" t="s">
        <v>74</v>
      </c>
      <c r="BQ71" t="s">
        <v>74</v>
      </c>
      <c r="BR71" t="s">
        <v>105</v>
      </c>
      <c r="BS71" t="s">
        <v>1432</v>
      </c>
      <c r="BT71" t="str">
        <f>HYPERLINK("https%3A%2F%2Fwww.webofscience.com%2Fwos%2Fwoscc%2Ffull-record%2FWOS:000208675505532","View Full Record in Web of Science")</f>
        <v>View Full Record in Web of Science</v>
      </c>
    </row>
    <row r="72" spans="1:72" x14ac:dyDescent="0.15">
      <c r="A72" t="s">
        <v>72</v>
      </c>
      <c r="B72" t="s">
        <v>1433</v>
      </c>
      <c r="C72" t="s">
        <v>74</v>
      </c>
      <c r="D72" t="s">
        <v>74</v>
      </c>
      <c r="E72" t="s">
        <v>74</v>
      </c>
      <c r="F72" t="s">
        <v>1434</v>
      </c>
      <c r="G72" t="s">
        <v>74</v>
      </c>
      <c r="H72" t="s">
        <v>74</v>
      </c>
      <c r="I72" t="s">
        <v>1435</v>
      </c>
      <c r="J72" t="s">
        <v>1436</v>
      </c>
      <c r="K72" t="s">
        <v>74</v>
      </c>
      <c r="L72" t="s">
        <v>74</v>
      </c>
      <c r="M72" t="s">
        <v>78</v>
      </c>
      <c r="N72" t="s">
        <v>79</v>
      </c>
      <c r="O72" t="s">
        <v>74</v>
      </c>
      <c r="P72" t="s">
        <v>74</v>
      </c>
      <c r="Q72" t="s">
        <v>74</v>
      </c>
      <c r="R72" t="s">
        <v>74</v>
      </c>
      <c r="S72" t="s">
        <v>74</v>
      </c>
      <c r="T72" t="s">
        <v>74</v>
      </c>
      <c r="U72" t="s">
        <v>1437</v>
      </c>
      <c r="V72" t="s">
        <v>1438</v>
      </c>
      <c r="W72" t="s">
        <v>1439</v>
      </c>
      <c r="X72" t="s">
        <v>1440</v>
      </c>
      <c r="Y72" t="s">
        <v>1441</v>
      </c>
      <c r="Z72" t="s">
        <v>1442</v>
      </c>
      <c r="AA72" t="s">
        <v>1443</v>
      </c>
      <c r="AB72" t="s">
        <v>1444</v>
      </c>
      <c r="AC72" t="s">
        <v>1445</v>
      </c>
      <c r="AD72" t="s">
        <v>1446</v>
      </c>
      <c r="AE72" t="s">
        <v>1447</v>
      </c>
      <c r="AF72" t="s">
        <v>74</v>
      </c>
      <c r="AG72">
        <v>64</v>
      </c>
      <c r="AH72">
        <v>57</v>
      </c>
      <c r="AI72">
        <v>59</v>
      </c>
      <c r="AJ72">
        <v>0</v>
      </c>
      <c r="AK72">
        <v>10</v>
      </c>
      <c r="AL72" t="s">
        <v>1063</v>
      </c>
      <c r="AM72" t="s">
        <v>1064</v>
      </c>
      <c r="AN72" t="s">
        <v>1065</v>
      </c>
      <c r="AO72" t="s">
        <v>1448</v>
      </c>
      <c r="AP72" t="s">
        <v>1449</v>
      </c>
      <c r="AQ72" t="s">
        <v>74</v>
      </c>
      <c r="AR72" t="s">
        <v>1450</v>
      </c>
      <c r="AS72" t="s">
        <v>1451</v>
      </c>
      <c r="AT72" t="s">
        <v>1306</v>
      </c>
      <c r="AU72">
        <v>2010</v>
      </c>
      <c r="AV72">
        <v>74</v>
      </c>
      <c r="AW72">
        <v>7</v>
      </c>
      <c r="AX72" t="s">
        <v>74</v>
      </c>
      <c r="AY72" t="s">
        <v>74</v>
      </c>
      <c r="AZ72" t="s">
        <v>74</v>
      </c>
      <c r="BA72" t="s">
        <v>74</v>
      </c>
      <c r="BB72">
        <v>2190</v>
      </c>
      <c r="BC72">
        <v>2211</v>
      </c>
      <c r="BD72" t="s">
        <v>74</v>
      </c>
      <c r="BE72" t="s">
        <v>1452</v>
      </c>
      <c r="BF72" t="str">
        <f>HYPERLINK("http://dx.doi.org/10.1016/j.gca.2009.12.013","http://dx.doi.org/10.1016/j.gca.2009.12.013")</f>
        <v>http://dx.doi.org/10.1016/j.gca.2009.12.013</v>
      </c>
      <c r="BG72" t="s">
        <v>74</v>
      </c>
      <c r="BH72" t="s">
        <v>74</v>
      </c>
      <c r="BI72">
        <v>22</v>
      </c>
      <c r="BJ72" t="s">
        <v>507</v>
      </c>
      <c r="BK72" t="s">
        <v>102</v>
      </c>
      <c r="BL72" t="s">
        <v>507</v>
      </c>
      <c r="BM72" t="s">
        <v>1453</v>
      </c>
      <c r="BN72" t="s">
        <v>74</v>
      </c>
      <c r="BO72" t="s">
        <v>74</v>
      </c>
      <c r="BP72" t="s">
        <v>74</v>
      </c>
      <c r="BQ72" t="s">
        <v>74</v>
      </c>
      <c r="BR72" t="s">
        <v>105</v>
      </c>
      <c r="BS72" t="s">
        <v>1454</v>
      </c>
      <c r="BT72" t="str">
        <f>HYPERLINK("https%3A%2F%2Fwww.webofscience.com%2Fwos%2Fwoscc%2Ffull-record%2FWOS:000275225200017","View Full Record in Web of Science")</f>
        <v>View Full Record in Web of Science</v>
      </c>
    </row>
    <row r="73" spans="1:72" x14ac:dyDescent="0.15">
      <c r="A73" t="s">
        <v>72</v>
      </c>
      <c r="B73" t="s">
        <v>1455</v>
      </c>
      <c r="C73" t="s">
        <v>74</v>
      </c>
      <c r="D73" t="s">
        <v>74</v>
      </c>
      <c r="E73" t="s">
        <v>74</v>
      </c>
      <c r="F73" t="s">
        <v>1456</v>
      </c>
      <c r="G73" t="s">
        <v>74</v>
      </c>
      <c r="H73" t="s">
        <v>74</v>
      </c>
      <c r="I73" t="s">
        <v>1457</v>
      </c>
      <c r="J73" t="s">
        <v>1436</v>
      </c>
      <c r="K73" t="s">
        <v>74</v>
      </c>
      <c r="L73" t="s">
        <v>74</v>
      </c>
      <c r="M73" t="s">
        <v>78</v>
      </c>
      <c r="N73" t="s">
        <v>79</v>
      </c>
      <c r="O73" t="s">
        <v>74</v>
      </c>
      <c r="P73" t="s">
        <v>74</v>
      </c>
      <c r="Q73" t="s">
        <v>74</v>
      </c>
      <c r="R73" t="s">
        <v>74</v>
      </c>
      <c r="S73" t="s">
        <v>74</v>
      </c>
      <c r="T73" t="s">
        <v>74</v>
      </c>
      <c r="U73" t="s">
        <v>1458</v>
      </c>
      <c r="V73" t="s">
        <v>1459</v>
      </c>
      <c r="W73" t="s">
        <v>1460</v>
      </c>
      <c r="X73" t="s">
        <v>1461</v>
      </c>
      <c r="Y73" t="s">
        <v>1462</v>
      </c>
      <c r="Z73" t="s">
        <v>1463</v>
      </c>
      <c r="AA73" t="s">
        <v>1464</v>
      </c>
      <c r="AB73" t="s">
        <v>74</v>
      </c>
      <c r="AC73" t="s">
        <v>1465</v>
      </c>
      <c r="AD73" t="s">
        <v>1466</v>
      </c>
      <c r="AE73" t="s">
        <v>1467</v>
      </c>
      <c r="AF73" t="s">
        <v>74</v>
      </c>
      <c r="AG73">
        <v>79</v>
      </c>
      <c r="AH73">
        <v>42</v>
      </c>
      <c r="AI73">
        <v>47</v>
      </c>
      <c r="AJ73">
        <v>2</v>
      </c>
      <c r="AK73">
        <v>14</v>
      </c>
      <c r="AL73" t="s">
        <v>1063</v>
      </c>
      <c r="AM73" t="s">
        <v>1064</v>
      </c>
      <c r="AN73" t="s">
        <v>1065</v>
      </c>
      <c r="AO73" t="s">
        <v>1448</v>
      </c>
      <c r="AP73" t="s">
        <v>1449</v>
      </c>
      <c r="AQ73" t="s">
        <v>74</v>
      </c>
      <c r="AR73" t="s">
        <v>1450</v>
      </c>
      <c r="AS73" t="s">
        <v>1451</v>
      </c>
      <c r="AT73" t="s">
        <v>1306</v>
      </c>
      <c r="AU73">
        <v>2010</v>
      </c>
      <c r="AV73">
        <v>74</v>
      </c>
      <c r="AW73">
        <v>7</v>
      </c>
      <c r="AX73" t="s">
        <v>74</v>
      </c>
      <c r="AY73" t="s">
        <v>74</v>
      </c>
      <c r="AZ73" t="s">
        <v>74</v>
      </c>
      <c r="BA73" t="s">
        <v>74</v>
      </c>
      <c r="BB73">
        <v>2231</v>
      </c>
      <c r="BC73">
        <v>2248</v>
      </c>
      <c r="BD73" t="s">
        <v>74</v>
      </c>
      <c r="BE73" t="s">
        <v>1468</v>
      </c>
      <c r="BF73" t="str">
        <f>HYPERLINK("http://dx.doi.org/10.1016/j.gca.2009.11.019","http://dx.doi.org/10.1016/j.gca.2009.11.019")</f>
        <v>http://dx.doi.org/10.1016/j.gca.2009.11.019</v>
      </c>
      <c r="BG73" t="s">
        <v>74</v>
      </c>
      <c r="BH73" t="s">
        <v>74</v>
      </c>
      <c r="BI73">
        <v>18</v>
      </c>
      <c r="BJ73" t="s">
        <v>507</v>
      </c>
      <c r="BK73" t="s">
        <v>102</v>
      </c>
      <c r="BL73" t="s">
        <v>507</v>
      </c>
      <c r="BM73" t="s">
        <v>1453</v>
      </c>
      <c r="BN73" t="s">
        <v>74</v>
      </c>
      <c r="BO73" t="s">
        <v>74</v>
      </c>
      <c r="BP73" t="s">
        <v>74</v>
      </c>
      <c r="BQ73" t="s">
        <v>74</v>
      </c>
      <c r="BR73" t="s">
        <v>105</v>
      </c>
      <c r="BS73" t="s">
        <v>1469</v>
      </c>
      <c r="BT73" t="str">
        <f>HYPERLINK("https%3A%2F%2Fwww.webofscience.com%2Fwos%2Fwoscc%2Ffull-record%2FWOS:000275225200019","View Full Record in Web of Science")</f>
        <v>View Full Record in Web of Science</v>
      </c>
    </row>
    <row r="74" spans="1:72" x14ac:dyDescent="0.15">
      <c r="A74" t="s">
        <v>72</v>
      </c>
      <c r="B74" t="s">
        <v>1470</v>
      </c>
      <c r="C74" t="s">
        <v>74</v>
      </c>
      <c r="D74" t="s">
        <v>74</v>
      </c>
      <c r="E74" t="s">
        <v>74</v>
      </c>
      <c r="F74" t="s">
        <v>1471</v>
      </c>
      <c r="G74" t="s">
        <v>74</v>
      </c>
      <c r="H74" t="s">
        <v>74</v>
      </c>
      <c r="I74" t="s">
        <v>1472</v>
      </c>
      <c r="J74" t="s">
        <v>1473</v>
      </c>
      <c r="K74" t="s">
        <v>74</v>
      </c>
      <c r="L74" t="s">
        <v>74</v>
      </c>
      <c r="M74" t="s">
        <v>78</v>
      </c>
      <c r="N74" t="s">
        <v>79</v>
      </c>
      <c r="O74" t="s">
        <v>74</v>
      </c>
      <c r="P74" t="s">
        <v>74</v>
      </c>
      <c r="Q74" t="s">
        <v>74</v>
      </c>
      <c r="R74" t="s">
        <v>74</v>
      </c>
      <c r="S74" t="s">
        <v>74</v>
      </c>
      <c r="T74" t="s">
        <v>74</v>
      </c>
      <c r="U74" t="s">
        <v>1474</v>
      </c>
      <c r="V74" t="s">
        <v>1475</v>
      </c>
      <c r="W74" t="s">
        <v>1476</v>
      </c>
      <c r="X74" t="s">
        <v>1477</v>
      </c>
      <c r="Y74" t="s">
        <v>1478</v>
      </c>
      <c r="Z74" t="s">
        <v>1479</v>
      </c>
      <c r="AA74" t="s">
        <v>1480</v>
      </c>
      <c r="AB74" t="s">
        <v>1481</v>
      </c>
      <c r="AC74" t="s">
        <v>1482</v>
      </c>
      <c r="AD74" t="s">
        <v>1483</v>
      </c>
      <c r="AE74" t="s">
        <v>1484</v>
      </c>
      <c r="AF74" t="s">
        <v>74</v>
      </c>
      <c r="AG74">
        <v>40</v>
      </c>
      <c r="AH74">
        <v>36</v>
      </c>
      <c r="AI74">
        <v>40</v>
      </c>
      <c r="AJ74">
        <v>0</v>
      </c>
      <c r="AK74">
        <v>19</v>
      </c>
      <c r="AL74" t="s">
        <v>1485</v>
      </c>
      <c r="AM74" t="s">
        <v>1486</v>
      </c>
      <c r="AN74" t="s">
        <v>1487</v>
      </c>
      <c r="AO74" t="s">
        <v>1488</v>
      </c>
      <c r="AP74" t="s">
        <v>1489</v>
      </c>
      <c r="AQ74" t="s">
        <v>74</v>
      </c>
      <c r="AR74" t="s">
        <v>1473</v>
      </c>
      <c r="AS74" t="s">
        <v>914</v>
      </c>
      <c r="AT74" t="s">
        <v>505</v>
      </c>
      <c r="AU74">
        <v>2010</v>
      </c>
      <c r="AV74">
        <v>38</v>
      </c>
      <c r="AW74">
        <v>4</v>
      </c>
      <c r="AX74" t="s">
        <v>74</v>
      </c>
      <c r="AY74" t="s">
        <v>74</v>
      </c>
      <c r="AZ74" t="s">
        <v>74</v>
      </c>
      <c r="BA74" t="s">
        <v>74</v>
      </c>
      <c r="BB74">
        <v>375</v>
      </c>
      <c r="BC74">
        <v>378</v>
      </c>
      <c r="BD74" t="s">
        <v>74</v>
      </c>
      <c r="BE74" t="s">
        <v>1490</v>
      </c>
      <c r="BF74" t="str">
        <f>HYPERLINK("http://dx.doi.org/10.1130/G30493.1","http://dx.doi.org/10.1130/G30493.1")</f>
        <v>http://dx.doi.org/10.1130/G30493.1</v>
      </c>
      <c r="BG74" t="s">
        <v>74</v>
      </c>
      <c r="BH74" t="s">
        <v>74</v>
      </c>
      <c r="BI74">
        <v>4</v>
      </c>
      <c r="BJ74" t="s">
        <v>914</v>
      </c>
      <c r="BK74" t="s">
        <v>102</v>
      </c>
      <c r="BL74" t="s">
        <v>914</v>
      </c>
      <c r="BM74" t="s">
        <v>1491</v>
      </c>
      <c r="BN74" t="s">
        <v>74</v>
      </c>
      <c r="BO74" t="s">
        <v>74</v>
      </c>
      <c r="BP74" t="s">
        <v>74</v>
      </c>
      <c r="BQ74" t="s">
        <v>74</v>
      </c>
      <c r="BR74" t="s">
        <v>105</v>
      </c>
      <c r="BS74" t="s">
        <v>1492</v>
      </c>
      <c r="BT74" t="str">
        <f>HYPERLINK("https%3A%2F%2Fwww.webofscience.com%2Fwos%2Fwoscc%2Ffull-record%2FWOS:000275947700023","View Full Record in Web of Science")</f>
        <v>View Full Record in Web of Science</v>
      </c>
    </row>
    <row r="75" spans="1:72" x14ac:dyDescent="0.15">
      <c r="A75" t="s">
        <v>72</v>
      </c>
      <c r="B75" t="s">
        <v>1493</v>
      </c>
      <c r="C75" t="s">
        <v>74</v>
      </c>
      <c r="D75" t="s">
        <v>74</v>
      </c>
      <c r="E75" t="s">
        <v>74</v>
      </c>
      <c r="F75" t="s">
        <v>1494</v>
      </c>
      <c r="G75" t="s">
        <v>74</v>
      </c>
      <c r="H75" t="s">
        <v>74</v>
      </c>
      <c r="I75" t="s">
        <v>1495</v>
      </c>
      <c r="J75" t="s">
        <v>1496</v>
      </c>
      <c r="K75" t="s">
        <v>74</v>
      </c>
      <c r="L75" t="s">
        <v>74</v>
      </c>
      <c r="M75" t="s">
        <v>78</v>
      </c>
      <c r="N75" t="s">
        <v>79</v>
      </c>
      <c r="O75" t="s">
        <v>74</v>
      </c>
      <c r="P75" t="s">
        <v>74</v>
      </c>
      <c r="Q75" t="s">
        <v>74</v>
      </c>
      <c r="R75" t="s">
        <v>74</v>
      </c>
      <c r="S75" t="s">
        <v>74</v>
      </c>
      <c r="T75" t="s">
        <v>1497</v>
      </c>
      <c r="U75" t="s">
        <v>1498</v>
      </c>
      <c r="V75" t="s">
        <v>1499</v>
      </c>
      <c r="W75" t="s">
        <v>1500</v>
      </c>
      <c r="X75" t="s">
        <v>1501</v>
      </c>
      <c r="Y75" t="s">
        <v>1502</v>
      </c>
      <c r="Z75" t="s">
        <v>1503</v>
      </c>
      <c r="AA75" t="s">
        <v>1504</v>
      </c>
      <c r="AB75" t="s">
        <v>74</v>
      </c>
      <c r="AC75" t="s">
        <v>1505</v>
      </c>
      <c r="AD75" t="s">
        <v>1506</v>
      </c>
      <c r="AE75" t="s">
        <v>1507</v>
      </c>
      <c r="AF75" t="s">
        <v>74</v>
      </c>
      <c r="AG75">
        <v>265</v>
      </c>
      <c r="AH75">
        <v>1888</v>
      </c>
      <c r="AI75">
        <v>2075</v>
      </c>
      <c r="AJ75">
        <v>9</v>
      </c>
      <c r="AK75">
        <v>363</v>
      </c>
      <c r="AL75" t="s">
        <v>1508</v>
      </c>
      <c r="AM75" t="s">
        <v>1064</v>
      </c>
      <c r="AN75" t="s">
        <v>1509</v>
      </c>
      <c r="AO75" t="s">
        <v>1510</v>
      </c>
      <c r="AP75" t="s">
        <v>1511</v>
      </c>
      <c r="AQ75" t="s">
        <v>74</v>
      </c>
      <c r="AR75" t="s">
        <v>1512</v>
      </c>
      <c r="AS75" t="s">
        <v>1513</v>
      </c>
      <c r="AT75" t="s">
        <v>505</v>
      </c>
      <c r="AU75">
        <v>2010</v>
      </c>
      <c r="AV75">
        <v>181</v>
      </c>
      <c r="AW75">
        <v>1</v>
      </c>
      <c r="AX75" t="s">
        <v>74</v>
      </c>
      <c r="AY75" t="s">
        <v>74</v>
      </c>
      <c r="AZ75" t="s">
        <v>74</v>
      </c>
      <c r="BA75" t="s">
        <v>74</v>
      </c>
      <c r="BB75">
        <v>1</v>
      </c>
      <c r="BC75">
        <v>80</v>
      </c>
      <c r="BD75" t="s">
        <v>74</v>
      </c>
      <c r="BE75" t="s">
        <v>1514</v>
      </c>
      <c r="BF75" t="str">
        <f>HYPERLINK("http://dx.doi.org/10.1111/j.1365-246X.2009.04491.x","http://dx.doi.org/10.1111/j.1365-246X.2009.04491.x")</f>
        <v>http://dx.doi.org/10.1111/j.1365-246X.2009.04491.x</v>
      </c>
      <c r="BG75" t="s">
        <v>74</v>
      </c>
      <c r="BH75" t="s">
        <v>74</v>
      </c>
      <c r="BI75">
        <v>80</v>
      </c>
      <c r="BJ75" t="s">
        <v>507</v>
      </c>
      <c r="BK75" t="s">
        <v>102</v>
      </c>
      <c r="BL75" t="s">
        <v>507</v>
      </c>
      <c r="BM75" t="s">
        <v>1515</v>
      </c>
      <c r="BN75" t="s">
        <v>74</v>
      </c>
      <c r="BO75" t="s">
        <v>104</v>
      </c>
      <c r="BP75" t="s">
        <v>74</v>
      </c>
      <c r="BQ75" t="s">
        <v>74</v>
      </c>
      <c r="BR75" t="s">
        <v>105</v>
      </c>
      <c r="BS75" t="s">
        <v>1516</v>
      </c>
      <c r="BT75" t="str">
        <f>HYPERLINK("https%3A%2F%2Fwww.webofscience.com%2Fwos%2Fwoscc%2Ffull-record%2FWOS:000275884300001","View Full Record in Web of Science")</f>
        <v>View Full Record in Web of Science</v>
      </c>
    </row>
    <row r="76" spans="1:72" x14ac:dyDescent="0.15">
      <c r="A76" t="s">
        <v>72</v>
      </c>
      <c r="B76" t="s">
        <v>1517</v>
      </c>
      <c r="C76" t="s">
        <v>74</v>
      </c>
      <c r="D76" t="s">
        <v>74</v>
      </c>
      <c r="E76" t="s">
        <v>74</v>
      </c>
      <c r="F76" t="s">
        <v>1518</v>
      </c>
      <c r="G76" t="s">
        <v>74</v>
      </c>
      <c r="H76" t="s">
        <v>74</v>
      </c>
      <c r="I76" t="s">
        <v>1519</v>
      </c>
      <c r="J76" t="s">
        <v>1520</v>
      </c>
      <c r="K76" t="s">
        <v>74</v>
      </c>
      <c r="L76" t="s">
        <v>74</v>
      </c>
      <c r="M76" t="s">
        <v>78</v>
      </c>
      <c r="N76" t="s">
        <v>79</v>
      </c>
      <c r="O76" t="s">
        <v>74</v>
      </c>
      <c r="P76" t="s">
        <v>74</v>
      </c>
      <c r="Q76" t="s">
        <v>74</v>
      </c>
      <c r="R76" t="s">
        <v>74</v>
      </c>
      <c r="S76" t="s">
        <v>74</v>
      </c>
      <c r="T76" t="s">
        <v>1521</v>
      </c>
      <c r="U76" t="s">
        <v>1522</v>
      </c>
      <c r="V76" t="s">
        <v>1523</v>
      </c>
      <c r="W76" t="s">
        <v>1524</v>
      </c>
      <c r="X76" t="s">
        <v>399</v>
      </c>
      <c r="Y76" t="s">
        <v>1525</v>
      </c>
      <c r="Z76" t="s">
        <v>1526</v>
      </c>
      <c r="AA76" t="s">
        <v>1527</v>
      </c>
      <c r="AB76" t="s">
        <v>1528</v>
      </c>
      <c r="AC76" t="s">
        <v>1529</v>
      </c>
      <c r="AD76" t="s">
        <v>1530</v>
      </c>
      <c r="AE76" t="s">
        <v>1531</v>
      </c>
      <c r="AF76" t="s">
        <v>74</v>
      </c>
      <c r="AG76">
        <v>28</v>
      </c>
      <c r="AH76">
        <v>6</v>
      </c>
      <c r="AI76">
        <v>7</v>
      </c>
      <c r="AJ76">
        <v>0</v>
      </c>
      <c r="AK76">
        <v>7</v>
      </c>
      <c r="AL76" t="s">
        <v>1532</v>
      </c>
      <c r="AM76" t="s">
        <v>407</v>
      </c>
      <c r="AN76" t="s">
        <v>1533</v>
      </c>
      <c r="AO76" t="s">
        <v>1534</v>
      </c>
      <c r="AP76" t="s">
        <v>74</v>
      </c>
      <c r="AQ76" t="s">
        <v>74</v>
      </c>
      <c r="AR76" t="s">
        <v>1535</v>
      </c>
      <c r="AS76" t="s">
        <v>1536</v>
      </c>
      <c r="AT76" t="s">
        <v>505</v>
      </c>
      <c r="AU76">
        <v>2010</v>
      </c>
      <c r="AV76">
        <v>20</v>
      </c>
      <c r="AW76">
        <v>2</v>
      </c>
      <c r="AX76" t="s">
        <v>74</v>
      </c>
      <c r="AY76" t="s">
        <v>74</v>
      </c>
      <c r="AZ76" t="s">
        <v>74</v>
      </c>
      <c r="BA76" t="s">
        <v>74</v>
      </c>
      <c r="BB76">
        <v>91</v>
      </c>
      <c r="BC76">
        <v>98</v>
      </c>
      <c r="BD76" t="s">
        <v>74</v>
      </c>
      <c r="BE76" t="s">
        <v>74</v>
      </c>
      <c r="BF76" t="s">
        <v>74</v>
      </c>
      <c r="BG76" t="s">
        <v>74</v>
      </c>
      <c r="BH76" t="s">
        <v>74</v>
      </c>
      <c r="BI76">
        <v>8</v>
      </c>
      <c r="BJ76" t="s">
        <v>281</v>
      </c>
      <c r="BK76" t="s">
        <v>102</v>
      </c>
      <c r="BL76" t="s">
        <v>281</v>
      </c>
      <c r="BM76" t="s">
        <v>1537</v>
      </c>
      <c r="BN76" t="s">
        <v>74</v>
      </c>
      <c r="BO76" t="s">
        <v>74</v>
      </c>
      <c r="BP76" t="s">
        <v>74</v>
      </c>
      <c r="BQ76" t="s">
        <v>74</v>
      </c>
      <c r="BR76" t="s">
        <v>105</v>
      </c>
      <c r="BS76" t="s">
        <v>1538</v>
      </c>
      <c r="BT76" t="str">
        <f>HYPERLINK("https%3A%2F%2Fwww.webofscience.com%2Fwos%2Fwoscc%2Ffull-record%2FWOS:000281466800005","View Full Record in Web of Science")</f>
        <v>View Full Record in Web of Science</v>
      </c>
    </row>
    <row r="77" spans="1:72" x14ac:dyDescent="0.15">
      <c r="A77" t="s">
        <v>72</v>
      </c>
      <c r="B77" t="s">
        <v>1539</v>
      </c>
      <c r="C77" t="s">
        <v>74</v>
      </c>
      <c r="D77" t="s">
        <v>74</v>
      </c>
      <c r="E77" t="s">
        <v>74</v>
      </c>
      <c r="F77" t="s">
        <v>1540</v>
      </c>
      <c r="G77" t="s">
        <v>74</v>
      </c>
      <c r="H77" t="s">
        <v>74</v>
      </c>
      <c r="I77" t="s">
        <v>1541</v>
      </c>
      <c r="J77" t="s">
        <v>1542</v>
      </c>
      <c r="K77" t="s">
        <v>74</v>
      </c>
      <c r="L77" t="s">
        <v>74</v>
      </c>
      <c r="M77" t="s">
        <v>78</v>
      </c>
      <c r="N77" t="s">
        <v>79</v>
      </c>
      <c r="O77" t="s">
        <v>74</v>
      </c>
      <c r="P77" t="s">
        <v>74</v>
      </c>
      <c r="Q77" t="s">
        <v>74</v>
      </c>
      <c r="R77" t="s">
        <v>74</v>
      </c>
      <c r="S77" t="s">
        <v>74</v>
      </c>
      <c r="T77" t="s">
        <v>1543</v>
      </c>
      <c r="U77" t="s">
        <v>1544</v>
      </c>
      <c r="V77" t="s">
        <v>1545</v>
      </c>
      <c r="W77" t="s">
        <v>1546</v>
      </c>
      <c r="X77" t="s">
        <v>1547</v>
      </c>
      <c r="Y77" t="s">
        <v>1548</v>
      </c>
      <c r="Z77" t="s">
        <v>1549</v>
      </c>
      <c r="AA77" t="s">
        <v>1550</v>
      </c>
      <c r="AB77" t="s">
        <v>1551</v>
      </c>
      <c r="AC77" t="s">
        <v>1552</v>
      </c>
      <c r="AD77" t="s">
        <v>1553</v>
      </c>
      <c r="AE77" t="s">
        <v>1554</v>
      </c>
      <c r="AF77" t="s">
        <v>74</v>
      </c>
      <c r="AG77">
        <v>31</v>
      </c>
      <c r="AH77">
        <v>29</v>
      </c>
      <c r="AI77">
        <v>33</v>
      </c>
      <c r="AJ77">
        <v>0</v>
      </c>
      <c r="AK77">
        <v>15</v>
      </c>
      <c r="AL77" t="s">
        <v>1508</v>
      </c>
      <c r="AM77" t="s">
        <v>1064</v>
      </c>
      <c r="AN77" t="s">
        <v>1509</v>
      </c>
      <c r="AO77" t="s">
        <v>1555</v>
      </c>
      <c r="AP77" t="s">
        <v>74</v>
      </c>
      <c r="AQ77" t="s">
        <v>74</v>
      </c>
      <c r="AR77" t="s">
        <v>1556</v>
      </c>
      <c r="AS77" t="s">
        <v>1557</v>
      </c>
      <c r="AT77" t="s">
        <v>505</v>
      </c>
      <c r="AU77">
        <v>2010</v>
      </c>
      <c r="AV77">
        <v>67</v>
      </c>
      <c r="AW77">
        <v>3</v>
      </c>
      <c r="AX77" t="s">
        <v>74</v>
      </c>
      <c r="AY77" t="s">
        <v>74</v>
      </c>
      <c r="AZ77" t="s">
        <v>74</v>
      </c>
      <c r="BA77" t="s">
        <v>74</v>
      </c>
      <c r="BB77">
        <v>583</v>
      </c>
      <c r="BC77">
        <v>593</v>
      </c>
      <c r="BD77" t="s">
        <v>74</v>
      </c>
      <c r="BE77" t="s">
        <v>1558</v>
      </c>
      <c r="BF77" t="str">
        <f>HYPERLINK("http://dx.doi.org/10.1093/icesjms/fsp263","http://dx.doi.org/10.1093/icesjms/fsp263")</f>
        <v>http://dx.doi.org/10.1093/icesjms/fsp263</v>
      </c>
      <c r="BG77" t="s">
        <v>74</v>
      </c>
      <c r="BH77" t="s">
        <v>74</v>
      </c>
      <c r="BI77">
        <v>11</v>
      </c>
      <c r="BJ77" t="s">
        <v>1559</v>
      </c>
      <c r="BK77" t="s">
        <v>102</v>
      </c>
      <c r="BL77" t="s">
        <v>1559</v>
      </c>
      <c r="BM77" t="s">
        <v>1560</v>
      </c>
      <c r="BN77" t="s">
        <v>74</v>
      </c>
      <c r="BO77" t="s">
        <v>1561</v>
      </c>
      <c r="BP77" t="s">
        <v>74</v>
      </c>
      <c r="BQ77" t="s">
        <v>74</v>
      </c>
      <c r="BR77" t="s">
        <v>105</v>
      </c>
      <c r="BS77" t="s">
        <v>1562</v>
      </c>
      <c r="BT77" t="str">
        <f>HYPERLINK("https%3A%2F%2Fwww.webofscience.com%2Fwos%2Fwoscc%2Ffull-record%2FWOS:000275818300021","View Full Record in Web of Science")</f>
        <v>View Full Record in Web of Science</v>
      </c>
    </row>
    <row r="78" spans="1:72" x14ac:dyDescent="0.15">
      <c r="A78" t="s">
        <v>72</v>
      </c>
      <c r="B78" t="s">
        <v>1563</v>
      </c>
      <c r="C78" t="s">
        <v>74</v>
      </c>
      <c r="D78" t="s">
        <v>74</v>
      </c>
      <c r="E78" t="s">
        <v>74</v>
      </c>
      <c r="F78" t="s">
        <v>1564</v>
      </c>
      <c r="G78" t="s">
        <v>74</v>
      </c>
      <c r="H78" t="s">
        <v>74</v>
      </c>
      <c r="I78" t="s">
        <v>1565</v>
      </c>
      <c r="J78" t="s">
        <v>1566</v>
      </c>
      <c r="K78" t="s">
        <v>74</v>
      </c>
      <c r="L78" t="s">
        <v>74</v>
      </c>
      <c r="M78" t="s">
        <v>78</v>
      </c>
      <c r="N78" t="s">
        <v>79</v>
      </c>
      <c r="O78" t="s">
        <v>74</v>
      </c>
      <c r="P78" t="s">
        <v>74</v>
      </c>
      <c r="Q78" t="s">
        <v>74</v>
      </c>
      <c r="R78" t="s">
        <v>74</v>
      </c>
      <c r="S78" t="s">
        <v>74</v>
      </c>
      <c r="T78" t="s">
        <v>1567</v>
      </c>
      <c r="U78" t="s">
        <v>1568</v>
      </c>
      <c r="V78" t="s">
        <v>1569</v>
      </c>
      <c r="W78" t="s">
        <v>1570</v>
      </c>
      <c r="X78" t="s">
        <v>1571</v>
      </c>
      <c r="Y78" t="s">
        <v>1572</v>
      </c>
      <c r="Z78" t="s">
        <v>1573</v>
      </c>
      <c r="AA78" t="s">
        <v>1574</v>
      </c>
      <c r="AB78" t="s">
        <v>1575</v>
      </c>
      <c r="AC78" t="s">
        <v>1576</v>
      </c>
      <c r="AD78" t="s">
        <v>989</v>
      </c>
      <c r="AE78" t="s">
        <v>1577</v>
      </c>
      <c r="AF78" t="s">
        <v>74</v>
      </c>
      <c r="AG78">
        <v>27</v>
      </c>
      <c r="AH78">
        <v>10</v>
      </c>
      <c r="AI78">
        <v>10</v>
      </c>
      <c r="AJ78">
        <v>0</v>
      </c>
      <c r="AK78">
        <v>11</v>
      </c>
      <c r="AL78" t="s">
        <v>1578</v>
      </c>
      <c r="AM78" t="s">
        <v>1579</v>
      </c>
      <c r="AN78" t="s">
        <v>1580</v>
      </c>
      <c r="AO78" t="s">
        <v>1581</v>
      </c>
      <c r="AP78" t="s">
        <v>74</v>
      </c>
      <c r="AQ78" t="s">
        <v>74</v>
      </c>
      <c r="AR78" t="s">
        <v>1582</v>
      </c>
      <c r="AS78" t="s">
        <v>1583</v>
      </c>
      <c r="AT78" t="s">
        <v>505</v>
      </c>
      <c r="AU78">
        <v>2010</v>
      </c>
      <c r="AV78">
        <v>7</v>
      </c>
      <c r="AW78">
        <v>2</v>
      </c>
      <c r="AX78" t="s">
        <v>74</v>
      </c>
      <c r="AY78" t="s">
        <v>74</v>
      </c>
      <c r="AZ78" t="s">
        <v>74</v>
      </c>
      <c r="BA78" t="s">
        <v>74</v>
      </c>
      <c r="BB78">
        <v>246</v>
      </c>
      <c r="BC78">
        <v>250</v>
      </c>
      <c r="BD78" t="s">
        <v>74</v>
      </c>
      <c r="BE78" t="s">
        <v>1584</v>
      </c>
      <c r="BF78" t="str">
        <f>HYPERLINK("http://dx.doi.org/10.1109/LGRS.2009.2032304","http://dx.doi.org/10.1109/LGRS.2009.2032304")</f>
        <v>http://dx.doi.org/10.1109/LGRS.2009.2032304</v>
      </c>
      <c r="BG78" t="s">
        <v>74</v>
      </c>
      <c r="BH78" t="s">
        <v>74</v>
      </c>
      <c r="BI78">
        <v>5</v>
      </c>
      <c r="BJ78" t="s">
        <v>1585</v>
      </c>
      <c r="BK78" t="s">
        <v>102</v>
      </c>
      <c r="BL78" t="s">
        <v>1586</v>
      </c>
      <c r="BM78" t="s">
        <v>1587</v>
      </c>
      <c r="BN78" t="s">
        <v>74</v>
      </c>
      <c r="BO78" t="s">
        <v>74</v>
      </c>
      <c r="BP78" t="s">
        <v>74</v>
      </c>
      <c r="BQ78" t="s">
        <v>74</v>
      </c>
      <c r="BR78" t="s">
        <v>105</v>
      </c>
      <c r="BS78" t="s">
        <v>1588</v>
      </c>
      <c r="BT78" t="str">
        <f>HYPERLINK("https%3A%2F%2Fwww.webofscience.com%2Fwos%2Fwoscc%2Ffull-record%2FWOS:000276683000005","View Full Record in Web of Science")</f>
        <v>View Full Record in Web of Science</v>
      </c>
    </row>
    <row r="79" spans="1:72" x14ac:dyDescent="0.15">
      <c r="A79" t="s">
        <v>72</v>
      </c>
      <c r="B79" t="s">
        <v>1589</v>
      </c>
      <c r="C79" t="s">
        <v>74</v>
      </c>
      <c r="D79" t="s">
        <v>74</v>
      </c>
      <c r="E79" t="s">
        <v>74</v>
      </c>
      <c r="F79" t="s">
        <v>1590</v>
      </c>
      <c r="G79" t="s">
        <v>74</v>
      </c>
      <c r="H79" t="s">
        <v>74</v>
      </c>
      <c r="I79" t="s">
        <v>1591</v>
      </c>
      <c r="J79" t="s">
        <v>1592</v>
      </c>
      <c r="K79" t="s">
        <v>74</v>
      </c>
      <c r="L79" t="s">
        <v>74</v>
      </c>
      <c r="M79" t="s">
        <v>78</v>
      </c>
      <c r="N79" t="s">
        <v>79</v>
      </c>
      <c r="O79" t="s">
        <v>74</v>
      </c>
      <c r="P79" t="s">
        <v>74</v>
      </c>
      <c r="Q79" t="s">
        <v>74</v>
      </c>
      <c r="R79" t="s">
        <v>74</v>
      </c>
      <c r="S79" t="s">
        <v>74</v>
      </c>
      <c r="T79" t="s">
        <v>74</v>
      </c>
      <c r="U79" t="s">
        <v>1593</v>
      </c>
      <c r="V79" t="s">
        <v>1594</v>
      </c>
      <c r="W79" t="s">
        <v>1595</v>
      </c>
      <c r="X79" t="s">
        <v>1596</v>
      </c>
      <c r="Y79" t="s">
        <v>1597</v>
      </c>
      <c r="Z79" t="s">
        <v>1598</v>
      </c>
      <c r="AA79" t="s">
        <v>1599</v>
      </c>
      <c r="AB79" t="s">
        <v>1600</v>
      </c>
      <c r="AC79" t="s">
        <v>1601</v>
      </c>
      <c r="AD79" t="s">
        <v>1602</v>
      </c>
      <c r="AE79" t="s">
        <v>1603</v>
      </c>
      <c r="AF79" t="s">
        <v>74</v>
      </c>
      <c r="AG79">
        <v>38</v>
      </c>
      <c r="AH79">
        <v>38</v>
      </c>
      <c r="AI79">
        <v>39</v>
      </c>
      <c r="AJ79">
        <v>0</v>
      </c>
      <c r="AK79">
        <v>5</v>
      </c>
      <c r="AL79" t="s">
        <v>1604</v>
      </c>
      <c r="AM79" t="s">
        <v>1605</v>
      </c>
      <c r="AN79" t="s">
        <v>1606</v>
      </c>
      <c r="AO79" t="s">
        <v>1607</v>
      </c>
      <c r="AP79" t="s">
        <v>1608</v>
      </c>
      <c r="AQ79" t="s">
        <v>74</v>
      </c>
      <c r="AR79" t="s">
        <v>1609</v>
      </c>
      <c r="AS79" t="s">
        <v>1610</v>
      </c>
      <c r="AT79" t="s">
        <v>505</v>
      </c>
      <c r="AU79">
        <v>2010</v>
      </c>
      <c r="AV79">
        <v>60</v>
      </c>
      <c r="AW79" t="s">
        <v>74</v>
      </c>
      <c r="AX79">
        <v>4</v>
      </c>
      <c r="AY79" t="s">
        <v>74</v>
      </c>
      <c r="AZ79" t="s">
        <v>74</v>
      </c>
      <c r="BA79" t="s">
        <v>74</v>
      </c>
      <c r="BB79">
        <v>721</v>
      </c>
      <c r="BC79">
        <v>726</v>
      </c>
      <c r="BD79" t="s">
        <v>74</v>
      </c>
      <c r="BE79" t="s">
        <v>1611</v>
      </c>
      <c r="BF79" t="str">
        <f>HYPERLINK("http://dx.doi.org/10.1099/ijs.0.014076","http://dx.doi.org/10.1099/ijs.0.014076")</f>
        <v>http://dx.doi.org/10.1099/ijs.0.014076</v>
      </c>
      <c r="BG79" t="s">
        <v>74</v>
      </c>
      <c r="BH79" t="s">
        <v>74</v>
      </c>
      <c r="BI79">
        <v>6</v>
      </c>
      <c r="BJ79" t="s">
        <v>1612</v>
      </c>
      <c r="BK79" t="s">
        <v>102</v>
      </c>
      <c r="BL79" t="s">
        <v>1612</v>
      </c>
      <c r="BM79" t="s">
        <v>1613</v>
      </c>
      <c r="BN79">
        <v>20371870</v>
      </c>
      <c r="BO79" t="s">
        <v>74</v>
      </c>
      <c r="BP79" t="s">
        <v>74</v>
      </c>
      <c r="BQ79" t="s">
        <v>74</v>
      </c>
      <c r="BR79" t="s">
        <v>105</v>
      </c>
      <c r="BS79" t="s">
        <v>1614</v>
      </c>
      <c r="BT79" t="str">
        <f>HYPERLINK("https%3A%2F%2Fwww.webofscience.com%2Fwos%2Fwoscc%2Ffull-record%2FWOS:000277733300001","View Full Record in Web of Science")</f>
        <v>View Full Record in Web of Science</v>
      </c>
    </row>
    <row r="80" spans="1:72" x14ac:dyDescent="0.15">
      <c r="A80" t="s">
        <v>72</v>
      </c>
      <c r="B80" t="s">
        <v>1615</v>
      </c>
      <c r="C80" t="s">
        <v>74</v>
      </c>
      <c r="D80" t="s">
        <v>74</v>
      </c>
      <c r="E80" t="s">
        <v>74</v>
      </c>
      <c r="F80" t="s">
        <v>1616</v>
      </c>
      <c r="G80" t="s">
        <v>74</v>
      </c>
      <c r="H80" t="s">
        <v>74</v>
      </c>
      <c r="I80" t="s">
        <v>1617</v>
      </c>
      <c r="J80" t="s">
        <v>1592</v>
      </c>
      <c r="K80" t="s">
        <v>74</v>
      </c>
      <c r="L80" t="s">
        <v>74</v>
      </c>
      <c r="M80" t="s">
        <v>78</v>
      </c>
      <c r="N80" t="s">
        <v>79</v>
      </c>
      <c r="O80" t="s">
        <v>74</v>
      </c>
      <c r="P80" t="s">
        <v>74</v>
      </c>
      <c r="Q80" t="s">
        <v>74</v>
      </c>
      <c r="R80" t="s">
        <v>74</v>
      </c>
      <c r="S80" t="s">
        <v>74</v>
      </c>
      <c r="T80" t="s">
        <v>74</v>
      </c>
      <c r="U80" t="s">
        <v>1618</v>
      </c>
      <c r="V80" t="s">
        <v>1619</v>
      </c>
      <c r="W80" t="s">
        <v>1620</v>
      </c>
      <c r="X80" t="s">
        <v>1621</v>
      </c>
      <c r="Y80" t="s">
        <v>1622</v>
      </c>
      <c r="Z80" t="s">
        <v>1623</v>
      </c>
      <c r="AA80" t="s">
        <v>1624</v>
      </c>
      <c r="AB80" t="s">
        <v>1625</v>
      </c>
      <c r="AC80" t="s">
        <v>1626</v>
      </c>
      <c r="AD80" t="s">
        <v>1627</v>
      </c>
      <c r="AE80" t="s">
        <v>1628</v>
      </c>
      <c r="AF80" t="s">
        <v>74</v>
      </c>
      <c r="AG80">
        <v>21</v>
      </c>
      <c r="AH80">
        <v>33</v>
      </c>
      <c r="AI80">
        <v>38</v>
      </c>
      <c r="AJ80">
        <v>0</v>
      </c>
      <c r="AK80">
        <v>5</v>
      </c>
      <c r="AL80" t="s">
        <v>1604</v>
      </c>
      <c r="AM80" t="s">
        <v>1605</v>
      </c>
      <c r="AN80" t="s">
        <v>1606</v>
      </c>
      <c r="AO80" t="s">
        <v>1607</v>
      </c>
      <c r="AP80" t="s">
        <v>74</v>
      </c>
      <c r="AQ80" t="s">
        <v>74</v>
      </c>
      <c r="AR80" t="s">
        <v>1609</v>
      </c>
      <c r="AS80" t="s">
        <v>1610</v>
      </c>
      <c r="AT80" t="s">
        <v>505</v>
      </c>
      <c r="AU80">
        <v>2010</v>
      </c>
      <c r="AV80">
        <v>60</v>
      </c>
      <c r="AW80" t="s">
        <v>74</v>
      </c>
      <c r="AX80">
        <v>4</v>
      </c>
      <c r="AY80" t="s">
        <v>74</v>
      </c>
      <c r="AZ80" t="s">
        <v>74</v>
      </c>
      <c r="BA80" t="s">
        <v>74</v>
      </c>
      <c r="BB80">
        <v>815</v>
      </c>
      <c r="BC80">
        <v>819</v>
      </c>
      <c r="BD80" t="s">
        <v>74</v>
      </c>
      <c r="BE80" t="s">
        <v>1629</v>
      </c>
      <c r="BF80" t="str">
        <f>HYPERLINK("http://dx.doi.org/10.1099/ijs.0.011056-0","http://dx.doi.org/10.1099/ijs.0.011056-0")</f>
        <v>http://dx.doi.org/10.1099/ijs.0.011056-0</v>
      </c>
      <c r="BG80" t="s">
        <v>74</v>
      </c>
      <c r="BH80" t="s">
        <v>74</v>
      </c>
      <c r="BI80">
        <v>5</v>
      </c>
      <c r="BJ80" t="s">
        <v>1612</v>
      </c>
      <c r="BK80" t="s">
        <v>102</v>
      </c>
      <c r="BL80" t="s">
        <v>1612</v>
      </c>
      <c r="BM80" t="s">
        <v>1613</v>
      </c>
      <c r="BN80">
        <v>19661523</v>
      </c>
      <c r="BO80" t="s">
        <v>455</v>
      </c>
      <c r="BP80" t="s">
        <v>74</v>
      </c>
      <c r="BQ80" t="s">
        <v>74</v>
      </c>
      <c r="BR80" t="s">
        <v>105</v>
      </c>
      <c r="BS80" t="s">
        <v>1630</v>
      </c>
      <c r="BT80" t="str">
        <f>HYPERLINK("https%3A%2F%2Fwww.webofscience.com%2Fwos%2Fwoscc%2Ffull-record%2FWOS:000277733300017","View Full Record in Web of Science")</f>
        <v>View Full Record in Web of Science</v>
      </c>
    </row>
    <row r="81" spans="1:72" x14ac:dyDescent="0.15">
      <c r="A81" t="s">
        <v>72</v>
      </c>
      <c r="B81" t="s">
        <v>1631</v>
      </c>
      <c r="C81" t="s">
        <v>74</v>
      </c>
      <c r="D81" t="s">
        <v>74</v>
      </c>
      <c r="E81" t="s">
        <v>74</v>
      </c>
      <c r="F81" t="s">
        <v>1632</v>
      </c>
      <c r="G81" t="s">
        <v>74</v>
      </c>
      <c r="H81" t="s">
        <v>74</v>
      </c>
      <c r="I81" t="s">
        <v>1633</v>
      </c>
      <c r="J81" t="s">
        <v>1592</v>
      </c>
      <c r="K81" t="s">
        <v>74</v>
      </c>
      <c r="L81" t="s">
        <v>74</v>
      </c>
      <c r="M81" t="s">
        <v>78</v>
      </c>
      <c r="N81" t="s">
        <v>79</v>
      </c>
      <c r="O81" t="s">
        <v>74</v>
      </c>
      <c r="P81" t="s">
        <v>74</v>
      </c>
      <c r="Q81" t="s">
        <v>74</v>
      </c>
      <c r="R81" t="s">
        <v>74</v>
      </c>
      <c r="S81" t="s">
        <v>74</v>
      </c>
      <c r="T81" t="s">
        <v>74</v>
      </c>
      <c r="U81" t="s">
        <v>1634</v>
      </c>
      <c r="V81" t="s">
        <v>1635</v>
      </c>
      <c r="W81" t="s">
        <v>1636</v>
      </c>
      <c r="X81" t="s">
        <v>1596</v>
      </c>
      <c r="Y81" t="s">
        <v>1597</v>
      </c>
      <c r="Z81" t="s">
        <v>1598</v>
      </c>
      <c r="AA81" t="s">
        <v>74</v>
      </c>
      <c r="AB81" t="s">
        <v>1637</v>
      </c>
      <c r="AC81" t="s">
        <v>1638</v>
      </c>
      <c r="AD81" t="s">
        <v>1639</v>
      </c>
      <c r="AE81" t="s">
        <v>1640</v>
      </c>
      <c r="AF81" t="s">
        <v>74</v>
      </c>
      <c r="AG81">
        <v>20</v>
      </c>
      <c r="AH81">
        <v>48</v>
      </c>
      <c r="AI81">
        <v>53</v>
      </c>
      <c r="AJ81">
        <v>0</v>
      </c>
      <c r="AK81">
        <v>7</v>
      </c>
      <c r="AL81" t="s">
        <v>1641</v>
      </c>
      <c r="AM81" t="s">
        <v>407</v>
      </c>
      <c r="AN81" t="s">
        <v>1642</v>
      </c>
      <c r="AO81" t="s">
        <v>1607</v>
      </c>
      <c r="AP81" t="s">
        <v>1608</v>
      </c>
      <c r="AQ81" t="s">
        <v>74</v>
      </c>
      <c r="AR81" t="s">
        <v>1609</v>
      </c>
      <c r="AS81" t="s">
        <v>1610</v>
      </c>
      <c r="AT81" t="s">
        <v>505</v>
      </c>
      <c r="AU81">
        <v>2010</v>
      </c>
      <c r="AV81">
        <v>60</v>
      </c>
      <c r="AW81" t="s">
        <v>74</v>
      </c>
      <c r="AX81">
        <v>4</v>
      </c>
      <c r="AY81" t="s">
        <v>74</v>
      </c>
      <c r="AZ81" t="s">
        <v>74</v>
      </c>
      <c r="BA81" t="s">
        <v>74</v>
      </c>
      <c r="BB81">
        <v>866</v>
      </c>
      <c r="BC81">
        <v>870</v>
      </c>
      <c r="BD81" t="s">
        <v>74</v>
      </c>
      <c r="BE81" t="s">
        <v>1643</v>
      </c>
      <c r="BF81" t="str">
        <f>HYPERLINK("http://dx.doi.org/10.1099/ijs.0.011775-0","http://dx.doi.org/10.1099/ijs.0.011775-0")</f>
        <v>http://dx.doi.org/10.1099/ijs.0.011775-0</v>
      </c>
      <c r="BG81" t="s">
        <v>74</v>
      </c>
      <c r="BH81" t="s">
        <v>74</v>
      </c>
      <c r="BI81">
        <v>5</v>
      </c>
      <c r="BJ81" t="s">
        <v>1612</v>
      </c>
      <c r="BK81" t="s">
        <v>102</v>
      </c>
      <c r="BL81" t="s">
        <v>1612</v>
      </c>
      <c r="BM81" t="s">
        <v>1613</v>
      </c>
      <c r="BN81">
        <v>19661491</v>
      </c>
      <c r="BO81" t="s">
        <v>104</v>
      </c>
      <c r="BP81" t="s">
        <v>74</v>
      </c>
      <c r="BQ81" t="s">
        <v>74</v>
      </c>
      <c r="BR81" t="s">
        <v>105</v>
      </c>
      <c r="BS81" t="s">
        <v>1644</v>
      </c>
      <c r="BT81" t="str">
        <f>HYPERLINK("https%3A%2F%2Fwww.webofscience.com%2Fwos%2Fwoscc%2Ffull-record%2FWOS:000277733300027","View Full Record in Web of Science")</f>
        <v>View Full Record in Web of Science</v>
      </c>
    </row>
    <row r="82" spans="1:72" x14ac:dyDescent="0.15">
      <c r="A82" t="s">
        <v>72</v>
      </c>
      <c r="B82" t="s">
        <v>1645</v>
      </c>
      <c r="C82" t="s">
        <v>74</v>
      </c>
      <c r="D82" t="s">
        <v>74</v>
      </c>
      <c r="E82" t="s">
        <v>74</v>
      </c>
      <c r="F82" t="s">
        <v>1646</v>
      </c>
      <c r="G82" t="s">
        <v>74</v>
      </c>
      <c r="H82" t="s">
        <v>74</v>
      </c>
      <c r="I82" t="s">
        <v>1647</v>
      </c>
      <c r="J82" t="s">
        <v>1648</v>
      </c>
      <c r="K82" t="s">
        <v>74</v>
      </c>
      <c r="L82" t="s">
        <v>74</v>
      </c>
      <c r="M82" t="s">
        <v>78</v>
      </c>
      <c r="N82" t="s">
        <v>79</v>
      </c>
      <c r="O82" t="s">
        <v>74</v>
      </c>
      <c r="P82" t="s">
        <v>74</v>
      </c>
      <c r="Q82" t="s">
        <v>74</v>
      </c>
      <c r="R82" t="s">
        <v>74</v>
      </c>
      <c r="S82" t="s">
        <v>74</v>
      </c>
      <c r="T82" t="s">
        <v>74</v>
      </c>
      <c r="U82" t="s">
        <v>74</v>
      </c>
      <c r="V82" t="s">
        <v>1649</v>
      </c>
      <c r="W82" t="s">
        <v>1650</v>
      </c>
      <c r="X82" t="s">
        <v>1651</v>
      </c>
      <c r="Y82" t="s">
        <v>1652</v>
      </c>
      <c r="Z82" t="s">
        <v>1653</v>
      </c>
      <c r="AA82" t="s">
        <v>74</v>
      </c>
      <c r="AB82" t="s">
        <v>74</v>
      </c>
      <c r="AC82" t="s">
        <v>74</v>
      </c>
      <c r="AD82" t="s">
        <v>74</v>
      </c>
      <c r="AE82" t="s">
        <v>74</v>
      </c>
      <c r="AF82" t="s">
        <v>74</v>
      </c>
      <c r="AG82">
        <v>14</v>
      </c>
      <c r="AH82">
        <v>0</v>
      </c>
      <c r="AI82">
        <v>0</v>
      </c>
      <c r="AJ82">
        <v>0</v>
      </c>
      <c r="AK82">
        <v>1</v>
      </c>
      <c r="AL82" t="s">
        <v>1654</v>
      </c>
      <c r="AM82" t="s">
        <v>1655</v>
      </c>
      <c r="AN82" t="s">
        <v>1656</v>
      </c>
      <c r="AO82" t="s">
        <v>1657</v>
      </c>
      <c r="AP82" t="s">
        <v>74</v>
      </c>
      <c r="AQ82" t="s">
        <v>74</v>
      </c>
      <c r="AR82" t="s">
        <v>1658</v>
      </c>
      <c r="AS82" t="s">
        <v>1659</v>
      </c>
      <c r="AT82" t="s">
        <v>505</v>
      </c>
      <c r="AU82">
        <v>2010</v>
      </c>
      <c r="AV82">
        <v>26</v>
      </c>
      <c r="AW82" t="s">
        <v>74</v>
      </c>
      <c r="AX82" t="s">
        <v>74</v>
      </c>
      <c r="AY82">
        <v>1</v>
      </c>
      <c r="AZ82" t="s">
        <v>74</v>
      </c>
      <c r="BA82" t="s">
        <v>74</v>
      </c>
      <c r="BB82">
        <v>32</v>
      </c>
      <c r="BC82">
        <v>40</v>
      </c>
      <c r="BD82" t="s">
        <v>74</v>
      </c>
      <c r="BE82" t="s">
        <v>1660</v>
      </c>
      <c r="BF82" t="str">
        <f>HYPERLINK("http://dx.doi.org/10.1111/j.1439-0426.2010.01444.x","http://dx.doi.org/10.1111/j.1439-0426.2010.01444.x")</f>
        <v>http://dx.doi.org/10.1111/j.1439-0426.2010.01444.x</v>
      </c>
      <c r="BG82" t="s">
        <v>74</v>
      </c>
      <c r="BH82" t="s">
        <v>74</v>
      </c>
      <c r="BI82">
        <v>9</v>
      </c>
      <c r="BJ82" t="s">
        <v>1661</v>
      </c>
      <c r="BK82" t="s">
        <v>102</v>
      </c>
      <c r="BL82" t="s">
        <v>1661</v>
      </c>
      <c r="BM82" t="s">
        <v>1662</v>
      </c>
      <c r="BN82" t="s">
        <v>74</v>
      </c>
      <c r="BO82" t="s">
        <v>1663</v>
      </c>
      <c r="BP82" t="s">
        <v>74</v>
      </c>
      <c r="BQ82" t="s">
        <v>74</v>
      </c>
      <c r="BR82" t="s">
        <v>105</v>
      </c>
      <c r="BS82" t="s">
        <v>1664</v>
      </c>
      <c r="BT82" t="str">
        <f>HYPERLINK("https%3A%2F%2Fwww.webofscience.com%2Fwos%2Fwoscc%2Ffull-record%2FWOS:000275761600007","View Full Record in Web of Science")</f>
        <v>View Full Record in Web of Science</v>
      </c>
    </row>
    <row r="83" spans="1:72" x14ac:dyDescent="0.15">
      <c r="A83" t="s">
        <v>72</v>
      </c>
      <c r="B83" t="s">
        <v>1665</v>
      </c>
      <c r="C83" t="s">
        <v>74</v>
      </c>
      <c r="D83" t="s">
        <v>74</v>
      </c>
      <c r="E83" t="s">
        <v>74</v>
      </c>
      <c r="F83" t="s">
        <v>1666</v>
      </c>
      <c r="G83" t="s">
        <v>74</v>
      </c>
      <c r="H83" t="s">
        <v>74</v>
      </c>
      <c r="I83" t="s">
        <v>1667</v>
      </c>
      <c r="J83" t="s">
        <v>1648</v>
      </c>
      <c r="K83" t="s">
        <v>74</v>
      </c>
      <c r="L83" t="s">
        <v>74</v>
      </c>
      <c r="M83" t="s">
        <v>78</v>
      </c>
      <c r="N83" t="s">
        <v>79</v>
      </c>
      <c r="O83" t="s">
        <v>74</v>
      </c>
      <c r="P83" t="s">
        <v>74</v>
      </c>
      <c r="Q83" t="s">
        <v>74</v>
      </c>
      <c r="R83" t="s">
        <v>74</v>
      </c>
      <c r="S83" t="s">
        <v>74</v>
      </c>
      <c r="T83" t="s">
        <v>74</v>
      </c>
      <c r="U83" t="s">
        <v>1668</v>
      </c>
      <c r="V83" t="s">
        <v>1669</v>
      </c>
      <c r="W83" t="s">
        <v>1650</v>
      </c>
      <c r="X83" t="s">
        <v>1651</v>
      </c>
      <c r="Y83" t="s">
        <v>1670</v>
      </c>
      <c r="Z83" t="s">
        <v>1671</v>
      </c>
      <c r="AA83" t="s">
        <v>74</v>
      </c>
      <c r="AB83" t="s">
        <v>74</v>
      </c>
      <c r="AC83" t="s">
        <v>74</v>
      </c>
      <c r="AD83" t="s">
        <v>74</v>
      </c>
      <c r="AE83" t="s">
        <v>74</v>
      </c>
      <c r="AF83" t="s">
        <v>74</v>
      </c>
      <c r="AG83">
        <v>23</v>
      </c>
      <c r="AH83">
        <v>5</v>
      </c>
      <c r="AI83">
        <v>9</v>
      </c>
      <c r="AJ83">
        <v>1</v>
      </c>
      <c r="AK83">
        <v>14</v>
      </c>
      <c r="AL83" t="s">
        <v>1654</v>
      </c>
      <c r="AM83" t="s">
        <v>1655</v>
      </c>
      <c r="AN83" t="s">
        <v>1656</v>
      </c>
      <c r="AO83" t="s">
        <v>1657</v>
      </c>
      <c r="AP83" t="s">
        <v>74</v>
      </c>
      <c r="AQ83" t="s">
        <v>74</v>
      </c>
      <c r="AR83" t="s">
        <v>1658</v>
      </c>
      <c r="AS83" t="s">
        <v>1659</v>
      </c>
      <c r="AT83" t="s">
        <v>505</v>
      </c>
      <c r="AU83">
        <v>2010</v>
      </c>
      <c r="AV83">
        <v>26</v>
      </c>
      <c r="AW83" t="s">
        <v>74</v>
      </c>
      <c r="AX83" t="s">
        <v>74</v>
      </c>
      <c r="AY83">
        <v>1</v>
      </c>
      <c r="AZ83" t="s">
        <v>74</v>
      </c>
      <c r="BA83" t="s">
        <v>74</v>
      </c>
      <c r="BB83">
        <v>41</v>
      </c>
      <c r="BC83">
        <v>46</v>
      </c>
      <c r="BD83" t="s">
        <v>74</v>
      </c>
      <c r="BE83" t="s">
        <v>1672</v>
      </c>
      <c r="BF83" t="str">
        <f>HYPERLINK("http://dx.doi.org/10.1111/j.1439-0426.2010.01445.x","http://dx.doi.org/10.1111/j.1439-0426.2010.01445.x")</f>
        <v>http://dx.doi.org/10.1111/j.1439-0426.2010.01445.x</v>
      </c>
      <c r="BG83" t="s">
        <v>74</v>
      </c>
      <c r="BH83" t="s">
        <v>74</v>
      </c>
      <c r="BI83">
        <v>6</v>
      </c>
      <c r="BJ83" t="s">
        <v>1661</v>
      </c>
      <c r="BK83" t="s">
        <v>102</v>
      </c>
      <c r="BL83" t="s">
        <v>1661</v>
      </c>
      <c r="BM83" t="s">
        <v>1662</v>
      </c>
      <c r="BN83" t="s">
        <v>74</v>
      </c>
      <c r="BO83" t="s">
        <v>74</v>
      </c>
      <c r="BP83" t="s">
        <v>74</v>
      </c>
      <c r="BQ83" t="s">
        <v>74</v>
      </c>
      <c r="BR83" t="s">
        <v>105</v>
      </c>
      <c r="BS83" t="s">
        <v>1673</v>
      </c>
      <c r="BT83" t="str">
        <f>HYPERLINK("https%3A%2F%2Fwww.webofscience.com%2Fwos%2Fwoscc%2Ffull-record%2FWOS:000275761600008","View Full Record in Web of Science")</f>
        <v>View Full Record in Web of Science</v>
      </c>
    </row>
    <row r="84" spans="1:72" x14ac:dyDescent="0.15">
      <c r="A84" t="s">
        <v>72</v>
      </c>
      <c r="B84" t="s">
        <v>1674</v>
      </c>
      <c r="C84" t="s">
        <v>74</v>
      </c>
      <c r="D84" t="s">
        <v>74</v>
      </c>
      <c r="E84" t="s">
        <v>74</v>
      </c>
      <c r="F84" t="s">
        <v>1675</v>
      </c>
      <c r="G84" t="s">
        <v>74</v>
      </c>
      <c r="H84" t="s">
        <v>74</v>
      </c>
      <c r="I84" t="s">
        <v>1676</v>
      </c>
      <c r="J84" t="s">
        <v>1677</v>
      </c>
      <c r="K84" t="s">
        <v>74</v>
      </c>
      <c r="L84" t="s">
        <v>74</v>
      </c>
      <c r="M84" t="s">
        <v>78</v>
      </c>
      <c r="N84" t="s">
        <v>79</v>
      </c>
      <c r="O84" t="s">
        <v>74</v>
      </c>
      <c r="P84" t="s">
        <v>74</v>
      </c>
      <c r="Q84" t="s">
        <v>74</v>
      </c>
      <c r="R84" t="s">
        <v>74</v>
      </c>
      <c r="S84" t="s">
        <v>74</v>
      </c>
      <c r="T84" t="s">
        <v>1678</v>
      </c>
      <c r="U84" t="s">
        <v>1679</v>
      </c>
      <c r="V84" t="s">
        <v>1680</v>
      </c>
      <c r="W84" t="s">
        <v>1681</v>
      </c>
      <c r="X84" t="s">
        <v>1682</v>
      </c>
      <c r="Y84" t="s">
        <v>1683</v>
      </c>
      <c r="Z84" t="s">
        <v>1684</v>
      </c>
      <c r="AA84" t="s">
        <v>1685</v>
      </c>
      <c r="AB84" t="s">
        <v>1686</v>
      </c>
      <c r="AC84" t="s">
        <v>74</v>
      </c>
      <c r="AD84" t="s">
        <v>74</v>
      </c>
      <c r="AE84" t="s">
        <v>74</v>
      </c>
      <c r="AF84" t="s">
        <v>74</v>
      </c>
      <c r="AG84">
        <v>32</v>
      </c>
      <c r="AH84">
        <v>0</v>
      </c>
      <c r="AI84">
        <v>1</v>
      </c>
      <c r="AJ84">
        <v>1</v>
      </c>
      <c r="AK84">
        <v>7</v>
      </c>
      <c r="AL84" t="s">
        <v>1063</v>
      </c>
      <c r="AM84" t="s">
        <v>1064</v>
      </c>
      <c r="AN84" t="s">
        <v>1065</v>
      </c>
      <c r="AO84" t="s">
        <v>1687</v>
      </c>
      <c r="AP84" t="s">
        <v>1688</v>
      </c>
      <c r="AQ84" t="s">
        <v>74</v>
      </c>
      <c r="AR84" t="s">
        <v>1689</v>
      </c>
      <c r="AS84" t="s">
        <v>1690</v>
      </c>
      <c r="AT84" t="s">
        <v>505</v>
      </c>
      <c r="AU84">
        <v>2010</v>
      </c>
      <c r="AV84">
        <v>72</v>
      </c>
      <c r="AW84" t="s">
        <v>1691</v>
      </c>
      <c r="AX84" t="s">
        <v>74</v>
      </c>
      <c r="AY84" t="s">
        <v>74</v>
      </c>
      <c r="AZ84" t="s">
        <v>74</v>
      </c>
      <c r="BA84" t="s">
        <v>74</v>
      </c>
      <c r="BB84">
        <v>389</v>
      </c>
      <c r="BC84">
        <v>397</v>
      </c>
      <c r="BD84" t="s">
        <v>74</v>
      </c>
      <c r="BE84" t="s">
        <v>1692</v>
      </c>
      <c r="BF84" t="str">
        <f>HYPERLINK("http://dx.doi.org/10.1016/j.jastp.2009.12.006","http://dx.doi.org/10.1016/j.jastp.2009.12.006")</f>
        <v>http://dx.doi.org/10.1016/j.jastp.2009.12.006</v>
      </c>
      <c r="BG84" t="s">
        <v>74</v>
      </c>
      <c r="BH84" t="s">
        <v>74</v>
      </c>
      <c r="BI84">
        <v>9</v>
      </c>
      <c r="BJ84" t="s">
        <v>1693</v>
      </c>
      <c r="BK84" t="s">
        <v>102</v>
      </c>
      <c r="BL84" t="s">
        <v>1693</v>
      </c>
      <c r="BM84" t="s">
        <v>1694</v>
      </c>
      <c r="BN84" t="s">
        <v>74</v>
      </c>
      <c r="BO84" t="s">
        <v>555</v>
      </c>
      <c r="BP84" t="s">
        <v>74</v>
      </c>
      <c r="BQ84" t="s">
        <v>74</v>
      </c>
      <c r="BR84" t="s">
        <v>105</v>
      </c>
      <c r="BS84" t="s">
        <v>1695</v>
      </c>
      <c r="BT84" t="str">
        <f>HYPERLINK("https%3A%2F%2Fwww.webofscience.com%2Fwos%2Fwoscc%2Ffull-record%2FWOS:000276428600004","View Full Record in Web of Science")</f>
        <v>View Full Record in Web of Science</v>
      </c>
    </row>
    <row r="85" spans="1:72" x14ac:dyDescent="0.15">
      <c r="A85" t="s">
        <v>72</v>
      </c>
      <c r="B85" t="s">
        <v>1696</v>
      </c>
      <c r="C85" t="s">
        <v>74</v>
      </c>
      <c r="D85" t="s">
        <v>74</v>
      </c>
      <c r="E85" t="s">
        <v>74</v>
      </c>
      <c r="F85" t="s">
        <v>1697</v>
      </c>
      <c r="G85" t="s">
        <v>74</v>
      </c>
      <c r="H85" t="s">
        <v>74</v>
      </c>
      <c r="I85" t="s">
        <v>1698</v>
      </c>
      <c r="J85" t="s">
        <v>1677</v>
      </c>
      <c r="K85" t="s">
        <v>74</v>
      </c>
      <c r="L85" t="s">
        <v>74</v>
      </c>
      <c r="M85" t="s">
        <v>78</v>
      </c>
      <c r="N85" t="s">
        <v>79</v>
      </c>
      <c r="O85" t="s">
        <v>74</v>
      </c>
      <c r="P85" t="s">
        <v>74</v>
      </c>
      <c r="Q85" t="s">
        <v>74</v>
      </c>
      <c r="R85" t="s">
        <v>74</v>
      </c>
      <c r="S85" t="s">
        <v>74</v>
      </c>
      <c r="T85" t="s">
        <v>1699</v>
      </c>
      <c r="U85" t="s">
        <v>1700</v>
      </c>
      <c r="V85" t="s">
        <v>1701</v>
      </c>
      <c r="W85" t="s">
        <v>1702</v>
      </c>
      <c r="X85" t="s">
        <v>1703</v>
      </c>
      <c r="Y85" t="s">
        <v>1683</v>
      </c>
      <c r="Z85" t="s">
        <v>1684</v>
      </c>
      <c r="AA85" t="s">
        <v>1704</v>
      </c>
      <c r="AB85" t="s">
        <v>1705</v>
      </c>
      <c r="AC85" t="s">
        <v>74</v>
      </c>
      <c r="AD85" t="s">
        <v>74</v>
      </c>
      <c r="AE85" t="s">
        <v>74</v>
      </c>
      <c r="AF85" t="s">
        <v>74</v>
      </c>
      <c r="AG85">
        <v>51</v>
      </c>
      <c r="AH85">
        <v>1</v>
      </c>
      <c r="AI85">
        <v>2</v>
      </c>
      <c r="AJ85">
        <v>0</v>
      </c>
      <c r="AK85">
        <v>8</v>
      </c>
      <c r="AL85" t="s">
        <v>1063</v>
      </c>
      <c r="AM85" t="s">
        <v>1064</v>
      </c>
      <c r="AN85" t="s">
        <v>1065</v>
      </c>
      <c r="AO85" t="s">
        <v>1687</v>
      </c>
      <c r="AP85" t="s">
        <v>1688</v>
      </c>
      <c r="AQ85" t="s">
        <v>74</v>
      </c>
      <c r="AR85" t="s">
        <v>1689</v>
      </c>
      <c r="AS85" t="s">
        <v>1690</v>
      </c>
      <c r="AT85" t="s">
        <v>505</v>
      </c>
      <c r="AU85">
        <v>2010</v>
      </c>
      <c r="AV85">
        <v>72</v>
      </c>
      <c r="AW85" t="s">
        <v>1691</v>
      </c>
      <c r="AX85" t="s">
        <v>74</v>
      </c>
      <c r="AY85" t="s">
        <v>74</v>
      </c>
      <c r="AZ85" t="s">
        <v>74</v>
      </c>
      <c r="BA85" t="s">
        <v>74</v>
      </c>
      <c r="BB85">
        <v>398</v>
      </c>
      <c r="BC85">
        <v>408</v>
      </c>
      <c r="BD85" t="s">
        <v>74</v>
      </c>
      <c r="BE85" t="s">
        <v>1706</v>
      </c>
      <c r="BF85" t="str">
        <f>HYPERLINK("http://dx.doi.org/10.1016/j.jastp.2009.12.007","http://dx.doi.org/10.1016/j.jastp.2009.12.007")</f>
        <v>http://dx.doi.org/10.1016/j.jastp.2009.12.007</v>
      </c>
      <c r="BG85" t="s">
        <v>74</v>
      </c>
      <c r="BH85" t="s">
        <v>74</v>
      </c>
      <c r="BI85">
        <v>11</v>
      </c>
      <c r="BJ85" t="s">
        <v>1693</v>
      </c>
      <c r="BK85" t="s">
        <v>102</v>
      </c>
      <c r="BL85" t="s">
        <v>1693</v>
      </c>
      <c r="BM85" t="s">
        <v>1694</v>
      </c>
      <c r="BN85" t="s">
        <v>74</v>
      </c>
      <c r="BO85" t="s">
        <v>555</v>
      </c>
      <c r="BP85" t="s">
        <v>74</v>
      </c>
      <c r="BQ85" t="s">
        <v>74</v>
      </c>
      <c r="BR85" t="s">
        <v>105</v>
      </c>
      <c r="BS85" t="s">
        <v>1707</v>
      </c>
      <c r="BT85" t="str">
        <f>HYPERLINK("https%3A%2F%2Fwww.webofscience.com%2Fwos%2Fwoscc%2Ffull-record%2FWOS:000276428600005","View Full Record in Web of Science")</f>
        <v>View Full Record in Web of Science</v>
      </c>
    </row>
    <row r="86" spans="1:72" x14ac:dyDescent="0.15">
      <c r="A86" t="s">
        <v>72</v>
      </c>
      <c r="B86" t="s">
        <v>1708</v>
      </c>
      <c r="C86" t="s">
        <v>74</v>
      </c>
      <c r="D86" t="s">
        <v>74</v>
      </c>
      <c r="E86" t="s">
        <v>74</v>
      </c>
      <c r="F86" t="s">
        <v>1709</v>
      </c>
      <c r="G86" t="s">
        <v>74</v>
      </c>
      <c r="H86" t="s">
        <v>74</v>
      </c>
      <c r="I86" t="s">
        <v>1710</v>
      </c>
      <c r="J86" t="s">
        <v>1677</v>
      </c>
      <c r="K86" t="s">
        <v>74</v>
      </c>
      <c r="L86" t="s">
        <v>74</v>
      </c>
      <c r="M86" t="s">
        <v>78</v>
      </c>
      <c r="N86" t="s">
        <v>79</v>
      </c>
      <c r="O86" t="s">
        <v>74</v>
      </c>
      <c r="P86" t="s">
        <v>74</v>
      </c>
      <c r="Q86" t="s">
        <v>74</v>
      </c>
      <c r="R86" t="s">
        <v>74</v>
      </c>
      <c r="S86" t="s">
        <v>74</v>
      </c>
      <c r="T86" t="s">
        <v>1711</v>
      </c>
      <c r="U86" t="s">
        <v>74</v>
      </c>
      <c r="V86" t="s">
        <v>1712</v>
      </c>
      <c r="W86" t="s">
        <v>1713</v>
      </c>
      <c r="X86" t="s">
        <v>1714</v>
      </c>
      <c r="Y86" t="s">
        <v>1715</v>
      </c>
      <c r="Z86" t="s">
        <v>1716</v>
      </c>
      <c r="AA86" t="s">
        <v>74</v>
      </c>
      <c r="AB86" t="s">
        <v>74</v>
      </c>
      <c r="AC86" t="s">
        <v>1717</v>
      </c>
      <c r="AD86" t="s">
        <v>1718</v>
      </c>
      <c r="AE86" t="s">
        <v>1719</v>
      </c>
      <c r="AF86" t="s">
        <v>74</v>
      </c>
      <c r="AG86">
        <v>15</v>
      </c>
      <c r="AH86">
        <v>4</v>
      </c>
      <c r="AI86">
        <v>5</v>
      </c>
      <c r="AJ86">
        <v>2</v>
      </c>
      <c r="AK86">
        <v>12</v>
      </c>
      <c r="AL86" t="s">
        <v>1063</v>
      </c>
      <c r="AM86" t="s">
        <v>1064</v>
      </c>
      <c r="AN86" t="s">
        <v>1065</v>
      </c>
      <c r="AO86" t="s">
        <v>1687</v>
      </c>
      <c r="AP86" t="s">
        <v>1688</v>
      </c>
      <c r="AQ86" t="s">
        <v>74</v>
      </c>
      <c r="AR86" t="s">
        <v>1689</v>
      </c>
      <c r="AS86" t="s">
        <v>1690</v>
      </c>
      <c r="AT86" t="s">
        <v>505</v>
      </c>
      <c r="AU86">
        <v>2010</v>
      </c>
      <c r="AV86">
        <v>72</v>
      </c>
      <c r="AW86" t="s">
        <v>1691</v>
      </c>
      <c r="AX86" t="s">
        <v>74</v>
      </c>
      <c r="AY86" t="s">
        <v>74</v>
      </c>
      <c r="AZ86" t="s">
        <v>74</v>
      </c>
      <c r="BA86" t="s">
        <v>74</v>
      </c>
      <c r="BB86">
        <v>419</v>
      </c>
      <c r="BC86">
        <v>424</v>
      </c>
      <c r="BD86" t="s">
        <v>74</v>
      </c>
      <c r="BE86" t="s">
        <v>1720</v>
      </c>
      <c r="BF86" t="str">
        <f>HYPERLINK("http://dx.doi.org/10.1016/j.jastp.2009.12.009","http://dx.doi.org/10.1016/j.jastp.2009.12.009")</f>
        <v>http://dx.doi.org/10.1016/j.jastp.2009.12.009</v>
      </c>
      <c r="BG86" t="s">
        <v>74</v>
      </c>
      <c r="BH86" t="s">
        <v>74</v>
      </c>
      <c r="BI86">
        <v>6</v>
      </c>
      <c r="BJ86" t="s">
        <v>1693</v>
      </c>
      <c r="BK86" t="s">
        <v>102</v>
      </c>
      <c r="BL86" t="s">
        <v>1693</v>
      </c>
      <c r="BM86" t="s">
        <v>1694</v>
      </c>
      <c r="BN86" t="s">
        <v>74</v>
      </c>
      <c r="BO86" t="s">
        <v>74</v>
      </c>
      <c r="BP86" t="s">
        <v>74</v>
      </c>
      <c r="BQ86" t="s">
        <v>74</v>
      </c>
      <c r="BR86" t="s">
        <v>105</v>
      </c>
      <c r="BS86" t="s">
        <v>1721</v>
      </c>
      <c r="BT86" t="str">
        <f>HYPERLINK("https%3A%2F%2Fwww.webofscience.com%2Fwos%2Fwoscc%2Ffull-record%2FWOS:000276428600007","View Full Record in Web of Science")</f>
        <v>View Full Record in Web of Science</v>
      </c>
    </row>
    <row r="87" spans="1:72" x14ac:dyDescent="0.15">
      <c r="A87" t="s">
        <v>72</v>
      </c>
      <c r="B87" t="s">
        <v>1722</v>
      </c>
      <c r="C87" t="s">
        <v>74</v>
      </c>
      <c r="D87" t="s">
        <v>74</v>
      </c>
      <c r="E87" t="s">
        <v>74</v>
      </c>
      <c r="F87" t="s">
        <v>1723</v>
      </c>
      <c r="G87" t="s">
        <v>74</v>
      </c>
      <c r="H87" t="s">
        <v>74</v>
      </c>
      <c r="I87" t="s">
        <v>1724</v>
      </c>
      <c r="J87" t="s">
        <v>1677</v>
      </c>
      <c r="K87" t="s">
        <v>74</v>
      </c>
      <c r="L87" t="s">
        <v>74</v>
      </c>
      <c r="M87" t="s">
        <v>78</v>
      </c>
      <c r="N87" t="s">
        <v>79</v>
      </c>
      <c r="O87" t="s">
        <v>74</v>
      </c>
      <c r="P87" t="s">
        <v>74</v>
      </c>
      <c r="Q87" t="s">
        <v>74</v>
      </c>
      <c r="R87" t="s">
        <v>74</v>
      </c>
      <c r="S87" t="s">
        <v>74</v>
      </c>
      <c r="T87" t="s">
        <v>1725</v>
      </c>
      <c r="U87" t="s">
        <v>1726</v>
      </c>
      <c r="V87" t="s">
        <v>1727</v>
      </c>
      <c r="W87" t="s">
        <v>1728</v>
      </c>
      <c r="X87" t="s">
        <v>656</v>
      </c>
      <c r="Y87" t="s">
        <v>1729</v>
      </c>
      <c r="Z87" t="s">
        <v>1730</v>
      </c>
      <c r="AA87" t="s">
        <v>1731</v>
      </c>
      <c r="AB87" t="s">
        <v>1732</v>
      </c>
      <c r="AC87" t="s">
        <v>1733</v>
      </c>
      <c r="AD87" t="s">
        <v>1734</v>
      </c>
      <c r="AE87" t="s">
        <v>1735</v>
      </c>
      <c r="AF87" t="s">
        <v>74</v>
      </c>
      <c r="AG87">
        <v>32</v>
      </c>
      <c r="AH87">
        <v>22</v>
      </c>
      <c r="AI87">
        <v>23</v>
      </c>
      <c r="AJ87">
        <v>2</v>
      </c>
      <c r="AK87">
        <v>8</v>
      </c>
      <c r="AL87" t="s">
        <v>1063</v>
      </c>
      <c r="AM87" t="s">
        <v>1064</v>
      </c>
      <c r="AN87" t="s">
        <v>1065</v>
      </c>
      <c r="AO87" t="s">
        <v>1687</v>
      </c>
      <c r="AP87" t="s">
        <v>1688</v>
      </c>
      <c r="AQ87" t="s">
        <v>74</v>
      </c>
      <c r="AR87" t="s">
        <v>1689</v>
      </c>
      <c r="AS87" t="s">
        <v>1690</v>
      </c>
      <c r="AT87" t="s">
        <v>505</v>
      </c>
      <c r="AU87">
        <v>2010</v>
      </c>
      <c r="AV87">
        <v>72</v>
      </c>
      <c r="AW87" t="s">
        <v>1691</v>
      </c>
      <c r="AX87" t="s">
        <v>74</v>
      </c>
      <c r="AY87" t="s">
        <v>74</v>
      </c>
      <c r="AZ87" t="s">
        <v>74</v>
      </c>
      <c r="BA87" t="s">
        <v>74</v>
      </c>
      <c r="BB87">
        <v>463</v>
      </c>
      <c r="BC87">
        <v>475</v>
      </c>
      <c r="BD87" t="s">
        <v>74</v>
      </c>
      <c r="BE87" t="s">
        <v>1736</v>
      </c>
      <c r="BF87" t="str">
        <f>HYPERLINK("http://dx.doi.org/10.1016/j.jastp.2009.12.018","http://dx.doi.org/10.1016/j.jastp.2009.12.018")</f>
        <v>http://dx.doi.org/10.1016/j.jastp.2009.12.018</v>
      </c>
      <c r="BG87" t="s">
        <v>74</v>
      </c>
      <c r="BH87" t="s">
        <v>74</v>
      </c>
      <c r="BI87">
        <v>13</v>
      </c>
      <c r="BJ87" t="s">
        <v>1693</v>
      </c>
      <c r="BK87" t="s">
        <v>102</v>
      </c>
      <c r="BL87" t="s">
        <v>1693</v>
      </c>
      <c r="BM87" t="s">
        <v>1694</v>
      </c>
      <c r="BN87" t="s">
        <v>74</v>
      </c>
      <c r="BO87" t="s">
        <v>74</v>
      </c>
      <c r="BP87" t="s">
        <v>74</v>
      </c>
      <c r="BQ87" t="s">
        <v>74</v>
      </c>
      <c r="BR87" t="s">
        <v>105</v>
      </c>
      <c r="BS87" t="s">
        <v>1737</v>
      </c>
      <c r="BT87" t="str">
        <f>HYPERLINK("https%3A%2F%2Fwww.webofscience.com%2Fwos%2Fwoscc%2Ffull-record%2FWOS:000276428600012","View Full Record in Web of Science")</f>
        <v>View Full Record in Web of Science</v>
      </c>
    </row>
    <row r="88" spans="1:72" x14ac:dyDescent="0.15">
      <c r="A88" t="s">
        <v>72</v>
      </c>
      <c r="B88" t="s">
        <v>1738</v>
      </c>
      <c r="C88" t="s">
        <v>74</v>
      </c>
      <c r="D88" t="s">
        <v>74</v>
      </c>
      <c r="E88" t="s">
        <v>74</v>
      </c>
      <c r="F88" t="s">
        <v>1739</v>
      </c>
      <c r="G88" t="s">
        <v>74</v>
      </c>
      <c r="H88" t="s">
        <v>74</v>
      </c>
      <c r="I88" t="s">
        <v>1740</v>
      </c>
      <c r="J88" t="s">
        <v>1677</v>
      </c>
      <c r="K88" t="s">
        <v>74</v>
      </c>
      <c r="L88" t="s">
        <v>74</v>
      </c>
      <c r="M88" t="s">
        <v>78</v>
      </c>
      <c r="N88" t="s">
        <v>79</v>
      </c>
      <c r="O88" t="s">
        <v>74</v>
      </c>
      <c r="P88" t="s">
        <v>74</v>
      </c>
      <c r="Q88" t="s">
        <v>74</v>
      </c>
      <c r="R88" t="s">
        <v>74</v>
      </c>
      <c r="S88" t="s">
        <v>74</v>
      </c>
      <c r="T88" t="s">
        <v>1741</v>
      </c>
      <c r="U88" t="s">
        <v>1742</v>
      </c>
      <c r="V88" t="s">
        <v>1743</v>
      </c>
      <c r="W88" t="s">
        <v>1744</v>
      </c>
      <c r="X88" t="s">
        <v>1745</v>
      </c>
      <c r="Y88" t="s">
        <v>1746</v>
      </c>
      <c r="Z88" t="s">
        <v>1747</v>
      </c>
      <c r="AA88" t="s">
        <v>1748</v>
      </c>
      <c r="AB88" t="s">
        <v>1749</v>
      </c>
      <c r="AC88" t="s">
        <v>1750</v>
      </c>
      <c r="AD88" t="s">
        <v>1751</v>
      </c>
      <c r="AE88" t="s">
        <v>1752</v>
      </c>
      <c r="AF88" t="s">
        <v>74</v>
      </c>
      <c r="AG88">
        <v>34</v>
      </c>
      <c r="AH88">
        <v>45</v>
      </c>
      <c r="AI88">
        <v>57</v>
      </c>
      <c r="AJ88">
        <v>0</v>
      </c>
      <c r="AK88">
        <v>8</v>
      </c>
      <c r="AL88" t="s">
        <v>1063</v>
      </c>
      <c r="AM88" t="s">
        <v>1064</v>
      </c>
      <c r="AN88" t="s">
        <v>1065</v>
      </c>
      <c r="AO88" t="s">
        <v>1687</v>
      </c>
      <c r="AP88" t="s">
        <v>74</v>
      </c>
      <c r="AQ88" t="s">
        <v>74</v>
      </c>
      <c r="AR88" t="s">
        <v>1689</v>
      </c>
      <c r="AS88" t="s">
        <v>1690</v>
      </c>
      <c r="AT88" t="s">
        <v>505</v>
      </c>
      <c r="AU88">
        <v>2010</v>
      </c>
      <c r="AV88">
        <v>72</v>
      </c>
      <c r="AW88" t="s">
        <v>1691</v>
      </c>
      <c r="AX88" t="s">
        <v>74</v>
      </c>
      <c r="AY88" t="s">
        <v>74</v>
      </c>
      <c r="AZ88" t="s">
        <v>74</v>
      </c>
      <c r="BA88" t="s">
        <v>74</v>
      </c>
      <c r="BB88">
        <v>498</v>
      </c>
      <c r="BC88">
        <v>508</v>
      </c>
      <c r="BD88" t="s">
        <v>74</v>
      </c>
      <c r="BE88" t="s">
        <v>1753</v>
      </c>
      <c r="BF88" t="str">
        <f>HYPERLINK("http://dx.doi.org/10.1016/j.jastp.2010.01.011","http://dx.doi.org/10.1016/j.jastp.2010.01.011")</f>
        <v>http://dx.doi.org/10.1016/j.jastp.2010.01.011</v>
      </c>
      <c r="BG88" t="s">
        <v>74</v>
      </c>
      <c r="BH88" t="s">
        <v>74</v>
      </c>
      <c r="BI88">
        <v>11</v>
      </c>
      <c r="BJ88" t="s">
        <v>1693</v>
      </c>
      <c r="BK88" t="s">
        <v>102</v>
      </c>
      <c r="BL88" t="s">
        <v>1693</v>
      </c>
      <c r="BM88" t="s">
        <v>1694</v>
      </c>
      <c r="BN88" t="s">
        <v>74</v>
      </c>
      <c r="BO88" t="s">
        <v>74</v>
      </c>
      <c r="BP88" t="s">
        <v>74</v>
      </c>
      <c r="BQ88" t="s">
        <v>74</v>
      </c>
      <c r="BR88" t="s">
        <v>105</v>
      </c>
      <c r="BS88" t="s">
        <v>1754</v>
      </c>
      <c r="BT88" t="str">
        <f>HYPERLINK("https%3A%2F%2Fwww.webofscience.com%2Fwos%2Fwoscc%2Ffull-record%2FWOS:000276428600016","View Full Record in Web of Science")</f>
        <v>View Full Record in Web of Science</v>
      </c>
    </row>
    <row r="89" spans="1:72" x14ac:dyDescent="0.15">
      <c r="A89" t="s">
        <v>72</v>
      </c>
      <c r="B89" t="s">
        <v>1755</v>
      </c>
      <c r="C89" t="s">
        <v>74</v>
      </c>
      <c r="D89" t="s">
        <v>74</v>
      </c>
      <c r="E89" t="s">
        <v>74</v>
      </c>
      <c r="F89" t="s">
        <v>1756</v>
      </c>
      <c r="G89" t="s">
        <v>74</v>
      </c>
      <c r="H89" t="s">
        <v>74</v>
      </c>
      <c r="I89" t="s">
        <v>1757</v>
      </c>
      <c r="J89" t="s">
        <v>1758</v>
      </c>
      <c r="K89" t="s">
        <v>74</v>
      </c>
      <c r="L89" t="s">
        <v>74</v>
      </c>
      <c r="M89" t="s">
        <v>78</v>
      </c>
      <c r="N89" t="s">
        <v>79</v>
      </c>
      <c r="O89" t="s">
        <v>74</v>
      </c>
      <c r="P89" t="s">
        <v>74</v>
      </c>
      <c r="Q89" t="s">
        <v>74</v>
      </c>
      <c r="R89" t="s">
        <v>74</v>
      </c>
      <c r="S89" t="s">
        <v>74</v>
      </c>
      <c r="T89" t="s">
        <v>1759</v>
      </c>
      <c r="U89" t="s">
        <v>1760</v>
      </c>
      <c r="V89" t="s">
        <v>1761</v>
      </c>
      <c r="W89" t="s">
        <v>1762</v>
      </c>
      <c r="X89" t="s">
        <v>1763</v>
      </c>
      <c r="Y89" t="s">
        <v>1764</v>
      </c>
      <c r="Z89" t="s">
        <v>1765</v>
      </c>
      <c r="AA89" t="s">
        <v>1766</v>
      </c>
      <c r="AB89" t="s">
        <v>1767</v>
      </c>
      <c r="AC89" t="s">
        <v>1768</v>
      </c>
      <c r="AD89" t="s">
        <v>1769</v>
      </c>
      <c r="AE89" t="s">
        <v>1770</v>
      </c>
      <c r="AF89" t="s">
        <v>74</v>
      </c>
      <c r="AG89">
        <v>47</v>
      </c>
      <c r="AH89">
        <v>16</v>
      </c>
      <c r="AI89">
        <v>16</v>
      </c>
      <c r="AJ89">
        <v>0</v>
      </c>
      <c r="AK89">
        <v>6</v>
      </c>
      <c r="AL89" t="s">
        <v>991</v>
      </c>
      <c r="AM89" t="s">
        <v>992</v>
      </c>
      <c r="AN89" t="s">
        <v>993</v>
      </c>
      <c r="AO89" t="s">
        <v>1771</v>
      </c>
      <c r="AP89" t="s">
        <v>1772</v>
      </c>
      <c r="AQ89" t="s">
        <v>74</v>
      </c>
      <c r="AR89" t="s">
        <v>1773</v>
      </c>
      <c r="AS89" t="s">
        <v>1774</v>
      </c>
      <c r="AT89" t="s">
        <v>505</v>
      </c>
      <c r="AU89">
        <v>2010</v>
      </c>
      <c r="AV89">
        <v>37</v>
      </c>
      <c r="AW89">
        <v>4</v>
      </c>
      <c r="AX89" t="s">
        <v>74</v>
      </c>
      <c r="AY89" t="s">
        <v>74</v>
      </c>
      <c r="AZ89" t="s">
        <v>74</v>
      </c>
      <c r="BA89" t="s">
        <v>74</v>
      </c>
      <c r="BB89">
        <v>617</v>
      </c>
      <c r="BC89">
        <v>623</v>
      </c>
      <c r="BD89" t="s">
        <v>74</v>
      </c>
      <c r="BE89" t="s">
        <v>1775</v>
      </c>
      <c r="BF89" t="str">
        <f>HYPERLINK("http://dx.doi.org/10.1111/j.1365-2699.2009.02238.x","http://dx.doi.org/10.1111/j.1365-2699.2009.02238.x")</f>
        <v>http://dx.doi.org/10.1111/j.1365-2699.2009.02238.x</v>
      </c>
      <c r="BG89" t="s">
        <v>74</v>
      </c>
      <c r="BH89" t="s">
        <v>74</v>
      </c>
      <c r="BI89">
        <v>7</v>
      </c>
      <c r="BJ89" t="s">
        <v>1776</v>
      </c>
      <c r="BK89" t="s">
        <v>102</v>
      </c>
      <c r="BL89" t="s">
        <v>1777</v>
      </c>
      <c r="BM89" t="s">
        <v>1778</v>
      </c>
      <c r="BN89" t="s">
        <v>74</v>
      </c>
      <c r="BO89" t="s">
        <v>74</v>
      </c>
      <c r="BP89" t="s">
        <v>74</v>
      </c>
      <c r="BQ89" t="s">
        <v>74</v>
      </c>
      <c r="BR89" t="s">
        <v>105</v>
      </c>
      <c r="BS89" t="s">
        <v>1779</v>
      </c>
      <c r="BT89" t="str">
        <f>HYPERLINK("https%3A%2F%2Fwww.webofscience.com%2Fwos%2Fwoscc%2Ffull-record%2FWOS:000275729600003","View Full Record in Web of Science")</f>
        <v>View Full Record in Web of Science</v>
      </c>
    </row>
    <row r="90" spans="1:72" x14ac:dyDescent="0.15">
      <c r="A90" t="s">
        <v>72</v>
      </c>
      <c r="B90" t="s">
        <v>1780</v>
      </c>
      <c r="C90" t="s">
        <v>74</v>
      </c>
      <c r="D90" t="s">
        <v>74</v>
      </c>
      <c r="E90" t="s">
        <v>74</v>
      </c>
      <c r="F90" t="s">
        <v>1781</v>
      </c>
      <c r="G90" t="s">
        <v>74</v>
      </c>
      <c r="H90" t="s">
        <v>74</v>
      </c>
      <c r="I90" t="s">
        <v>1782</v>
      </c>
      <c r="J90" t="s">
        <v>1783</v>
      </c>
      <c r="K90" t="s">
        <v>74</v>
      </c>
      <c r="L90" t="s">
        <v>74</v>
      </c>
      <c r="M90" t="s">
        <v>78</v>
      </c>
      <c r="N90" t="s">
        <v>79</v>
      </c>
      <c r="O90" t="s">
        <v>74</v>
      </c>
      <c r="P90" t="s">
        <v>74</v>
      </c>
      <c r="Q90" t="s">
        <v>74</v>
      </c>
      <c r="R90" t="s">
        <v>74</v>
      </c>
      <c r="S90" t="s">
        <v>74</v>
      </c>
      <c r="T90" t="s">
        <v>74</v>
      </c>
      <c r="U90" t="s">
        <v>1784</v>
      </c>
      <c r="V90" t="s">
        <v>1785</v>
      </c>
      <c r="W90" t="s">
        <v>1786</v>
      </c>
      <c r="X90" t="s">
        <v>1787</v>
      </c>
      <c r="Y90" t="s">
        <v>1788</v>
      </c>
      <c r="Z90" t="s">
        <v>1789</v>
      </c>
      <c r="AA90" t="s">
        <v>1790</v>
      </c>
      <c r="AB90" t="s">
        <v>1791</v>
      </c>
      <c r="AC90" t="s">
        <v>1792</v>
      </c>
      <c r="AD90" t="s">
        <v>1793</v>
      </c>
      <c r="AE90" t="s">
        <v>1794</v>
      </c>
      <c r="AF90" t="s">
        <v>74</v>
      </c>
      <c r="AG90">
        <v>15</v>
      </c>
      <c r="AH90">
        <v>13</v>
      </c>
      <c r="AI90">
        <v>14</v>
      </c>
      <c r="AJ90">
        <v>0</v>
      </c>
      <c r="AK90">
        <v>11</v>
      </c>
      <c r="AL90" t="s">
        <v>1795</v>
      </c>
      <c r="AM90" t="s">
        <v>1796</v>
      </c>
      <c r="AN90" t="s">
        <v>1797</v>
      </c>
      <c r="AO90" t="s">
        <v>1798</v>
      </c>
      <c r="AP90" t="s">
        <v>1799</v>
      </c>
      <c r="AQ90" t="s">
        <v>74</v>
      </c>
      <c r="AR90" t="s">
        <v>1800</v>
      </c>
      <c r="AS90" t="s">
        <v>1801</v>
      </c>
      <c r="AT90" t="s">
        <v>505</v>
      </c>
      <c r="AU90">
        <v>2010</v>
      </c>
      <c r="AV90">
        <v>48</v>
      </c>
      <c r="AW90">
        <v>4</v>
      </c>
      <c r="AX90" t="s">
        <v>74</v>
      </c>
      <c r="AY90" t="s">
        <v>74</v>
      </c>
      <c r="AZ90" t="s">
        <v>152</v>
      </c>
      <c r="BA90" t="s">
        <v>74</v>
      </c>
      <c r="BB90">
        <v>245</v>
      </c>
      <c r="BC90" t="s">
        <v>1802</v>
      </c>
      <c r="BD90" t="s">
        <v>74</v>
      </c>
      <c r="BE90" t="s">
        <v>1803</v>
      </c>
      <c r="BF90" t="str">
        <f>HYPERLINK("http://dx.doi.org/10.1093/chromsci/48.4.245","http://dx.doi.org/10.1093/chromsci/48.4.245")</f>
        <v>http://dx.doi.org/10.1093/chromsci/48.4.245</v>
      </c>
      <c r="BG90" t="s">
        <v>74</v>
      </c>
      <c r="BH90" t="s">
        <v>74</v>
      </c>
      <c r="BI90">
        <v>7</v>
      </c>
      <c r="BJ90" t="s">
        <v>1804</v>
      </c>
      <c r="BK90" t="s">
        <v>102</v>
      </c>
      <c r="BL90" t="s">
        <v>1805</v>
      </c>
      <c r="BM90" t="s">
        <v>1806</v>
      </c>
      <c r="BN90">
        <v>20412645</v>
      </c>
      <c r="BO90" t="s">
        <v>1807</v>
      </c>
      <c r="BP90" t="s">
        <v>74</v>
      </c>
      <c r="BQ90" t="s">
        <v>74</v>
      </c>
      <c r="BR90" t="s">
        <v>105</v>
      </c>
      <c r="BS90" t="s">
        <v>1808</v>
      </c>
      <c r="BT90" t="str">
        <f>HYPERLINK("https%3A%2F%2Fwww.webofscience.com%2Fwos%2Fwoscc%2Ffull-record%2FWOS:000276055100001","View Full Record in Web of Science")</f>
        <v>View Full Record in Web of Science</v>
      </c>
    </row>
    <row r="91" spans="1:72" x14ac:dyDescent="0.15">
      <c r="A91" t="s">
        <v>72</v>
      </c>
      <c r="B91" t="s">
        <v>1809</v>
      </c>
      <c r="C91" t="s">
        <v>74</v>
      </c>
      <c r="D91" t="s">
        <v>74</v>
      </c>
      <c r="E91" t="s">
        <v>74</v>
      </c>
      <c r="F91" t="s">
        <v>1810</v>
      </c>
      <c r="G91" t="s">
        <v>74</v>
      </c>
      <c r="H91" t="s">
        <v>74</v>
      </c>
      <c r="I91" t="s">
        <v>1811</v>
      </c>
      <c r="J91" t="s">
        <v>1812</v>
      </c>
      <c r="K91" t="s">
        <v>74</v>
      </c>
      <c r="L91" t="s">
        <v>74</v>
      </c>
      <c r="M91" t="s">
        <v>78</v>
      </c>
      <c r="N91" t="s">
        <v>79</v>
      </c>
      <c r="O91" t="s">
        <v>74</v>
      </c>
      <c r="P91" t="s">
        <v>74</v>
      </c>
      <c r="Q91" t="s">
        <v>74</v>
      </c>
      <c r="R91" t="s">
        <v>74</v>
      </c>
      <c r="S91" t="s">
        <v>74</v>
      </c>
      <c r="T91" t="s">
        <v>74</v>
      </c>
      <c r="U91" t="s">
        <v>1813</v>
      </c>
      <c r="V91" t="s">
        <v>1814</v>
      </c>
      <c r="W91" t="s">
        <v>1815</v>
      </c>
      <c r="X91" t="s">
        <v>1816</v>
      </c>
      <c r="Y91" t="s">
        <v>1817</v>
      </c>
      <c r="Z91" t="s">
        <v>1818</v>
      </c>
      <c r="AA91" t="s">
        <v>1819</v>
      </c>
      <c r="AB91" t="s">
        <v>1820</v>
      </c>
      <c r="AC91" t="s">
        <v>1821</v>
      </c>
      <c r="AD91" t="s">
        <v>1822</v>
      </c>
      <c r="AE91" t="s">
        <v>1823</v>
      </c>
      <c r="AF91" t="s">
        <v>74</v>
      </c>
      <c r="AG91">
        <v>33</v>
      </c>
      <c r="AH91">
        <v>11</v>
      </c>
      <c r="AI91">
        <v>11</v>
      </c>
      <c r="AJ91">
        <v>1</v>
      </c>
      <c r="AK91">
        <v>18</v>
      </c>
      <c r="AL91" t="s">
        <v>1824</v>
      </c>
      <c r="AM91" t="s">
        <v>1825</v>
      </c>
      <c r="AN91" t="s">
        <v>1826</v>
      </c>
      <c r="AO91" t="s">
        <v>1827</v>
      </c>
      <c r="AP91" t="s">
        <v>1828</v>
      </c>
      <c r="AQ91" t="s">
        <v>74</v>
      </c>
      <c r="AR91" t="s">
        <v>1829</v>
      </c>
      <c r="AS91" t="s">
        <v>1830</v>
      </c>
      <c r="AT91" t="s">
        <v>1306</v>
      </c>
      <c r="AU91">
        <v>2010</v>
      </c>
      <c r="AV91">
        <v>23</v>
      </c>
      <c r="AW91">
        <v>7</v>
      </c>
      <c r="AX91" t="s">
        <v>74</v>
      </c>
      <c r="AY91" t="s">
        <v>74</v>
      </c>
      <c r="AZ91" t="s">
        <v>74</v>
      </c>
      <c r="BA91" t="s">
        <v>74</v>
      </c>
      <c r="BB91">
        <v>1929</v>
      </c>
      <c r="BC91">
        <v>1936</v>
      </c>
      <c r="BD91" t="s">
        <v>74</v>
      </c>
      <c r="BE91" t="s">
        <v>1831</v>
      </c>
      <c r="BF91" t="str">
        <f>HYPERLINK("http://dx.doi.org/10.1175/2009JCLI3122.1","http://dx.doi.org/10.1175/2009JCLI3122.1")</f>
        <v>http://dx.doi.org/10.1175/2009JCLI3122.1</v>
      </c>
      <c r="BG91" t="s">
        <v>74</v>
      </c>
      <c r="BH91" t="s">
        <v>74</v>
      </c>
      <c r="BI91">
        <v>8</v>
      </c>
      <c r="BJ91" t="s">
        <v>258</v>
      </c>
      <c r="BK91" t="s">
        <v>102</v>
      </c>
      <c r="BL91" t="s">
        <v>258</v>
      </c>
      <c r="BM91" t="s">
        <v>1832</v>
      </c>
      <c r="BN91" t="s">
        <v>74</v>
      </c>
      <c r="BO91" t="s">
        <v>104</v>
      </c>
      <c r="BP91" t="s">
        <v>74</v>
      </c>
      <c r="BQ91" t="s">
        <v>74</v>
      </c>
      <c r="BR91" t="s">
        <v>105</v>
      </c>
      <c r="BS91" t="s">
        <v>1833</v>
      </c>
      <c r="BT91" t="str">
        <f>HYPERLINK("https%3A%2F%2Fwww.webofscience.com%2Fwos%2Fwoscc%2Ffull-record%2FWOS:000276505500017","View Full Record in Web of Science")</f>
        <v>View Full Record in Web of Science</v>
      </c>
    </row>
    <row r="92" spans="1:72" x14ac:dyDescent="0.15">
      <c r="A92" t="s">
        <v>72</v>
      </c>
      <c r="B92" t="s">
        <v>1834</v>
      </c>
      <c r="C92" t="s">
        <v>74</v>
      </c>
      <c r="D92" t="s">
        <v>74</v>
      </c>
      <c r="E92" t="s">
        <v>74</v>
      </c>
      <c r="F92" t="s">
        <v>1835</v>
      </c>
      <c r="G92" t="s">
        <v>74</v>
      </c>
      <c r="H92" t="s">
        <v>74</v>
      </c>
      <c r="I92" t="s">
        <v>1836</v>
      </c>
      <c r="J92" t="s">
        <v>1837</v>
      </c>
      <c r="K92" t="s">
        <v>74</v>
      </c>
      <c r="L92" t="s">
        <v>74</v>
      </c>
      <c r="M92" t="s">
        <v>78</v>
      </c>
      <c r="N92" t="s">
        <v>79</v>
      </c>
      <c r="O92" t="s">
        <v>74</v>
      </c>
      <c r="P92" t="s">
        <v>74</v>
      </c>
      <c r="Q92" t="s">
        <v>74</v>
      </c>
      <c r="R92" t="s">
        <v>74</v>
      </c>
      <c r="S92" t="s">
        <v>74</v>
      </c>
      <c r="T92" t="s">
        <v>1838</v>
      </c>
      <c r="U92" t="s">
        <v>1839</v>
      </c>
      <c r="V92" t="s">
        <v>1840</v>
      </c>
      <c r="W92" t="s">
        <v>1841</v>
      </c>
      <c r="X92" t="s">
        <v>1842</v>
      </c>
      <c r="Y92" t="s">
        <v>1843</v>
      </c>
      <c r="Z92" t="s">
        <v>1844</v>
      </c>
      <c r="AA92" t="s">
        <v>1845</v>
      </c>
      <c r="AB92" t="s">
        <v>1846</v>
      </c>
      <c r="AC92" t="s">
        <v>1847</v>
      </c>
      <c r="AD92" t="s">
        <v>1848</v>
      </c>
      <c r="AE92" t="s">
        <v>1849</v>
      </c>
      <c r="AF92" t="s">
        <v>74</v>
      </c>
      <c r="AG92">
        <v>73</v>
      </c>
      <c r="AH92">
        <v>4</v>
      </c>
      <c r="AI92">
        <v>4</v>
      </c>
      <c r="AJ92">
        <v>0</v>
      </c>
      <c r="AK92">
        <v>11</v>
      </c>
      <c r="AL92" t="s">
        <v>144</v>
      </c>
      <c r="AM92" t="s">
        <v>145</v>
      </c>
      <c r="AN92" t="s">
        <v>146</v>
      </c>
      <c r="AO92" t="s">
        <v>1850</v>
      </c>
      <c r="AP92" t="s">
        <v>1851</v>
      </c>
      <c r="AQ92" t="s">
        <v>74</v>
      </c>
      <c r="AR92" t="s">
        <v>1852</v>
      </c>
      <c r="AS92" t="s">
        <v>1853</v>
      </c>
      <c r="AT92" t="s">
        <v>1306</v>
      </c>
      <c r="AU92">
        <v>2010</v>
      </c>
      <c r="AV92">
        <v>385</v>
      </c>
      <c r="AW92" t="s">
        <v>1854</v>
      </c>
      <c r="AX92" t="s">
        <v>74</v>
      </c>
      <c r="AY92" t="s">
        <v>74</v>
      </c>
      <c r="AZ92" t="s">
        <v>74</v>
      </c>
      <c r="BA92" t="s">
        <v>74</v>
      </c>
      <c r="BB92">
        <v>38</v>
      </c>
      <c r="BC92">
        <v>43</v>
      </c>
      <c r="BD92" t="s">
        <v>74</v>
      </c>
      <c r="BE92" t="s">
        <v>1855</v>
      </c>
      <c r="BF92" t="str">
        <f>HYPERLINK("http://dx.doi.org/10.1016/j.jembe.2010.01.006","http://dx.doi.org/10.1016/j.jembe.2010.01.006")</f>
        <v>http://dx.doi.org/10.1016/j.jembe.2010.01.006</v>
      </c>
      <c r="BG92" t="s">
        <v>74</v>
      </c>
      <c r="BH92" t="s">
        <v>74</v>
      </c>
      <c r="BI92">
        <v>6</v>
      </c>
      <c r="BJ92" t="s">
        <v>1856</v>
      </c>
      <c r="BK92" t="s">
        <v>102</v>
      </c>
      <c r="BL92" t="s">
        <v>1857</v>
      </c>
      <c r="BM92" t="s">
        <v>1858</v>
      </c>
      <c r="BN92" t="s">
        <v>74</v>
      </c>
      <c r="BO92" t="s">
        <v>74</v>
      </c>
      <c r="BP92" t="s">
        <v>74</v>
      </c>
      <c r="BQ92" t="s">
        <v>74</v>
      </c>
      <c r="BR92" t="s">
        <v>105</v>
      </c>
      <c r="BS92" t="s">
        <v>1859</v>
      </c>
      <c r="BT92" t="str">
        <f>HYPERLINK("https%3A%2F%2Fwww.webofscience.com%2Fwos%2Fwoscc%2Ffull-record%2FWOS:000276579900006","View Full Record in Web of Science")</f>
        <v>View Full Record in Web of Science</v>
      </c>
    </row>
    <row r="93" spans="1:72" x14ac:dyDescent="0.15">
      <c r="A93" t="s">
        <v>72</v>
      </c>
      <c r="B93" t="s">
        <v>1860</v>
      </c>
      <c r="C93" t="s">
        <v>74</v>
      </c>
      <c r="D93" t="s">
        <v>74</v>
      </c>
      <c r="E93" t="s">
        <v>74</v>
      </c>
      <c r="F93" t="s">
        <v>1861</v>
      </c>
      <c r="G93" t="s">
        <v>74</v>
      </c>
      <c r="H93" t="s">
        <v>74</v>
      </c>
      <c r="I93" t="s">
        <v>1862</v>
      </c>
      <c r="J93" t="s">
        <v>1863</v>
      </c>
      <c r="K93" t="s">
        <v>74</v>
      </c>
      <c r="L93" t="s">
        <v>74</v>
      </c>
      <c r="M93" t="s">
        <v>78</v>
      </c>
      <c r="N93" t="s">
        <v>79</v>
      </c>
      <c r="O93" t="s">
        <v>74</v>
      </c>
      <c r="P93" t="s">
        <v>74</v>
      </c>
      <c r="Q93" t="s">
        <v>74</v>
      </c>
      <c r="R93" t="s">
        <v>74</v>
      </c>
      <c r="S93" t="s">
        <v>74</v>
      </c>
      <c r="T93" t="s">
        <v>74</v>
      </c>
      <c r="U93" t="s">
        <v>1864</v>
      </c>
      <c r="V93" t="s">
        <v>1865</v>
      </c>
      <c r="W93" t="s">
        <v>1866</v>
      </c>
      <c r="X93" t="s">
        <v>1867</v>
      </c>
      <c r="Y93" t="s">
        <v>1868</v>
      </c>
      <c r="Z93" t="s">
        <v>1869</v>
      </c>
      <c r="AA93" t="s">
        <v>1870</v>
      </c>
      <c r="AB93" t="s">
        <v>1871</v>
      </c>
      <c r="AC93" t="s">
        <v>1872</v>
      </c>
      <c r="AD93" t="s">
        <v>1873</v>
      </c>
      <c r="AE93" t="s">
        <v>1874</v>
      </c>
      <c r="AF93" t="s">
        <v>74</v>
      </c>
      <c r="AG93">
        <v>92</v>
      </c>
      <c r="AH93">
        <v>17</v>
      </c>
      <c r="AI93">
        <v>18</v>
      </c>
      <c r="AJ93">
        <v>1</v>
      </c>
      <c r="AK93">
        <v>16</v>
      </c>
      <c r="AL93" t="s">
        <v>1875</v>
      </c>
      <c r="AM93" t="s">
        <v>1876</v>
      </c>
      <c r="AN93" t="s">
        <v>1877</v>
      </c>
      <c r="AO93" t="s">
        <v>1878</v>
      </c>
      <c r="AP93" t="s">
        <v>74</v>
      </c>
      <c r="AQ93" t="s">
        <v>74</v>
      </c>
      <c r="AR93" t="s">
        <v>1879</v>
      </c>
      <c r="AS93" t="s">
        <v>1880</v>
      </c>
      <c r="AT93" t="s">
        <v>505</v>
      </c>
      <c r="AU93">
        <v>2010</v>
      </c>
      <c r="AV93">
        <v>40</v>
      </c>
      <c r="AW93">
        <v>2</v>
      </c>
      <c r="AX93" t="s">
        <v>74</v>
      </c>
      <c r="AY93" t="s">
        <v>74</v>
      </c>
      <c r="AZ93" t="s">
        <v>74</v>
      </c>
      <c r="BA93" t="s">
        <v>74</v>
      </c>
      <c r="BB93">
        <v>113</v>
      </c>
      <c r="BC93">
        <v>133</v>
      </c>
      <c r="BD93" t="s">
        <v>74</v>
      </c>
      <c r="BE93" t="s">
        <v>1881</v>
      </c>
      <c r="BF93" t="str">
        <f>HYPERLINK("http://dx.doi.org/10.2113/gsjfr.40.2.113","http://dx.doi.org/10.2113/gsjfr.40.2.113")</f>
        <v>http://dx.doi.org/10.2113/gsjfr.40.2.113</v>
      </c>
      <c r="BG93" t="s">
        <v>74</v>
      </c>
      <c r="BH93" t="s">
        <v>74</v>
      </c>
      <c r="BI93">
        <v>21</v>
      </c>
      <c r="BJ93" t="s">
        <v>1882</v>
      </c>
      <c r="BK93" t="s">
        <v>102</v>
      </c>
      <c r="BL93" t="s">
        <v>1882</v>
      </c>
      <c r="BM93" t="s">
        <v>1883</v>
      </c>
      <c r="BN93" t="s">
        <v>74</v>
      </c>
      <c r="BO93" t="s">
        <v>74</v>
      </c>
      <c r="BP93" t="s">
        <v>74</v>
      </c>
      <c r="BQ93" t="s">
        <v>74</v>
      </c>
      <c r="BR93" t="s">
        <v>105</v>
      </c>
      <c r="BS93" t="s">
        <v>1884</v>
      </c>
      <c r="BT93" t="str">
        <f>HYPERLINK("https%3A%2F%2Fwww.webofscience.com%2Fwos%2Fwoscc%2Ffull-record%2FWOS:000276442300001","View Full Record in Web of Science")</f>
        <v>View Full Record in Web of Science</v>
      </c>
    </row>
    <row r="94" spans="1:72" x14ac:dyDescent="0.15">
      <c r="A94" t="s">
        <v>72</v>
      </c>
      <c r="B94" t="s">
        <v>1885</v>
      </c>
      <c r="C94" t="s">
        <v>74</v>
      </c>
      <c r="D94" t="s">
        <v>74</v>
      </c>
      <c r="E94" t="s">
        <v>74</v>
      </c>
      <c r="F94" t="s">
        <v>1886</v>
      </c>
      <c r="G94" t="s">
        <v>74</v>
      </c>
      <c r="H94" t="s">
        <v>74</v>
      </c>
      <c r="I94" t="s">
        <v>1887</v>
      </c>
      <c r="J94" t="s">
        <v>1863</v>
      </c>
      <c r="K94" t="s">
        <v>74</v>
      </c>
      <c r="L94" t="s">
        <v>74</v>
      </c>
      <c r="M94" t="s">
        <v>78</v>
      </c>
      <c r="N94" t="s">
        <v>79</v>
      </c>
      <c r="O94" t="s">
        <v>74</v>
      </c>
      <c r="P94" t="s">
        <v>74</v>
      </c>
      <c r="Q94" t="s">
        <v>74</v>
      </c>
      <c r="R94" t="s">
        <v>74</v>
      </c>
      <c r="S94" t="s">
        <v>74</v>
      </c>
      <c r="T94" t="s">
        <v>74</v>
      </c>
      <c r="U94" t="s">
        <v>1888</v>
      </c>
      <c r="V94" t="s">
        <v>1889</v>
      </c>
      <c r="W94" t="s">
        <v>1890</v>
      </c>
      <c r="X94" t="s">
        <v>1787</v>
      </c>
      <c r="Y94" t="s">
        <v>1891</v>
      </c>
      <c r="Z94" t="s">
        <v>1892</v>
      </c>
      <c r="AA94" t="s">
        <v>74</v>
      </c>
      <c r="AB94" t="s">
        <v>74</v>
      </c>
      <c r="AC94" t="s">
        <v>1893</v>
      </c>
      <c r="AD94" t="s">
        <v>1893</v>
      </c>
      <c r="AE94" t="s">
        <v>1894</v>
      </c>
      <c r="AF94" t="s">
        <v>74</v>
      </c>
      <c r="AG94">
        <v>52</v>
      </c>
      <c r="AH94">
        <v>9</v>
      </c>
      <c r="AI94">
        <v>9</v>
      </c>
      <c r="AJ94">
        <v>0</v>
      </c>
      <c r="AK94">
        <v>5</v>
      </c>
      <c r="AL94" t="s">
        <v>1895</v>
      </c>
      <c r="AM94" t="s">
        <v>1896</v>
      </c>
      <c r="AN94" t="s">
        <v>1897</v>
      </c>
      <c r="AO94" t="s">
        <v>1878</v>
      </c>
      <c r="AP94" t="s">
        <v>74</v>
      </c>
      <c r="AQ94" t="s">
        <v>74</v>
      </c>
      <c r="AR94" t="s">
        <v>1879</v>
      </c>
      <c r="AS94" t="s">
        <v>1880</v>
      </c>
      <c r="AT94" t="s">
        <v>505</v>
      </c>
      <c r="AU94">
        <v>2010</v>
      </c>
      <c r="AV94">
        <v>40</v>
      </c>
      <c r="AW94">
        <v>2</v>
      </c>
      <c r="AX94" t="s">
        <v>74</v>
      </c>
      <c r="AY94" t="s">
        <v>74</v>
      </c>
      <c r="AZ94" t="s">
        <v>74</v>
      </c>
      <c r="BA94" t="s">
        <v>74</v>
      </c>
      <c r="BB94">
        <v>193</v>
      </c>
      <c r="BC94">
        <v>205</v>
      </c>
      <c r="BD94" t="s">
        <v>74</v>
      </c>
      <c r="BE94" t="s">
        <v>1898</v>
      </c>
      <c r="BF94" t="str">
        <f>HYPERLINK("http://dx.doi.org/10.2113/gsjfr.40.2.193","http://dx.doi.org/10.2113/gsjfr.40.2.193")</f>
        <v>http://dx.doi.org/10.2113/gsjfr.40.2.193</v>
      </c>
      <c r="BG94" t="s">
        <v>74</v>
      </c>
      <c r="BH94" t="s">
        <v>74</v>
      </c>
      <c r="BI94">
        <v>13</v>
      </c>
      <c r="BJ94" t="s">
        <v>1882</v>
      </c>
      <c r="BK94" t="s">
        <v>102</v>
      </c>
      <c r="BL94" t="s">
        <v>1882</v>
      </c>
      <c r="BM94" t="s">
        <v>1883</v>
      </c>
      <c r="BN94" t="s">
        <v>74</v>
      </c>
      <c r="BO94" t="s">
        <v>74</v>
      </c>
      <c r="BP94" t="s">
        <v>74</v>
      </c>
      <c r="BQ94" t="s">
        <v>74</v>
      </c>
      <c r="BR94" t="s">
        <v>105</v>
      </c>
      <c r="BS94" t="s">
        <v>1899</v>
      </c>
      <c r="BT94" t="str">
        <f>HYPERLINK("https%3A%2F%2Fwww.webofscience.com%2Fwos%2Fwoscc%2Ffull-record%2FWOS:000276442300005","View Full Record in Web of Science")</f>
        <v>View Full Record in Web of Science</v>
      </c>
    </row>
    <row r="95" spans="1:72" x14ac:dyDescent="0.15">
      <c r="A95" t="s">
        <v>72</v>
      </c>
      <c r="B95" t="s">
        <v>1900</v>
      </c>
      <c r="C95" t="s">
        <v>74</v>
      </c>
      <c r="D95" t="s">
        <v>74</v>
      </c>
      <c r="E95" t="s">
        <v>74</v>
      </c>
      <c r="F95" t="s">
        <v>1901</v>
      </c>
      <c r="G95" t="s">
        <v>74</v>
      </c>
      <c r="H95" t="s">
        <v>74</v>
      </c>
      <c r="I95" t="s">
        <v>1902</v>
      </c>
      <c r="J95" t="s">
        <v>77</v>
      </c>
      <c r="K95" t="s">
        <v>74</v>
      </c>
      <c r="L95" t="s">
        <v>74</v>
      </c>
      <c r="M95" t="s">
        <v>78</v>
      </c>
      <c r="N95" t="s">
        <v>79</v>
      </c>
      <c r="O95" t="s">
        <v>74</v>
      </c>
      <c r="P95" t="s">
        <v>74</v>
      </c>
      <c r="Q95" t="s">
        <v>74</v>
      </c>
      <c r="R95" t="s">
        <v>74</v>
      </c>
      <c r="S95" t="s">
        <v>74</v>
      </c>
      <c r="T95" t="s">
        <v>74</v>
      </c>
      <c r="U95" t="s">
        <v>1903</v>
      </c>
      <c r="V95" t="s">
        <v>1904</v>
      </c>
      <c r="W95" t="s">
        <v>1905</v>
      </c>
      <c r="X95" t="s">
        <v>1906</v>
      </c>
      <c r="Y95" t="s">
        <v>1907</v>
      </c>
      <c r="Z95" t="s">
        <v>1908</v>
      </c>
      <c r="AA95" t="s">
        <v>1909</v>
      </c>
      <c r="AB95" t="s">
        <v>1910</v>
      </c>
      <c r="AC95" t="s">
        <v>1911</v>
      </c>
      <c r="AD95" t="s">
        <v>1912</v>
      </c>
      <c r="AE95" t="s">
        <v>1913</v>
      </c>
      <c r="AF95" t="s">
        <v>74</v>
      </c>
      <c r="AG95">
        <v>47</v>
      </c>
      <c r="AH95">
        <v>27</v>
      </c>
      <c r="AI95">
        <v>32</v>
      </c>
      <c r="AJ95">
        <v>2</v>
      </c>
      <c r="AK95">
        <v>16</v>
      </c>
      <c r="AL95" t="s">
        <v>91</v>
      </c>
      <c r="AM95" t="s">
        <v>92</v>
      </c>
      <c r="AN95" t="s">
        <v>93</v>
      </c>
      <c r="AO95" t="s">
        <v>94</v>
      </c>
      <c r="AP95" t="s">
        <v>95</v>
      </c>
      <c r="AQ95" t="s">
        <v>74</v>
      </c>
      <c r="AR95" t="s">
        <v>96</v>
      </c>
      <c r="AS95" t="s">
        <v>97</v>
      </c>
      <c r="AT95" t="s">
        <v>1306</v>
      </c>
      <c r="AU95">
        <v>2010</v>
      </c>
      <c r="AV95">
        <v>115</v>
      </c>
      <c r="AW95" t="s">
        <v>74</v>
      </c>
      <c r="AX95" t="s">
        <v>74</v>
      </c>
      <c r="AY95" t="s">
        <v>74</v>
      </c>
      <c r="AZ95" t="s">
        <v>74</v>
      </c>
      <c r="BA95" t="s">
        <v>74</v>
      </c>
      <c r="BB95" t="s">
        <v>74</v>
      </c>
      <c r="BC95" t="s">
        <v>74</v>
      </c>
      <c r="BD95" t="s">
        <v>1914</v>
      </c>
      <c r="BE95" t="s">
        <v>1915</v>
      </c>
      <c r="BF95" t="str">
        <f>HYPERLINK("http://dx.doi.org/10.1029/2008JC005146","http://dx.doi.org/10.1029/2008JC005146")</f>
        <v>http://dx.doi.org/10.1029/2008JC005146</v>
      </c>
      <c r="BG95" t="s">
        <v>74</v>
      </c>
      <c r="BH95" t="s">
        <v>74</v>
      </c>
      <c r="BI95">
        <v>12</v>
      </c>
      <c r="BJ95" t="s">
        <v>101</v>
      </c>
      <c r="BK95" t="s">
        <v>102</v>
      </c>
      <c r="BL95" t="s">
        <v>101</v>
      </c>
      <c r="BM95" t="s">
        <v>1916</v>
      </c>
      <c r="BN95" t="s">
        <v>74</v>
      </c>
      <c r="BO95" t="s">
        <v>1917</v>
      </c>
      <c r="BP95" t="s">
        <v>74</v>
      </c>
      <c r="BQ95" t="s">
        <v>74</v>
      </c>
      <c r="BR95" t="s">
        <v>105</v>
      </c>
      <c r="BS95" t="s">
        <v>1918</v>
      </c>
      <c r="BT95" t="str">
        <f>HYPERLINK("https%3A%2F%2Fwww.webofscience.com%2Fwos%2Fwoscc%2Ffull-record%2FWOS:000276316600001","View Full Record in Web of Science")</f>
        <v>View Full Record in Web of Science</v>
      </c>
    </row>
    <row r="96" spans="1:72" x14ac:dyDescent="0.15">
      <c r="A96" t="s">
        <v>72</v>
      </c>
      <c r="B96" t="s">
        <v>1919</v>
      </c>
      <c r="C96" t="s">
        <v>74</v>
      </c>
      <c r="D96" t="s">
        <v>74</v>
      </c>
      <c r="E96" t="s">
        <v>74</v>
      </c>
      <c r="F96" t="s">
        <v>1920</v>
      </c>
      <c r="G96" t="s">
        <v>74</v>
      </c>
      <c r="H96" t="s">
        <v>74</v>
      </c>
      <c r="I96" t="s">
        <v>1921</v>
      </c>
      <c r="J96" t="s">
        <v>1922</v>
      </c>
      <c r="K96" t="s">
        <v>74</v>
      </c>
      <c r="L96" t="s">
        <v>74</v>
      </c>
      <c r="M96" t="s">
        <v>78</v>
      </c>
      <c r="N96" t="s">
        <v>79</v>
      </c>
      <c r="O96" t="s">
        <v>74</v>
      </c>
      <c r="P96" t="s">
        <v>74</v>
      </c>
      <c r="Q96" t="s">
        <v>74</v>
      </c>
      <c r="R96" t="s">
        <v>74</v>
      </c>
      <c r="S96" t="s">
        <v>74</v>
      </c>
      <c r="T96" t="s">
        <v>1923</v>
      </c>
      <c r="U96" t="s">
        <v>1924</v>
      </c>
      <c r="V96" t="s">
        <v>1925</v>
      </c>
      <c r="W96" t="s">
        <v>1926</v>
      </c>
      <c r="X96" t="s">
        <v>1927</v>
      </c>
      <c r="Y96" t="s">
        <v>1928</v>
      </c>
      <c r="Z96" t="s">
        <v>1929</v>
      </c>
      <c r="AA96" t="s">
        <v>74</v>
      </c>
      <c r="AB96" t="s">
        <v>74</v>
      </c>
      <c r="AC96" t="s">
        <v>1930</v>
      </c>
      <c r="AD96" t="s">
        <v>1930</v>
      </c>
      <c r="AE96" t="s">
        <v>1931</v>
      </c>
      <c r="AF96" t="s">
        <v>74</v>
      </c>
      <c r="AG96">
        <v>21</v>
      </c>
      <c r="AH96">
        <v>10</v>
      </c>
      <c r="AI96">
        <v>15</v>
      </c>
      <c r="AJ96">
        <v>0</v>
      </c>
      <c r="AK96">
        <v>6</v>
      </c>
      <c r="AL96" t="s">
        <v>1063</v>
      </c>
      <c r="AM96" t="s">
        <v>1064</v>
      </c>
      <c r="AN96" t="s">
        <v>1065</v>
      </c>
      <c r="AO96" t="s">
        <v>1932</v>
      </c>
      <c r="AP96" t="s">
        <v>1933</v>
      </c>
      <c r="AQ96" t="s">
        <v>74</v>
      </c>
      <c r="AR96" t="s">
        <v>1934</v>
      </c>
      <c r="AS96" t="s">
        <v>1935</v>
      </c>
      <c r="AT96" t="s">
        <v>505</v>
      </c>
      <c r="AU96">
        <v>2010</v>
      </c>
      <c r="AV96">
        <v>56</v>
      </c>
      <c r="AW96">
        <v>4</v>
      </c>
      <c r="AX96" t="s">
        <v>74</v>
      </c>
      <c r="AY96" t="s">
        <v>74</v>
      </c>
      <c r="AZ96" t="s">
        <v>74</v>
      </c>
      <c r="BA96" t="s">
        <v>74</v>
      </c>
      <c r="BB96">
        <v>376</v>
      </c>
      <c r="BC96">
        <v>379</v>
      </c>
      <c r="BD96" t="s">
        <v>74</v>
      </c>
      <c r="BE96" t="s">
        <v>1936</v>
      </c>
      <c r="BF96" t="str">
        <f>HYPERLINK("http://dx.doi.org/10.1016/j.jinsphys.2009.11.012","http://dx.doi.org/10.1016/j.jinsphys.2009.11.012")</f>
        <v>http://dx.doi.org/10.1016/j.jinsphys.2009.11.012</v>
      </c>
      <c r="BG96" t="s">
        <v>74</v>
      </c>
      <c r="BH96" t="s">
        <v>74</v>
      </c>
      <c r="BI96">
        <v>4</v>
      </c>
      <c r="BJ96" t="s">
        <v>1937</v>
      </c>
      <c r="BK96" t="s">
        <v>102</v>
      </c>
      <c r="BL96" t="s">
        <v>1937</v>
      </c>
      <c r="BM96" t="s">
        <v>1938</v>
      </c>
      <c r="BN96">
        <v>19932699</v>
      </c>
      <c r="BO96" t="s">
        <v>74</v>
      </c>
      <c r="BP96" t="s">
        <v>74</v>
      </c>
      <c r="BQ96" t="s">
        <v>74</v>
      </c>
      <c r="BR96" t="s">
        <v>105</v>
      </c>
      <c r="BS96" t="s">
        <v>1939</v>
      </c>
      <c r="BT96" t="str">
        <f>HYPERLINK("https%3A%2F%2Fwww.webofscience.com%2Fwos%2Fwoscc%2Ffull-record%2FWOS:000276055200007","View Full Record in Web of Science")</f>
        <v>View Full Record in Web of Science</v>
      </c>
    </row>
    <row r="97" spans="1:72" x14ac:dyDescent="0.15">
      <c r="A97" t="s">
        <v>72</v>
      </c>
      <c r="B97" t="s">
        <v>1940</v>
      </c>
      <c r="C97" t="s">
        <v>74</v>
      </c>
      <c r="D97" t="s">
        <v>74</v>
      </c>
      <c r="E97" t="s">
        <v>74</v>
      </c>
      <c r="F97" t="s">
        <v>1941</v>
      </c>
      <c r="G97" t="s">
        <v>74</v>
      </c>
      <c r="H97" t="s">
        <v>74</v>
      </c>
      <c r="I97" t="s">
        <v>1942</v>
      </c>
      <c r="J97" t="s">
        <v>1922</v>
      </c>
      <c r="K97" t="s">
        <v>74</v>
      </c>
      <c r="L97" t="s">
        <v>74</v>
      </c>
      <c r="M97" t="s">
        <v>78</v>
      </c>
      <c r="N97" t="s">
        <v>79</v>
      </c>
      <c r="O97" t="s">
        <v>74</v>
      </c>
      <c r="P97" t="s">
        <v>74</v>
      </c>
      <c r="Q97" t="s">
        <v>74</v>
      </c>
      <c r="R97" t="s">
        <v>74</v>
      </c>
      <c r="S97" t="s">
        <v>74</v>
      </c>
      <c r="T97" t="s">
        <v>1943</v>
      </c>
      <c r="U97" t="s">
        <v>1944</v>
      </c>
      <c r="V97" t="s">
        <v>1945</v>
      </c>
      <c r="W97" t="s">
        <v>1946</v>
      </c>
      <c r="X97" t="s">
        <v>1947</v>
      </c>
      <c r="Y97" t="s">
        <v>1948</v>
      </c>
      <c r="Z97" t="s">
        <v>1949</v>
      </c>
      <c r="AA97" t="s">
        <v>74</v>
      </c>
      <c r="AB97" t="s">
        <v>74</v>
      </c>
      <c r="AC97" t="s">
        <v>1950</v>
      </c>
      <c r="AD97" t="s">
        <v>1951</v>
      </c>
      <c r="AE97" t="s">
        <v>1952</v>
      </c>
      <c r="AF97" t="s">
        <v>74</v>
      </c>
      <c r="AG97">
        <v>50</v>
      </c>
      <c r="AH97">
        <v>31</v>
      </c>
      <c r="AI97">
        <v>40</v>
      </c>
      <c r="AJ97">
        <v>3</v>
      </c>
      <c r="AK97">
        <v>37</v>
      </c>
      <c r="AL97" t="s">
        <v>1063</v>
      </c>
      <c r="AM97" t="s">
        <v>1064</v>
      </c>
      <c r="AN97" t="s">
        <v>1065</v>
      </c>
      <c r="AO97" t="s">
        <v>1932</v>
      </c>
      <c r="AP97" t="s">
        <v>1933</v>
      </c>
      <c r="AQ97" t="s">
        <v>74</v>
      </c>
      <c r="AR97" t="s">
        <v>1934</v>
      </c>
      <c r="AS97" t="s">
        <v>1935</v>
      </c>
      <c r="AT97" t="s">
        <v>505</v>
      </c>
      <c r="AU97">
        <v>2010</v>
      </c>
      <c r="AV97">
        <v>56</v>
      </c>
      <c r="AW97">
        <v>4</v>
      </c>
      <c r="AX97" t="s">
        <v>74</v>
      </c>
      <c r="AY97" t="s">
        <v>74</v>
      </c>
      <c r="AZ97" t="s">
        <v>74</v>
      </c>
      <c r="BA97" t="s">
        <v>74</v>
      </c>
      <c r="BB97">
        <v>405</v>
      </c>
      <c r="BC97">
        <v>411</v>
      </c>
      <c r="BD97" t="s">
        <v>74</v>
      </c>
      <c r="BE97" t="s">
        <v>1953</v>
      </c>
      <c r="BF97" t="str">
        <f>HYPERLINK("http://dx.doi.org/10.1016/j.jinsphys.2009.11.015","http://dx.doi.org/10.1016/j.jinsphys.2009.11.015")</f>
        <v>http://dx.doi.org/10.1016/j.jinsphys.2009.11.015</v>
      </c>
      <c r="BG97" t="s">
        <v>74</v>
      </c>
      <c r="BH97" t="s">
        <v>74</v>
      </c>
      <c r="BI97">
        <v>7</v>
      </c>
      <c r="BJ97" t="s">
        <v>1937</v>
      </c>
      <c r="BK97" t="s">
        <v>102</v>
      </c>
      <c r="BL97" t="s">
        <v>1937</v>
      </c>
      <c r="BM97" t="s">
        <v>1938</v>
      </c>
      <c r="BN97">
        <v>19944107</v>
      </c>
      <c r="BO97" t="s">
        <v>74</v>
      </c>
      <c r="BP97" t="s">
        <v>74</v>
      </c>
      <c r="BQ97" t="s">
        <v>74</v>
      </c>
      <c r="BR97" t="s">
        <v>105</v>
      </c>
      <c r="BS97" t="s">
        <v>1954</v>
      </c>
      <c r="BT97" t="str">
        <f>HYPERLINK("https%3A%2F%2Fwww.webofscience.com%2Fwos%2Fwoscc%2Ffull-record%2FWOS:000276055200012","View Full Record in Web of Science")</f>
        <v>View Full Record in Web of Science</v>
      </c>
    </row>
    <row r="98" spans="1:72" x14ac:dyDescent="0.15">
      <c r="A98" t="s">
        <v>72</v>
      </c>
      <c r="B98" t="s">
        <v>1955</v>
      </c>
      <c r="C98" t="s">
        <v>74</v>
      </c>
      <c r="D98" t="s">
        <v>74</v>
      </c>
      <c r="E98" t="s">
        <v>74</v>
      </c>
      <c r="F98" t="s">
        <v>1956</v>
      </c>
      <c r="G98" t="s">
        <v>74</v>
      </c>
      <c r="H98" t="s">
        <v>74</v>
      </c>
      <c r="I98" t="s">
        <v>1957</v>
      </c>
      <c r="J98" t="s">
        <v>1958</v>
      </c>
      <c r="K98" t="s">
        <v>74</v>
      </c>
      <c r="L98" t="s">
        <v>74</v>
      </c>
      <c r="M98" t="s">
        <v>78</v>
      </c>
      <c r="N98" t="s">
        <v>111</v>
      </c>
      <c r="O98" t="s">
        <v>1959</v>
      </c>
      <c r="P98" t="s">
        <v>1960</v>
      </c>
      <c r="Q98" t="s">
        <v>1961</v>
      </c>
      <c r="R98" t="s">
        <v>74</v>
      </c>
      <c r="S98" t="s">
        <v>74</v>
      </c>
      <c r="T98" t="s">
        <v>1962</v>
      </c>
      <c r="U98" t="s">
        <v>1963</v>
      </c>
      <c r="V98" t="s">
        <v>1964</v>
      </c>
      <c r="W98" t="s">
        <v>1965</v>
      </c>
      <c r="X98" t="s">
        <v>1966</v>
      </c>
      <c r="Y98" t="s">
        <v>1967</v>
      </c>
      <c r="Z98" t="s">
        <v>1968</v>
      </c>
      <c r="AA98" t="s">
        <v>1969</v>
      </c>
      <c r="AB98" t="s">
        <v>1970</v>
      </c>
      <c r="AC98" t="s">
        <v>1971</v>
      </c>
      <c r="AD98" t="s">
        <v>1972</v>
      </c>
      <c r="AE98" t="s">
        <v>74</v>
      </c>
      <c r="AF98" t="s">
        <v>74</v>
      </c>
      <c r="AG98">
        <v>101</v>
      </c>
      <c r="AH98">
        <v>32</v>
      </c>
      <c r="AI98">
        <v>33</v>
      </c>
      <c r="AJ98">
        <v>0</v>
      </c>
      <c r="AK98">
        <v>16</v>
      </c>
      <c r="AL98" t="s">
        <v>173</v>
      </c>
      <c r="AM98" t="s">
        <v>145</v>
      </c>
      <c r="AN98" t="s">
        <v>174</v>
      </c>
      <c r="AO98" t="s">
        <v>1973</v>
      </c>
      <c r="AP98" t="s">
        <v>1974</v>
      </c>
      <c r="AQ98" t="s">
        <v>74</v>
      </c>
      <c r="AR98" t="s">
        <v>1975</v>
      </c>
      <c r="AS98" t="s">
        <v>1976</v>
      </c>
      <c r="AT98" t="s">
        <v>505</v>
      </c>
      <c r="AU98">
        <v>2010</v>
      </c>
      <c r="AV98">
        <v>81</v>
      </c>
      <c r="AW98" t="s">
        <v>1854</v>
      </c>
      <c r="AX98" t="s">
        <v>74</v>
      </c>
      <c r="AY98" t="s">
        <v>74</v>
      </c>
      <c r="AZ98" t="s">
        <v>152</v>
      </c>
      <c r="BA98" t="s">
        <v>74</v>
      </c>
      <c r="BB98">
        <v>19</v>
      </c>
      <c r="BC98">
        <v>33</v>
      </c>
      <c r="BD98" t="s">
        <v>74</v>
      </c>
      <c r="BE98" t="s">
        <v>1977</v>
      </c>
      <c r="BF98" t="str">
        <f>HYPERLINK("http://dx.doi.org/10.1016/j.jmarsys.2009.12.017","http://dx.doi.org/10.1016/j.jmarsys.2009.12.017")</f>
        <v>http://dx.doi.org/10.1016/j.jmarsys.2009.12.017</v>
      </c>
      <c r="BG98" t="s">
        <v>74</v>
      </c>
      <c r="BH98" t="s">
        <v>74</v>
      </c>
      <c r="BI98">
        <v>15</v>
      </c>
      <c r="BJ98" t="s">
        <v>1978</v>
      </c>
      <c r="BK98" t="s">
        <v>128</v>
      </c>
      <c r="BL98" t="s">
        <v>1979</v>
      </c>
      <c r="BM98" t="s">
        <v>1980</v>
      </c>
      <c r="BN98" t="s">
        <v>74</v>
      </c>
      <c r="BO98" t="s">
        <v>74</v>
      </c>
      <c r="BP98" t="s">
        <v>74</v>
      </c>
      <c r="BQ98" t="s">
        <v>74</v>
      </c>
      <c r="BR98" t="s">
        <v>105</v>
      </c>
      <c r="BS98" t="s">
        <v>1981</v>
      </c>
      <c r="BT98" t="str">
        <f>HYPERLINK("https%3A%2F%2Fwww.webofscience.com%2Fwos%2Fwoscc%2Ffull-record%2FWOS:000276172700004","View Full Record in Web of Science")</f>
        <v>View Full Record in Web of Science</v>
      </c>
    </row>
    <row r="99" spans="1:72" x14ac:dyDescent="0.15">
      <c r="A99" t="s">
        <v>72</v>
      </c>
      <c r="B99" t="s">
        <v>1982</v>
      </c>
      <c r="C99" t="s">
        <v>74</v>
      </c>
      <c r="D99" t="s">
        <v>74</v>
      </c>
      <c r="E99" t="s">
        <v>74</v>
      </c>
      <c r="F99" t="s">
        <v>1983</v>
      </c>
      <c r="G99" t="s">
        <v>74</v>
      </c>
      <c r="H99" t="s">
        <v>74</v>
      </c>
      <c r="I99" t="s">
        <v>1984</v>
      </c>
      <c r="J99" t="s">
        <v>1985</v>
      </c>
      <c r="K99" t="s">
        <v>74</v>
      </c>
      <c r="L99" t="s">
        <v>74</v>
      </c>
      <c r="M99" t="s">
        <v>78</v>
      </c>
      <c r="N99" t="s">
        <v>79</v>
      </c>
      <c r="O99" t="s">
        <v>74</v>
      </c>
      <c r="P99" t="s">
        <v>74</v>
      </c>
      <c r="Q99" t="s">
        <v>74</v>
      </c>
      <c r="R99" t="s">
        <v>74</v>
      </c>
      <c r="S99" t="s">
        <v>74</v>
      </c>
      <c r="T99" t="s">
        <v>1986</v>
      </c>
      <c r="U99" t="s">
        <v>1987</v>
      </c>
      <c r="V99" t="s">
        <v>1988</v>
      </c>
      <c r="W99" t="s">
        <v>1989</v>
      </c>
      <c r="X99" t="s">
        <v>1990</v>
      </c>
      <c r="Y99" t="s">
        <v>1991</v>
      </c>
      <c r="Z99" t="s">
        <v>1992</v>
      </c>
      <c r="AA99" t="s">
        <v>1993</v>
      </c>
      <c r="AB99" t="s">
        <v>1994</v>
      </c>
      <c r="AC99" t="s">
        <v>1995</v>
      </c>
      <c r="AD99" t="s">
        <v>1996</v>
      </c>
      <c r="AE99" t="s">
        <v>1997</v>
      </c>
      <c r="AF99" t="s">
        <v>74</v>
      </c>
      <c r="AG99">
        <v>55</v>
      </c>
      <c r="AH99">
        <v>75</v>
      </c>
      <c r="AI99">
        <v>82</v>
      </c>
      <c r="AJ99">
        <v>1</v>
      </c>
      <c r="AK99">
        <v>10</v>
      </c>
      <c r="AL99" t="s">
        <v>991</v>
      </c>
      <c r="AM99" t="s">
        <v>992</v>
      </c>
      <c r="AN99" t="s">
        <v>993</v>
      </c>
      <c r="AO99" t="s">
        <v>1998</v>
      </c>
      <c r="AP99" t="s">
        <v>1999</v>
      </c>
      <c r="AQ99" t="s">
        <v>74</v>
      </c>
      <c r="AR99" t="s">
        <v>2000</v>
      </c>
      <c r="AS99" t="s">
        <v>2001</v>
      </c>
      <c r="AT99" t="s">
        <v>505</v>
      </c>
      <c r="AU99">
        <v>2010</v>
      </c>
      <c r="AV99">
        <v>238</v>
      </c>
      <c r="AW99">
        <v>1</v>
      </c>
      <c r="AX99" t="s">
        <v>74</v>
      </c>
      <c r="AY99" t="s">
        <v>74</v>
      </c>
      <c r="AZ99" t="s">
        <v>74</v>
      </c>
      <c r="BA99" t="s">
        <v>74</v>
      </c>
      <c r="BB99">
        <v>57</v>
      </c>
      <c r="BC99">
        <v>74</v>
      </c>
      <c r="BD99" t="s">
        <v>74</v>
      </c>
      <c r="BE99" t="s">
        <v>2002</v>
      </c>
      <c r="BF99" t="str">
        <f>HYPERLINK("http://dx.doi.org/10.1111/j.1365-2818.2009.03331.x","http://dx.doi.org/10.1111/j.1365-2818.2009.03331.x")</f>
        <v>http://dx.doi.org/10.1111/j.1365-2818.2009.03331.x</v>
      </c>
      <c r="BG99" t="s">
        <v>74</v>
      </c>
      <c r="BH99" t="s">
        <v>74</v>
      </c>
      <c r="BI99">
        <v>18</v>
      </c>
      <c r="BJ99" t="s">
        <v>2003</v>
      </c>
      <c r="BK99" t="s">
        <v>102</v>
      </c>
      <c r="BL99" t="s">
        <v>2003</v>
      </c>
      <c r="BM99" t="s">
        <v>2004</v>
      </c>
      <c r="BN99">
        <v>20384838</v>
      </c>
      <c r="BO99" t="s">
        <v>104</v>
      </c>
      <c r="BP99" t="s">
        <v>74</v>
      </c>
      <c r="BQ99" t="s">
        <v>74</v>
      </c>
      <c r="BR99" t="s">
        <v>105</v>
      </c>
      <c r="BS99" t="s">
        <v>2005</v>
      </c>
      <c r="BT99" t="str">
        <f>HYPERLINK("https%3A%2F%2Fwww.webofscience.com%2Fwos%2Fwoscc%2Ffull-record%2FWOS:000275640300006","View Full Record in Web of Science")</f>
        <v>View Full Record in Web of Science</v>
      </c>
    </row>
    <row r="100" spans="1:72" x14ac:dyDescent="0.15">
      <c r="A100" t="s">
        <v>72</v>
      </c>
      <c r="B100" t="s">
        <v>2006</v>
      </c>
      <c r="C100" t="s">
        <v>74</v>
      </c>
      <c r="D100" t="s">
        <v>74</v>
      </c>
      <c r="E100" t="s">
        <v>74</v>
      </c>
      <c r="F100" t="s">
        <v>2007</v>
      </c>
      <c r="G100" t="s">
        <v>74</v>
      </c>
      <c r="H100" t="s">
        <v>74</v>
      </c>
      <c r="I100" t="s">
        <v>2008</v>
      </c>
      <c r="J100" t="s">
        <v>2009</v>
      </c>
      <c r="K100" t="s">
        <v>74</v>
      </c>
      <c r="L100" t="s">
        <v>74</v>
      </c>
      <c r="M100" t="s">
        <v>78</v>
      </c>
      <c r="N100" t="s">
        <v>79</v>
      </c>
      <c r="O100" t="s">
        <v>74</v>
      </c>
      <c r="P100" t="s">
        <v>74</v>
      </c>
      <c r="Q100" t="s">
        <v>74</v>
      </c>
      <c r="R100" t="s">
        <v>74</v>
      </c>
      <c r="S100" t="s">
        <v>74</v>
      </c>
      <c r="T100" t="s">
        <v>74</v>
      </c>
      <c r="U100" t="s">
        <v>2010</v>
      </c>
      <c r="V100" t="s">
        <v>2011</v>
      </c>
      <c r="W100" t="s">
        <v>2012</v>
      </c>
      <c r="X100" t="s">
        <v>2013</v>
      </c>
      <c r="Y100" t="s">
        <v>2014</v>
      </c>
      <c r="Z100" t="s">
        <v>2015</v>
      </c>
      <c r="AA100" t="s">
        <v>2016</v>
      </c>
      <c r="AB100" t="s">
        <v>2017</v>
      </c>
      <c r="AC100" t="s">
        <v>2018</v>
      </c>
      <c r="AD100" t="s">
        <v>2019</v>
      </c>
      <c r="AE100" t="s">
        <v>2020</v>
      </c>
      <c r="AF100" t="s">
        <v>74</v>
      </c>
      <c r="AG100">
        <v>17</v>
      </c>
      <c r="AH100">
        <v>30</v>
      </c>
      <c r="AI100">
        <v>33</v>
      </c>
      <c r="AJ100">
        <v>0</v>
      </c>
      <c r="AK100">
        <v>19</v>
      </c>
      <c r="AL100" t="s">
        <v>121</v>
      </c>
      <c r="AM100" t="s">
        <v>92</v>
      </c>
      <c r="AN100" t="s">
        <v>122</v>
      </c>
      <c r="AO100" t="s">
        <v>2021</v>
      </c>
      <c r="AP100" t="s">
        <v>2022</v>
      </c>
      <c r="AQ100" t="s">
        <v>74</v>
      </c>
      <c r="AR100" t="s">
        <v>2023</v>
      </c>
      <c r="AS100" t="s">
        <v>2024</v>
      </c>
      <c r="AT100" t="s">
        <v>505</v>
      </c>
      <c r="AU100">
        <v>2010</v>
      </c>
      <c r="AV100">
        <v>73</v>
      </c>
      <c r="AW100">
        <v>4</v>
      </c>
      <c r="AX100" t="s">
        <v>74</v>
      </c>
      <c r="AY100" t="s">
        <v>74</v>
      </c>
      <c r="AZ100" t="s">
        <v>74</v>
      </c>
      <c r="BA100" t="s">
        <v>74</v>
      </c>
      <c r="BB100">
        <v>590</v>
      </c>
      <c r="BC100">
        <v>597</v>
      </c>
      <c r="BD100" t="s">
        <v>74</v>
      </c>
      <c r="BE100" t="s">
        <v>2025</v>
      </c>
      <c r="BF100" t="str">
        <f>HYPERLINK("http://dx.doi.org/10.1021/np9007188","http://dx.doi.org/10.1021/np9007188")</f>
        <v>http://dx.doi.org/10.1021/np9007188</v>
      </c>
      <c r="BG100" t="s">
        <v>74</v>
      </c>
      <c r="BH100" t="s">
        <v>74</v>
      </c>
      <c r="BI100">
        <v>8</v>
      </c>
      <c r="BJ100" t="s">
        <v>2026</v>
      </c>
      <c r="BK100" t="s">
        <v>2027</v>
      </c>
      <c r="BL100" t="s">
        <v>2028</v>
      </c>
      <c r="BM100" t="s">
        <v>2029</v>
      </c>
      <c r="BN100">
        <v>20184290</v>
      </c>
      <c r="BO100" t="s">
        <v>74</v>
      </c>
      <c r="BP100" t="s">
        <v>74</v>
      </c>
      <c r="BQ100" t="s">
        <v>74</v>
      </c>
      <c r="BR100" t="s">
        <v>105</v>
      </c>
      <c r="BS100" t="s">
        <v>2030</v>
      </c>
      <c r="BT100" t="str">
        <f>HYPERLINK("https%3A%2F%2Fwww.webofscience.com%2Fwos%2Fwoscc%2Ffull-record%2FWOS:000276950000015","View Full Record in Web of Science")</f>
        <v>View Full Record in Web of Science</v>
      </c>
    </row>
    <row r="101" spans="1:72" x14ac:dyDescent="0.15">
      <c r="A101" t="s">
        <v>72</v>
      </c>
      <c r="B101" t="s">
        <v>2031</v>
      </c>
      <c r="C101" t="s">
        <v>74</v>
      </c>
      <c r="D101" t="s">
        <v>74</v>
      </c>
      <c r="E101" t="s">
        <v>74</v>
      </c>
      <c r="F101" t="s">
        <v>2032</v>
      </c>
      <c r="G101" t="s">
        <v>74</v>
      </c>
      <c r="H101" t="s">
        <v>74</v>
      </c>
      <c r="I101" t="s">
        <v>2033</v>
      </c>
      <c r="J101" t="s">
        <v>2034</v>
      </c>
      <c r="K101" t="s">
        <v>74</v>
      </c>
      <c r="L101" t="s">
        <v>74</v>
      </c>
      <c r="M101" t="s">
        <v>78</v>
      </c>
      <c r="N101" t="s">
        <v>79</v>
      </c>
      <c r="O101" t="s">
        <v>74</v>
      </c>
      <c r="P101" t="s">
        <v>74</v>
      </c>
      <c r="Q101" t="s">
        <v>74</v>
      </c>
      <c r="R101" t="s">
        <v>74</v>
      </c>
      <c r="S101" t="s">
        <v>74</v>
      </c>
      <c r="T101" t="s">
        <v>2035</v>
      </c>
      <c r="U101" t="s">
        <v>2036</v>
      </c>
      <c r="V101" t="s">
        <v>2037</v>
      </c>
      <c r="W101" t="s">
        <v>2038</v>
      </c>
      <c r="X101" t="s">
        <v>2039</v>
      </c>
      <c r="Y101" t="s">
        <v>2040</v>
      </c>
      <c r="Z101" t="s">
        <v>2041</v>
      </c>
      <c r="AA101" t="s">
        <v>74</v>
      </c>
      <c r="AB101" t="s">
        <v>2042</v>
      </c>
      <c r="AC101" t="s">
        <v>2043</v>
      </c>
      <c r="AD101" t="s">
        <v>2044</v>
      </c>
      <c r="AE101" t="s">
        <v>2045</v>
      </c>
      <c r="AF101" t="s">
        <v>74</v>
      </c>
      <c r="AG101">
        <v>30</v>
      </c>
      <c r="AH101">
        <v>3</v>
      </c>
      <c r="AI101">
        <v>3</v>
      </c>
      <c r="AJ101">
        <v>0</v>
      </c>
      <c r="AK101">
        <v>4</v>
      </c>
      <c r="AL101" t="s">
        <v>813</v>
      </c>
      <c r="AM101" t="s">
        <v>814</v>
      </c>
      <c r="AN101" t="s">
        <v>815</v>
      </c>
      <c r="AO101" t="s">
        <v>2046</v>
      </c>
      <c r="AP101" t="s">
        <v>74</v>
      </c>
      <c r="AQ101" t="s">
        <v>74</v>
      </c>
      <c r="AR101" t="s">
        <v>2047</v>
      </c>
      <c r="AS101" t="s">
        <v>2048</v>
      </c>
      <c r="AT101" t="s">
        <v>505</v>
      </c>
      <c r="AU101">
        <v>2010</v>
      </c>
      <c r="AV101">
        <v>66</v>
      </c>
      <c r="AW101">
        <v>2</v>
      </c>
      <c r="AX101" t="s">
        <v>74</v>
      </c>
      <c r="AY101" t="s">
        <v>74</v>
      </c>
      <c r="AZ101" t="s">
        <v>74</v>
      </c>
      <c r="BA101" t="s">
        <v>74</v>
      </c>
      <c r="BB101">
        <v>201</v>
      </c>
      <c r="BC101">
        <v>210</v>
      </c>
      <c r="BD101" t="s">
        <v>74</v>
      </c>
      <c r="BE101" t="s">
        <v>2049</v>
      </c>
      <c r="BF101" t="str">
        <f>HYPERLINK("http://dx.doi.org/10.1007/s10872-010-0018-8","http://dx.doi.org/10.1007/s10872-010-0018-8")</f>
        <v>http://dx.doi.org/10.1007/s10872-010-0018-8</v>
      </c>
      <c r="BG101" t="s">
        <v>74</v>
      </c>
      <c r="BH101" t="s">
        <v>74</v>
      </c>
      <c r="BI101">
        <v>10</v>
      </c>
      <c r="BJ101" t="s">
        <v>101</v>
      </c>
      <c r="BK101" t="s">
        <v>102</v>
      </c>
      <c r="BL101" t="s">
        <v>101</v>
      </c>
      <c r="BM101" t="s">
        <v>2050</v>
      </c>
      <c r="BN101" t="s">
        <v>74</v>
      </c>
      <c r="BO101" t="s">
        <v>74</v>
      </c>
      <c r="BP101" t="s">
        <v>74</v>
      </c>
      <c r="BQ101" t="s">
        <v>74</v>
      </c>
      <c r="BR101" t="s">
        <v>105</v>
      </c>
      <c r="BS101" t="s">
        <v>2051</v>
      </c>
      <c r="BT101" t="str">
        <f>HYPERLINK("https%3A%2F%2Fwww.webofscience.com%2Fwos%2Fwoscc%2Ffull-record%2FWOS:000274902400005","View Full Record in Web of Science")</f>
        <v>View Full Record in Web of Science</v>
      </c>
    </row>
    <row r="102" spans="1:72" x14ac:dyDescent="0.15">
      <c r="A102" t="s">
        <v>72</v>
      </c>
      <c r="B102" t="s">
        <v>2052</v>
      </c>
      <c r="C102" t="s">
        <v>74</v>
      </c>
      <c r="D102" t="s">
        <v>74</v>
      </c>
      <c r="E102" t="s">
        <v>74</v>
      </c>
      <c r="F102" t="s">
        <v>2053</v>
      </c>
      <c r="G102" t="s">
        <v>74</v>
      </c>
      <c r="H102" t="s">
        <v>74</v>
      </c>
      <c r="I102" t="s">
        <v>2054</v>
      </c>
      <c r="J102" t="s">
        <v>2055</v>
      </c>
      <c r="K102" t="s">
        <v>74</v>
      </c>
      <c r="L102" t="s">
        <v>74</v>
      </c>
      <c r="M102" t="s">
        <v>78</v>
      </c>
      <c r="N102" t="s">
        <v>600</v>
      </c>
      <c r="O102" t="s">
        <v>74</v>
      </c>
      <c r="P102" t="s">
        <v>74</v>
      </c>
      <c r="Q102" t="s">
        <v>74</v>
      </c>
      <c r="R102" t="s">
        <v>74</v>
      </c>
      <c r="S102" t="s">
        <v>74</v>
      </c>
      <c r="T102" t="s">
        <v>2056</v>
      </c>
      <c r="U102" t="s">
        <v>2057</v>
      </c>
      <c r="V102" t="s">
        <v>2058</v>
      </c>
      <c r="W102" t="s">
        <v>2059</v>
      </c>
      <c r="X102" t="s">
        <v>2060</v>
      </c>
      <c r="Y102" t="s">
        <v>2061</v>
      </c>
      <c r="Z102" t="s">
        <v>2062</v>
      </c>
      <c r="AA102" t="s">
        <v>2063</v>
      </c>
      <c r="AB102" t="s">
        <v>2064</v>
      </c>
      <c r="AC102" t="s">
        <v>74</v>
      </c>
      <c r="AD102" t="s">
        <v>74</v>
      </c>
      <c r="AE102" t="s">
        <v>74</v>
      </c>
      <c r="AF102" t="s">
        <v>74</v>
      </c>
      <c r="AG102">
        <v>106</v>
      </c>
      <c r="AH102">
        <v>665</v>
      </c>
      <c r="AI102">
        <v>750</v>
      </c>
      <c r="AJ102">
        <v>29</v>
      </c>
      <c r="AK102">
        <v>1135</v>
      </c>
      <c r="AL102" t="s">
        <v>991</v>
      </c>
      <c r="AM102" t="s">
        <v>992</v>
      </c>
      <c r="AN102" t="s">
        <v>993</v>
      </c>
      <c r="AO102" t="s">
        <v>2065</v>
      </c>
      <c r="AP102" t="s">
        <v>2066</v>
      </c>
      <c r="AQ102" t="s">
        <v>74</v>
      </c>
      <c r="AR102" t="s">
        <v>2067</v>
      </c>
      <c r="AS102" t="s">
        <v>2068</v>
      </c>
      <c r="AT102" t="s">
        <v>505</v>
      </c>
      <c r="AU102">
        <v>2010</v>
      </c>
      <c r="AV102">
        <v>46</v>
      </c>
      <c r="AW102">
        <v>2</v>
      </c>
      <c r="AX102" t="s">
        <v>74</v>
      </c>
      <c r="AY102" t="s">
        <v>74</v>
      </c>
      <c r="AZ102" t="s">
        <v>74</v>
      </c>
      <c r="BA102" t="s">
        <v>74</v>
      </c>
      <c r="BB102">
        <v>220</v>
      </c>
      <c r="BC102">
        <v>235</v>
      </c>
      <c r="BD102" t="s">
        <v>74</v>
      </c>
      <c r="BE102" t="s">
        <v>2069</v>
      </c>
      <c r="BF102" t="str">
        <f>HYPERLINK("http://dx.doi.org/10.1111/j.1529-8817.2010.00815.x","http://dx.doi.org/10.1111/j.1529-8817.2010.00815.x")</f>
        <v>http://dx.doi.org/10.1111/j.1529-8817.2010.00815.x</v>
      </c>
      <c r="BG102" t="s">
        <v>74</v>
      </c>
      <c r="BH102" t="s">
        <v>74</v>
      </c>
      <c r="BI102">
        <v>16</v>
      </c>
      <c r="BJ102" t="s">
        <v>2070</v>
      </c>
      <c r="BK102" t="s">
        <v>102</v>
      </c>
      <c r="BL102" t="s">
        <v>2070</v>
      </c>
      <c r="BM102" t="s">
        <v>2071</v>
      </c>
      <c r="BN102" t="s">
        <v>74</v>
      </c>
      <c r="BO102" t="s">
        <v>74</v>
      </c>
      <c r="BP102" t="s">
        <v>74</v>
      </c>
      <c r="BQ102" t="s">
        <v>74</v>
      </c>
      <c r="BR102" t="s">
        <v>105</v>
      </c>
      <c r="BS102" t="s">
        <v>2072</v>
      </c>
      <c r="BT102" t="str">
        <f>HYPERLINK("https%3A%2F%2Fwww.webofscience.com%2Fwos%2Fwoscc%2Ffull-record%2FWOS:000276226100001","View Full Record in Web of Science")</f>
        <v>View Full Record in Web of Science</v>
      </c>
    </row>
    <row r="103" spans="1:72" x14ac:dyDescent="0.15">
      <c r="A103" t="s">
        <v>72</v>
      </c>
      <c r="B103" t="s">
        <v>2073</v>
      </c>
      <c r="C103" t="s">
        <v>74</v>
      </c>
      <c r="D103" t="s">
        <v>74</v>
      </c>
      <c r="E103" t="s">
        <v>74</v>
      </c>
      <c r="F103" t="s">
        <v>2074</v>
      </c>
      <c r="G103" t="s">
        <v>74</v>
      </c>
      <c r="H103" t="s">
        <v>74</v>
      </c>
      <c r="I103" t="s">
        <v>2075</v>
      </c>
      <c r="J103" t="s">
        <v>2076</v>
      </c>
      <c r="K103" t="s">
        <v>74</v>
      </c>
      <c r="L103" t="s">
        <v>74</v>
      </c>
      <c r="M103" t="s">
        <v>78</v>
      </c>
      <c r="N103" t="s">
        <v>79</v>
      </c>
      <c r="O103" t="s">
        <v>74</v>
      </c>
      <c r="P103" t="s">
        <v>74</v>
      </c>
      <c r="Q103" t="s">
        <v>74</v>
      </c>
      <c r="R103" t="s">
        <v>74</v>
      </c>
      <c r="S103" t="s">
        <v>74</v>
      </c>
      <c r="T103" t="s">
        <v>2077</v>
      </c>
      <c r="U103" t="s">
        <v>2078</v>
      </c>
      <c r="V103" t="s">
        <v>2079</v>
      </c>
      <c r="W103" t="s">
        <v>2080</v>
      </c>
      <c r="X103" t="s">
        <v>2081</v>
      </c>
      <c r="Y103" t="s">
        <v>2082</v>
      </c>
      <c r="Z103" t="s">
        <v>2083</v>
      </c>
      <c r="AA103" t="s">
        <v>2084</v>
      </c>
      <c r="AB103" t="s">
        <v>2085</v>
      </c>
      <c r="AC103" t="s">
        <v>2086</v>
      </c>
      <c r="AD103" t="s">
        <v>2087</v>
      </c>
      <c r="AE103" t="s">
        <v>2088</v>
      </c>
      <c r="AF103" t="s">
        <v>74</v>
      </c>
      <c r="AG103">
        <v>43</v>
      </c>
      <c r="AH103">
        <v>33</v>
      </c>
      <c r="AI103">
        <v>34</v>
      </c>
      <c r="AJ103">
        <v>0</v>
      </c>
      <c r="AK103">
        <v>33</v>
      </c>
      <c r="AL103" t="s">
        <v>2089</v>
      </c>
      <c r="AM103" t="s">
        <v>2090</v>
      </c>
      <c r="AN103" t="s">
        <v>2091</v>
      </c>
      <c r="AO103" t="s">
        <v>2092</v>
      </c>
      <c r="AP103" t="s">
        <v>74</v>
      </c>
      <c r="AQ103" t="s">
        <v>74</v>
      </c>
      <c r="AR103" t="s">
        <v>2093</v>
      </c>
      <c r="AS103" t="s">
        <v>2094</v>
      </c>
      <c r="AT103" t="s">
        <v>505</v>
      </c>
      <c r="AU103">
        <v>2010</v>
      </c>
      <c r="AV103">
        <v>41</v>
      </c>
      <c r="AW103">
        <v>4</v>
      </c>
      <c r="AX103" t="s">
        <v>74</v>
      </c>
      <c r="AY103" t="s">
        <v>74</v>
      </c>
      <c r="AZ103" t="s">
        <v>74</v>
      </c>
      <c r="BA103" t="s">
        <v>74</v>
      </c>
      <c r="BB103">
        <v>440</v>
      </c>
      <c r="BC103">
        <v>444</v>
      </c>
      <c r="BD103" t="s">
        <v>74</v>
      </c>
      <c r="BE103" t="s">
        <v>2095</v>
      </c>
      <c r="BF103" t="str">
        <f>HYPERLINK("http://dx.doi.org/10.1002/jrs.2450","http://dx.doi.org/10.1002/jrs.2450")</f>
        <v>http://dx.doi.org/10.1002/jrs.2450</v>
      </c>
      <c r="BG103" t="s">
        <v>74</v>
      </c>
      <c r="BH103" t="s">
        <v>74</v>
      </c>
      <c r="BI103">
        <v>5</v>
      </c>
      <c r="BJ103" t="s">
        <v>2096</v>
      </c>
      <c r="BK103" t="s">
        <v>102</v>
      </c>
      <c r="BL103" t="s">
        <v>2096</v>
      </c>
      <c r="BM103" t="s">
        <v>2097</v>
      </c>
      <c r="BN103" t="s">
        <v>74</v>
      </c>
      <c r="BO103" t="s">
        <v>104</v>
      </c>
      <c r="BP103" t="s">
        <v>74</v>
      </c>
      <c r="BQ103" t="s">
        <v>74</v>
      </c>
      <c r="BR103" t="s">
        <v>105</v>
      </c>
      <c r="BS103" t="s">
        <v>2098</v>
      </c>
      <c r="BT103" t="str">
        <f>HYPERLINK("https%3A%2F%2Fwww.webofscience.com%2Fwos%2Fwoscc%2Ffull-record%2FWOS:000277344100012","View Full Record in Web of Science")</f>
        <v>View Full Record in Web of Science</v>
      </c>
    </row>
    <row r="104" spans="1:72" x14ac:dyDescent="0.15">
      <c r="A104" t="s">
        <v>72</v>
      </c>
      <c r="B104" t="s">
        <v>2099</v>
      </c>
      <c r="C104" t="s">
        <v>74</v>
      </c>
      <c r="D104" t="s">
        <v>74</v>
      </c>
      <c r="E104" t="s">
        <v>74</v>
      </c>
      <c r="F104" t="s">
        <v>2100</v>
      </c>
      <c r="G104" t="s">
        <v>74</v>
      </c>
      <c r="H104" t="s">
        <v>74</v>
      </c>
      <c r="I104" t="s">
        <v>2101</v>
      </c>
      <c r="J104" t="s">
        <v>2102</v>
      </c>
      <c r="K104" t="s">
        <v>74</v>
      </c>
      <c r="L104" t="s">
        <v>74</v>
      </c>
      <c r="M104" t="s">
        <v>78</v>
      </c>
      <c r="N104" t="s">
        <v>79</v>
      </c>
      <c r="O104" t="s">
        <v>74</v>
      </c>
      <c r="P104" t="s">
        <v>74</v>
      </c>
      <c r="Q104" t="s">
        <v>74</v>
      </c>
      <c r="R104" t="s">
        <v>74</v>
      </c>
      <c r="S104" t="s">
        <v>74</v>
      </c>
      <c r="T104" t="s">
        <v>2103</v>
      </c>
      <c r="U104" t="s">
        <v>2104</v>
      </c>
      <c r="V104" t="s">
        <v>2105</v>
      </c>
      <c r="W104" t="s">
        <v>2106</v>
      </c>
      <c r="X104" t="s">
        <v>2107</v>
      </c>
      <c r="Y104" t="s">
        <v>2108</v>
      </c>
      <c r="Z104" t="s">
        <v>74</v>
      </c>
      <c r="AA104" t="s">
        <v>2109</v>
      </c>
      <c r="AB104" t="s">
        <v>2110</v>
      </c>
      <c r="AC104" t="s">
        <v>2111</v>
      </c>
      <c r="AD104" t="s">
        <v>2112</v>
      </c>
      <c r="AE104" t="s">
        <v>2113</v>
      </c>
      <c r="AF104" t="s">
        <v>74</v>
      </c>
      <c r="AG104">
        <v>60</v>
      </c>
      <c r="AH104">
        <v>20</v>
      </c>
      <c r="AI104">
        <v>22</v>
      </c>
      <c r="AJ104">
        <v>0</v>
      </c>
      <c r="AK104">
        <v>10</v>
      </c>
      <c r="AL104" t="s">
        <v>1063</v>
      </c>
      <c r="AM104" t="s">
        <v>1064</v>
      </c>
      <c r="AN104" t="s">
        <v>1065</v>
      </c>
      <c r="AO104" t="s">
        <v>2114</v>
      </c>
      <c r="AP104" t="s">
        <v>74</v>
      </c>
      <c r="AQ104" t="s">
        <v>74</v>
      </c>
      <c r="AR104" t="s">
        <v>2115</v>
      </c>
      <c r="AS104" t="s">
        <v>2116</v>
      </c>
      <c r="AT104" t="s">
        <v>505</v>
      </c>
      <c r="AU104">
        <v>2010</v>
      </c>
      <c r="AV104">
        <v>32</v>
      </c>
      <c r="AW104">
        <v>4</v>
      </c>
      <c r="AX104" t="s">
        <v>74</v>
      </c>
      <c r="AY104" t="s">
        <v>74</v>
      </c>
      <c r="AZ104" t="s">
        <v>74</v>
      </c>
      <c r="BA104" t="s">
        <v>74</v>
      </c>
      <c r="BB104">
        <v>464</v>
      </c>
      <c r="BC104">
        <v>477</v>
      </c>
      <c r="BD104" t="s">
        <v>74</v>
      </c>
      <c r="BE104" t="s">
        <v>2117</v>
      </c>
      <c r="BF104" t="str">
        <f>HYPERLINK("http://dx.doi.org/10.1016/j.jsg.2010.02.002","http://dx.doi.org/10.1016/j.jsg.2010.02.002")</f>
        <v>http://dx.doi.org/10.1016/j.jsg.2010.02.002</v>
      </c>
      <c r="BG104" t="s">
        <v>74</v>
      </c>
      <c r="BH104" t="s">
        <v>74</v>
      </c>
      <c r="BI104">
        <v>14</v>
      </c>
      <c r="BJ104" t="s">
        <v>913</v>
      </c>
      <c r="BK104" t="s">
        <v>102</v>
      </c>
      <c r="BL104" t="s">
        <v>914</v>
      </c>
      <c r="BM104" t="s">
        <v>2118</v>
      </c>
      <c r="BN104" t="s">
        <v>74</v>
      </c>
      <c r="BO104" t="s">
        <v>74</v>
      </c>
      <c r="BP104" t="s">
        <v>74</v>
      </c>
      <c r="BQ104" t="s">
        <v>74</v>
      </c>
      <c r="BR104" t="s">
        <v>105</v>
      </c>
      <c r="BS104" t="s">
        <v>2119</v>
      </c>
      <c r="BT104" t="str">
        <f>HYPERLINK("https%3A%2F%2Fwww.webofscience.com%2Fwos%2Fwoscc%2Ffull-record%2FWOS:000279567100006","View Full Record in Web of Science")</f>
        <v>View Full Record in Web of Science</v>
      </c>
    </row>
    <row r="105" spans="1:72" x14ac:dyDescent="0.15">
      <c r="A105" t="s">
        <v>72</v>
      </c>
      <c r="B105" t="s">
        <v>2120</v>
      </c>
      <c r="C105" t="s">
        <v>74</v>
      </c>
      <c r="D105" t="s">
        <v>74</v>
      </c>
      <c r="E105" t="s">
        <v>74</v>
      </c>
      <c r="F105" t="s">
        <v>2121</v>
      </c>
      <c r="G105" t="s">
        <v>74</v>
      </c>
      <c r="H105" t="s">
        <v>74</v>
      </c>
      <c r="I105" t="s">
        <v>2122</v>
      </c>
      <c r="J105" t="s">
        <v>2123</v>
      </c>
      <c r="K105" t="s">
        <v>74</v>
      </c>
      <c r="L105" t="s">
        <v>74</v>
      </c>
      <c r="M105" t="s">
        <v>2124</v>
      </c>
      <c r="N105" t="s">
        <v>79</v>
      </c>
      <c r="O105" t="s">
        <v>74</v>
      </c>
      <c r="P105" t="s">
        <v>74</v>
      </c>
      <c r="Q105" t="s">
        <v>74</v>
      </c>
      <c r="R105" t="s">
        <v>74</v>
      </c>
      <c r="S105" t="s">
        <v>74</v>
      </c>
      <c r="T105" t="s">
        <v>2125</v>
      </c>
      <c r="U105" t="s">
        <v>2126</v>
      </c>
      <c r="V105" t="s">
        <v>2127</v>
      </c>
      <c r="W105" t="s">
        <v>2128</v>
      </c>
      <c r="X105" t="s">
        <v>2129</v>
      </c>
      <c r="Y105" t="s">
        <v>2130</v>
      </c>
      <c r="Z105" t="s">
        <v>2131</v>
      </c>
      <c r="AA105" t="s">
        <v>74</v>
      </c>
      <c r="AB105" t="s">
        <v>74</v>
      </c>
      <c r="AC105" t="s">
        <v>74</v>
      </c>
      <c r="AD105" t="s">
        <v>74</v>
      </c>
      <c r="AE105" t="s">
        <v>74</v>
      </c>
      <c r="AF105" t="s">
        <v>74</v>
      </c>
      <c r="AG105">
        <v>36</v>
      </c>
      <c r="AH105">
        <v>4</v>
      </c>
      <c r="AI105">
        <v>4</v>
      </c>
      <c r="AJ105">
        <v>0</v>
      </c>
      <c r="AK105">
        <v>3</v>
      </c>
      <c r="AL105" t="s">
        <v>2132</v>
      </c>
      <c r="AM105" t="s">
        <v>2133</v>
      </c>
      <c r="AN105" t="s">
        <v>2134</v>
      </c>
      <c r="AO105" t="s">
        <v>2135</v>
      </c>
      <c r="AP105" t="s">
        <v>2136</v>
      </c>
      <c r="AQ105" t="s">
        <v>74</v>
      </c>
      <c r="AR105" t="s">
        <v>2137</v>
      </c>
      <c r="AS105" t="s">
        <v>2138</v>
      </c>
      <c r="AT105" t="s">
        <v>505</v>
      </c>
      <c r="AU105">
        <v>2010</v>
      </c>
      <c r="AV105">
        <v>46</v>
      </c>
      <c r="AW105">
        <v>2</v>
      </c>
      <c r="AX105" t="s">
        <v>74</v>
      </c>
      <c r="AY105" t="s">
        <v>74</v>
      </c>
      <c r="AZ105" t="s">
        <v>74</v>
      </c>
      <c r="BA105" t="s">
        <v>74</v>
      </c>
      <c r="BB105">
        <v>111</v>
      </c>
      <c r="BC105">
        <v>117</v>
      </c>
      <c r="BD105" t="s">
        <v>74</v>
      </c>
      <c r="BE105" t="s">
        <v>74</v>
      </c>
      <c r="BF105" t="s">
        <v>74</v>
      </c>
      <c r="BG105" t="s">
        <v>74</v>
      </c>
      <c r="BH105" t="s">
        <v>74</v>
      </c>
      <c r="BI105">
        <v>7</v>
      </c>
      <c r="BJ105" t="s">
        <v>913</v>
      </c>
      <c r="BK105" t="s">
        <v>1408</v>
      </c>
      <c r="BL105" t="s">
        <v>914</v>
      </c>
      <c r="BM105" t="s">
        <v>2139</v>
      </c>
      <c r="BN105" t="s">
        <v>74</v>
      </c>
      <c r="BO105" t="s">
        <v>74</v>
      </c>
      <c r="BP105" t="s">
        <v>74</v>
      </c>
      <c r="BQ105" t="s">
        <v>74</v>
      </c>
      <c r="BR105" t="s">
        <v>105</v>
      </c>
      <c r="BS105" t="s">
        <v>2140</v>
      </c>
      <c r="BT105" t="str">
        <f>HYPERLINK("https%3A%2F%2Fwww.webofscience.com%2Fwos%2Fwoscc%2Ffull-record%2FWOS:000453995900002","View Full Record in Web of Science")</f>
        <v>View Full Record in Web of Science</v>
      </c>
    </row>
    <row r="106" spans="1:72" x14ac:dyDescent="0.15">
      <c r="A106" t="s">
        <v>72</v>
      </c>
      <c r="B106" t="s">
        <v>2141</v>
      </c>
      <c r="C106" t="s">
        <v>74</v>
      </c>
      <c r="D106" t="s">
        <v>74</v>
      </c>
      <c r="E106" t="s">
        <v>74</v>
      </c>
      <c r="F106" t="s">
        <v>2142</v>
      </c>
      <c r="G106" t="s">
        <v>74</v>
      </c>
      <c r="H106" t="s">
        <v>74</v>
      </c>
      <c r="I106" t="s">
        <v>2143</v>
      </c>
      <c r="J106" t="s">
        <v>2144</v>
      </c>
      <c r="K106" t="s">
        <v>74</v>
      </c>
      <c r="L106" t="s">
        <v>74</v>
      </c>
      <c r="M106" t="s">
        <v>78</v>
      </c>
      <c r="N106" t="s">
        <v>79</v>
      </c>
      <c r="O106" t="s">
        <v>74</v>
      </c>
      <c r="P106" t="s">
        <v>74</v>
      </c>
      <c r="Q106" t="s">
        <v>74</v>
      </c>
      <c r="R106" t="s">
        <v>74</v>
      </c>
      <c r="S106" t="s">
        <v>74</v>
      </c>
      <c r="T106" t="s">
        <v>2145</v>
      </c>
      <c r="U106" t="s">
        <v>2146</v>
      </c>
      <c r="V106" t="s">
        <v>2147</v>
      </c>
      <c r="W106" t="s">
        <v>2148</v>
      </c>
      <c r="X106" t="s">
        <v>2149</v>
      </c>
      <c r="Y106" t="s">
        <v>2150</v>
      </c>
      <c r="Z106" t="s">
        <v>2151</v>
      </c>
      <c r="AA106" t="s">
        <v>2152</v>
      </c>
      <c r="AB106" t="s">
        <v>2153</v>
      </c>
      <c r="AC106" t="s">
        <v>2154</v>
      </c>
      <c r="AD106" t="s">
        <v>2155</v>
      </c>
      <c r="AE106" t="s">
        <v>2156</v>
      </c>
      <c r="AF106" t="s">
        <v>74</v>
      </c>
      <c r="AG106">
        <v>11</v>
      </c>
      <c r="AH106">
        <v>5</v>
      </c>
      <c r="AI106">
        <v>6</v>
      </c>
      <c r="AJ106">
        <v>0</v>
      </c>
      <c r="AK106">
        <v>4</v>
      </c>
      <c r="AL106" t="s">
        <v>2157</v>
      </c>
      <c r="AM106" t="s">
        <v>1876</v>
      </c>
      <c r="AN106" t="s">
        <v>2158</v>
      </c>
      <c r="AO106" t="s">
        <v>2159</v>
      </c>
      <c r="AP106" t="s">
        <v>74</v>
      </c>
      <c r="AQ106" t="s">
        <v>74</v>
      </c>
      <c r="AR106" t="s">
        <v>2160</v>
      </c>
      <c r="AS106" t="s">
        <v>2161</v>
      </c>
      <c r="AT106" t="s">
        <v>505</v>
      </c>
      <c r="AU106">
        <v>2010</v>
      </c>
      <c r="AV106">
        <v>46</v>
      </c>
      <c r="AW106">
        <v>2</v>
      </c>
      <c r="AX106" t="s">
        <v>74</v>
      </c>
      <c r="AY106" t="s">
        <v>74</v>
      </c>
      <c r="AZ106" t="s">
        <v>74</v>
      </c>
      <c r="BA106" t="s">
        <v>74</v>
      </c>
      <c r="BB106">
        <v>655</v>
      </c>
      <c r="BC106">
        <v>658</v>
      </c>
      <c r="BD106" t="s">
        <v>74</v>
      </c>
      <c r="BE106" t="s">
        <v>2162</v>
      </c>
      <c r="BF106" t="str">
        <f>HYPERLINK("http://dx.doi.org/10.7589/0090-3558-46.2.655","http://dx.doi.org/10.7589/0090-3558-46.2.655")</f>
        <v>http://dx.doi.org/10.7589/0090-3558-46.2.655</v>
      </c>
      <c r="BG106" t="s">
        <v>74</v>
      </c>
      <c r="BH106" t="s">
        <v>74</v>
      </c>
      <c r="BI106">
        <v>4</v>
      </c>
      <c r="BJ106" t="s">
        <v>2163</v>
      </c>
      <c r="BK106" t="s">
        <v>102</v>
      </c>
      <c r="BL106" t="s">
        <v>2163</v>
      </c>
      <c r="BM106" t="s">
        <v>2164</v>
      </c>
      <c r="BN106">
        <v>20688668</v>
      </c>
      <c r="BO106" t="s">
        <v>104</v>
      </c>
      <c r="BP106" t="s">
        <v>74</v>
      </c>
      <c r="BQ106" t="s">
        <v>74</v>
      </c>
      <c r="BR106" t="s">
        <v>105</v>
      </c>
      <c r="BS106" t="s">
        <v>2165</v>
      </c>
      <c r="BT106" t="str">
        <f>HYPERLINK("https%3A%2F%2Fwww.webofscience.com%2Fwos%2Fwoscc%2Ffull-record%2FWOS:000277431200042","View Full Record in Web of Science")</f>
        <v>View Full Record in Web of Science</v>
      </c>
    </row>
    <row r="107" spans="1:72" x14ac:dyDescent="0.15">
      <c r="A107" t="s">
        <v>72</v>
      </c>
      <c r="B107" t="s">
        <v>2166</v>
      </c>
      <c r="C107" t="s">
        <v>74</v>
      </c>
      <c r="D107" t="s">
        <v>74</v>
      </c>
      <c r="E107" t="s">
        <v>74</v>
      </c>
      <c r="F107" t="s">
        <v>2167</v>
      </c>
      <c r="G107" t="s">
        <v>74</v>
      </c>
      <c r="H107" t="s">
        <v>74</v>
      </c>
      <c r="I107" t="s">
        <v>2168</v>
      </c>
      <c r="J107" t="s">
        <v>2169</v>
      </c>
      <c r="K107" t="s">
        <v>74</v>
      </c>
      <c r="L107" t="s">
        <v>74</v>
      </c>
      <c r="M107" t="s">
        <v>78</v>
      </c>
      <c r="N107" t="s">
        <v>79</v>
      </c>
      <c r="O107" t="s">
        <v>74</v>
      </c>
      <c r="P107" t="s">
        <v>74</v>
      </c>
      <c r="Q107" t="s">
        <v>74</v>
      </c>
      <c r="R107" t="s">
        <v>74</v>
      </c>
      <c r="S107" t="s">
        <v>74</v>
      </c>
      <c r="T107" t="s">
        <v>74</v>
      </c>
      <c r="U107" t="s">
        <v>2170</v>
      </c>
      <c r="V107" t="s">
        <v>2171</v>
      </c>
      <c r="W107" t="s">
        <v>2172</v>
      </c>
      <c r="X107" t="s">
        <v>2173</v>
      </c>
      <c r="Y107" t="s">
        <v>2174</v>
      </c>
      <c r="Z107" t="s">
        <v>2175</v>
      </c>
      <c r="AA107" t="s">
        <v>2176</v>
      </c>
      <c r="AB107" t="s">
        <v>2177</v>
      </c>
      <c r="AC107" t="s">
        <v>2178</v>
      </c>
      <c r="AD107" t="s">
        <v>2179</v>
      </c>
      <c r="AE107" t="s">
        <v>2180</v>
      </c>
      <c r="AF107" t="s">
        <v>74</v>
      </c>
      <c r="AG107">
        <v>77</v>
      </c>
      <c r="AH107">
        <v>54</v>
      </c>
      <c r="AI107">
        <v>58</v>
      </c>
      <c r="AJ107">
        <v>1</v>
      </c>
      <c r="AK107">
        <v>24</v>
      </c>
      <c r="AL107" t="s">
        <v>524</v>
      </c>
      <c r="AM107" t="s">
        <v>525</v>
      </c>
      <c r="AN107" t="s">
        <v>526</v>
      </c>
      <c r="AO107" t="s">
        <v>2181</v>
      </c>
      <c r="AP107" t="s">
        <v>2182</v>
      </c>
      <c r="AQ107" t="s">
        <v>74</v>
      </c>
      <c r="AR107" t="s">
        <v>2183</v>
      </c>
      <c r="AS107" t="s">
        <v>2184</v>
      </c>
      <c r="AT107" t="s">
        <v>505</v>
      </c>
      <c r="AU107">
        <v>2010</v>
      </c>
      <c r="AV107">
        <v>157</v>
      </c>
      <c r="AW107">
        <v>4</v>
      </c>
      <c r="AX107" t="s">
        <v>74</v>
      </c>
      <c r="AY107" t="s">
        <v>74</v>
      </c>
      <c r="AZ107" t="s">
        <v>74</v>
      </c>
      <c r="BA107" t="s">
        <v>74</v>
      </c>
      <c r="BB107">
        <v>765</v>
      </c>
      <c r="BC107">
        <v>778</v>
      </c>
      <c r="BD107" t="s">
        <v>74</v>
      </c>
      <c r="BE107" t="s">
        <v>2185</v>
      </c>
      <c r="BF107" t="str">
        <f>HYPERLINK("http://dx.doi.org/10.1007/s00227-009-1360-5","http://dx.doi.org/10.1007/s00227-009-1360-5")</f>
        <v>http://dx.doi.org/10.1007/s00227-009-1360-5</v>
      </c>
      <c r="BG107" t="s">
        <v>74</v>
      </c>
      <c r="BH107" t="s">
        <v>74</v>
      </c>
      <c r="BI107">
        <v>14</v>
      </c>
      <c r="BJ107" t="s">
        <v>2186</v>
      </c>
      <c r="BK107" t="s">
        <v>102</v>
      </c>
      <c r="BL107" t="s">
        <v>2186</v>
      </c>
      <c r="BM107" t="s">
        <v>2187</v>
      </c>
      <c r="BN107" t="s">
        <v>74</v>
      </c>
      <c r="BO107" t="s">
        <v>74</v>
      </c>
      <c r="BP107" t="s">
        <v>74</v>
      </c>
      <c r="BQ107" t="s">
        <v>74</v>
      </c>
      <c r="BR107" t="s">
        <v>105</v>
      </c>
      <c r="BS107" t="s">
        <v>2188</v>
      </c>
      <c r="BT107" t="str">
        <f>HYPERLINK("https%3A%2F%2Fwww.webofscience.com%2Fwos%2Fwoscc%2Ffull-record%2FWOS:000275658000008","View Full Record in Web of Science")</f>
        <v>View Full Record in Web of Science</v>
      </c>
    </row>
    <row r="108" spans="1:72" x14ac:dyDescent="0.15">
      <c r="A108" t="s">
        <v>72</v>
      </c>
      <c r="B108" t="s">
        <v>2189</v>
      </c>
      <c r="C108" t="s">
        <v>74</v>
      </c>
      <c r="D108" t="s">
        <v>74</v>
      </c>
      <c r="E108" t="s">
        <v>74</v>
      </c>
      <c r="F108" t="s">
        <v>2190</v>
      </c>
      <c r="G108" t="s">
        <v>74</v>
      </c>
      <c r="H108" t="s">
        <v>74</v>
      </c>
      <c r="I108" t="s">
        <v>2191</v>
      </c>
      <c r="J108" t="s">
        <v>2169</v>
      </c>
      <c r="K108" t="s">
        <v>74</v>
      </c>
      <c r="L108" t="s">
        <v>74</v>
      </c>
      <c r="M108" t="s">
        <v>78</v>
      </c>
      <c r="N108" t="s">
        <v>79</v>
      </c>
      <c r="O108" t="s">
        <v>74</v>
      </c>
      <c r="P108" t="s">
        <v>74</v>
      </c>
      <c r="Q108" t="s">
        <v>74</v>
      </c>
      <c r="R108" t="s">
        <v>74</v>
      </c>
      <c r="S108" t="s">
        <v>74</v>
      </c>
      <c r="T108" t="s">
        <v>74</v>
      </c>
      <c r="U108" t="s">
        <v>2192</v>
      </c>
      <c r="V108" t="s">
        <v>2193</v>
      </c>
      <c r="W108" t="s">
        <v>2194</v>
      </c>
      <c r="X108" t="s">
        <v>2195</v>
      </c>
      <c r="Y108" t="s">
        <v>2196</v>
      </c>
      <c r="Z108" t="s">
        <v>2197</v>
      </c>
      <c r="AA108" t="s">
        <v>74</v>
      </c>
      <c r="AB108" t="s">
        <v>74</v>
      </c>
      <c r="AC108" t="s">
        <v>74</v>
      </c>
      <c r="AD108" t="s">
        <v>74</v>
      </c>
      <c r="AE108" t="s">
        <v>74</v>
      </c>
      <c r="AF108" t="s">
        <v>74</v>
      </c>
      <c r="AG108">
        <v>68</v>
      </c>
      <c r="AH108">
        <v>78</v>
      </c>
      <c r="AI108">
        <v>86</v>
      </c>
      <c r="AJ108">
        <v>1</v>
      </c>
      <c r="AK108">
        <v>60</v>
      </c>
      <c r="AL108" t="s">
        <v>524</v>
      </c>
      <c r="AM108" t="s">
        <v>525</v>
      </c>
      <c r="AN108" t="s">
        <v>526</v>
      </c>
      <c r="AO108" t="s">
        <v>2181</v>
      </c>
      <c r="AP108" t="s">
        <v>2182</v>
      </c>
      <c r="AQ108" t="s">
        <v>74</v>
      </c>
      <c r="AR108" t="s">
        <v>2183</v>
      </c>
      <c r="AS108" t="s">
        <v>2184</v>
      </c>
      <c r="AT108" t="s">
        <v>505</v>
      </c>
      <c r="AU108">
        <v>2010</v>
      </c>
      <c r="AV108">
        <v>157</v>
      </c>
      <c r="AW108">
        <v>4</v>
      </c>
      <c r="AX108" t="s">
        <v>74</v>
      </c>
      <c r="AY108" t="s">
        <v>74</v>
      </c>
      <c r="AZ108" t="s">
        <v>74</v>
      </c>
      <c r="BA108" t="s">
        <v>74</v>
      </c>
      <c r="BB108">
        <v>811</v>
      </c>
      <c r="BC108">
        <v>825</v>
      </c>
      <c r="BD108" t="s">
        <v>74</v>
      </c>
      <c r="BE108" t="s">
        <v>2198</v>
      </c>
      <c r="BF108" t="str">
        <f>HYPERLINK("http://dx.doi.org/10.1007/s00227-009-1364-1","http://dx.doi.org/10.1007/s00227-009-1364-1")</f>
        <v>http://dx.doi.org/10.1007/s00227-009-1364-1</v>
      </c>
      <c r="BG108" t="s">
        <v>74</v>
      </c>
      <c r="BH108" t="s">
        <v>74</v>
      </c>
      <c r="BI108">
        <v>15</v>
      </c>
      <c r="BJ108" t="s">
        <v>2186</v>
      </c>
      <c r="BK108" t="s">
        <v>102</v>
      </c>
      <c r="BL108" t="s">
        <v>2186</v>
      </c>
      <c r="BM108" t="s">
        <v>2187</v>
      </c>
      <c r="BN108" t="s">
        <v>74</v>
      </c>
      <c r="BO108" t="s">
        <v>74</v>
      </c>
      <c r="BP108" t="s">
        <v>74</v>
      </c>
      <c r="BQ108" t="s">
        <v>74</v>
      </c>
      <c r="BR108" t="s">
        <v>105</v>
      </c>
      <c r="BS108" t="s">
        <v>2199</v>
      </c>
      <c r="BT108" t="str">
        <f>HYPERLINK("https%3A%2F%2Fwww.webofscience.com%2Fwos%2Fwoscc%2Ffull-record%2FWOS:000275658000012","View Full Record in Web of Science")</f>
        <v>View Full Record in Web of Science</v>
      </c>
    </row>
    <row r="109" spans="1:72" x14ac:dyDescent="0.15">
      <c r="A109" t="s">
        <v>72</v>
      </c>
      <c r="B109" t="s">
        <v>2200</v>
      </c>
      <c r="C109" t="s">
        <v>74</v>
      </c>
      <c r="D109" t="s">
        <v>74</v>
      </c>
      <c r="E109" t="s">
        <v>74</v>
      </c>
      <c r="F109" t="s">
        <v>2201</v>
      </c>
      <c r="G109" t="s">
        <v>74</v>
      </c>
      <c r="H109" t="s">
        <v>74</v>
      </c>
      <c r="I109" t="s">
        <v>2202</v>
      </c>
      <c r="J109" t="s">
        <v>2169</v>
      </c>
      <c r="K109" t="s">
        <v>74</v>
      </c>
      <c r="L109" t="s">
        <v>74</v>
      </c>
      <c r="M109" t="s">
        <v>78</v>
      </c>
      <c r="N109" t="s">
        <v>79</v>
      </c>
      <c r="O109" t="s">
        <v>74</v>
      </c>
      <c r="P109" t="s">
        <v>74</v>
      </c>
      <c r="Q109" t="s">
        <v>74</v>
      </c>
      <c r="R109" t="s">
        <v>74</v>
      </c>
      <c r="S109" t="s">
        <v>74</v>
      </c>
      <c r="T109" t="s">
        <v>74</v>
      </c>
      <c r="U109" t="s">
        <v>2203</v>
      </c>
      <c r="V109" t="s">
        <v>2204</v>
      </c>
      <c r="W109" t="s">
        <v>2205</v>
      </c>
      <c r="X109" t="s">
        <v>2206</v>
      </c>
      <c r="Y109" t="s">
        <v>2207</v>
      </c>
      <c r="Z109" t="s">
        <v>2208</v>
      </c>
      <c r="AA109" t="s">
        <v>2209</v>
      </c>
      <c r="AB109" t="s">
        <v>2210</v>
      </c>
      <c r="AC109" t="s">
        <v>2211</v>
      </c>
      <c r="AD109" t="s">
        <v>1972</v>
      </c>
      <c r="AE109" t="s">
        <v>74</v>
      </c>
      <c r="AF109" t="s">
        <v>74</v>
      </c>
      <c r="AG109">
        <v>44</v>
      </c>
      <c r="AH109">
        <v>53</v>
      </c>
      <c r="AI109">
        <v>60</v>
      </c>
      <c r="AJ109">
        <v>0</v>
      </c>
      <c r="AK109">
        <v>64</v>
      </c>
      <c r="AL109" t="s">
        <v>524</v>
      </c>
      <c r="AM109" t="s">
        <v>525</v>
      </c>
      <c r="AN109" t="s">
        <v>526</v>
      </c>
      <c r="AO109" t="s">
        <v>2181</v>
      </c>
      <c r="AP109" t="s">
        <v>2182</v>
      </c>
      <c r="AQ109" t="s">
        <v>74</v>
      </c>
      <c r="AR109" t="s">
        <v>2183</v>
      </c>
      <c r="AS109" t="s">
        <v>2184</v>
      </c>
      <c r="AT109" t="s">
        <v>505</v>
      </c>
      <c r="AU109">
        <v>2010</v>
      </c>
      <c r="AV109">
        <v>157</v>
      </c>
      <c r="AW109">
        <v>4</v>
      </c>
      <c r="AX109" t="s">
        <v>74</v>
      </c>
      <c r="AY109" t="s">
        <v>74</v>
      </c>
      <c r="AZ109" t="s">
        <v>74</v>
      </c>
      <c r="BA109" t="s">
        <v>74</v>
      </c>
      <c r="BB109">
        <v>827</v>
      </c>
      <c r="BC109">
        <v>836</v>
      </c>
      <c r="BD109" t="s">
        <v>74</v>
      </c>
      <c r="BE109" t="s">
        <v>2212</v>
      </c>
      <c r="BF109" t="str">
        <f>HYPERLINK("http://dx.doi.org/10.1007/s00227-009-1365-0","http://dx.doi.org/10.1007/s00227-009-1365-0")</f>
        <v>http://dx.doi.org/10.1007/s00227-009-1365-0</v>
      </c>
      <c r="BG109" t="s">
        <v>74</v>
      </c>
      <c r="BH109" t="s">
        <v>74</v>
      </c>
      <c r="BI109">
        <v>10</v>
      </c>
      <c r="BJ109" t="s">
        <v>2186</v>
      </c>
      <c r="BK109" t="s">
        <v>102</v>
      </c>
      <c r="BL109" t="s">
        <v>2186</v>
      </c>
      <c r="BM109" t="s">
        <v>2187</v>
      </c>
      <c r="BN109" t="s">
        <v>74</v>
      </c>
      <c r="BO109" t="s">
        <v>74</v>
      </c>
      <c r="BP109" t="s">
        <v>74</v>
      </c>
      <c r="BQ109" t="s">
        <v>74</v>
      </c>
      <c r="BR109" t="s">
        <v>105</v>
      </c>
      <c r="BS109" t="s">
        <v>2213</v>
      </c>
      <c r="BT109" t="str">
        <f>HYPERLINK("https%3A%2F%2Fwww.webofscience.com%2Fwos%2Fwoscc%2Ffull-record%2FWOS:000275658000013","View Full Record in Web of Science")</f>
        <v>View Full Record in Web of Science</v>
      </c>
    </row>
    <row r="110" spans="1:72" x14ac:dyDescent="0.15">
      <c r="A110" t="s">
        <v>72</v>
      </c>
      <c r="B110" t="s">
        <v>2214</v>
      </c>
      <c r="C110" t="s">
        <v>74</v>
      </c>
      <c r="D110" t="s">
        <v>74</v>
      </c>
      <c r="E110" t="s">
        <v>74</v>
      </c>
      <c r="F110" t="s">
        <v>2215</v>
      </c>
      <c r="G110" t="s">
        <v>74</v>
      </c>
      <c r="H110" t="s">
        <v>74</v>
      </c>
      <c r="I110" t="s">
        <v>2216</v>
      </c>
      <c r="J110" t="s">
        <v>2169</v>
      </c>
      <c r="K110" t="s">
        <v>74</v>
      </c>
      <c r="L110" t="s">
        <v>74</v>
      </c>
      <c r="M110" t="s">
        <v>78</v>
      </c>
      <c r="N110" t="s">
        <v>79</v>
      </c>
      <c r="O110" t="s">
        <v>74</v>
      </c>
      <c r="P110" t="s">
        <v>74</v>
      </c>
      <c r="Q110" t="s">
        <v>74</v>
      </c>
      <c r="R110" t="s">
        <v>74</v>
      </c>
      <c r="S110" t="s">
        <v>74</v>
      </c>
      <c r="T110" t="s">
        <v>74</v>
      </c>
      <c r="U110" t="s">
        <v>2217</v>
      </c>
      <c r="V110" t="s">
        <v>2218</v>
      </c>
      <c r="W110" t="s">
        <v>2219</v>
      </c>
      <c r="X110" t="s">
        <v>2220</v>
      </c>
      <c r="Y110" t="s">
        <v>2221</v>
      </c>
      <c r="Z110" t="s">
        <v>2222</v>
      </c>
      <c r="AA110" t="s">
        <v>2223</v>
      </c>
      <c r="AB110" t="s">
        <v>2224</v>
      </c>
      <c r="AC110" t="s">
        <v>2225</v>
      </c>
      <c r="AD110" t="s">
        <v>2226</v>
      </c>
      <c r="AE110" t="s">
        <v>2227</v>
      </c>
      <c r="AF110" t="s">
        <v>74</v>
      </c>
      <c r="AG110">
        <v>37</v>
      </c>
      <c r="AH110">
        <v>7</v>
      </c>
      <c r="AI110">
        <v>8</v>
      </c>
      <c r="AJ110">
        <v>0</v>
      </c>
      <c r="AK110">
        <v>8</v>
      </c>
      <c r="AL110" t="s">
        <v>813</v>
      </c>
      <c r="AM110" t="s">
        <v>225</v>
      </c>
      <c r="AN110" t="s">
        <v>2228</v>
      </c>
      <c r="AO110" t="s">
        <v>2181</v>
      </c>
      <c r="AP110" t="s">
        <v>74</v>
      </c>
      <c r="AQ110" t="s">
        <v>74</v>
      </c>
      <c r="AR110" t="s">
        <v>2183</v>
      </c>
      <c r="AS110" t="s">
        <v>2184</v>
      </c>
      <c r="AT110" t="s">
        <v>505</v>
      </c>
      <c r="AU110">
        <v>2010</v>
      </c>
      <c r="AV110">
        <v>157</v>
      </c>
      <c r="AW110">
        <v>4</v>
      </c>
      <c r="AX110" t="s">
        <v>74</v>
      </c>
      <c r="AY110" t="s">
        <v>74</v>
      </c>
      <c r="AZ110" t="s">
        <v>74</v>
      </c>
      <c r="BA110" t="s">
        <v>74</v>
      </c>
      <c r="BB110">
        <v>907</v>
      </c>
      <c r="BC110">
        <v>913</v>
      </c>
      <c r="BD110" t="s">
        <v>74</v>
      </c>
      <c r="BE110" t="s">
        <v>2229</v>
      </c>
      <c r="BF110" t="str">
        <f>HYPERLINK("http://dx.doi.org/10.1007/s00227-009-1374-z","http://dx.doi.org/10.1007/s00227-009-1374-z")</f>
        <v>http://dx.doi.org/10.1007/s00227-009-1374-z</v>
      </c>
      <c r="BG110" t="s">
        <v>74</v>
      </c>
      <c r="BH110" t="s">
        <v>74</v>
      </c>
      <c r="BI110">
        <v>7</v>
      </c>
      <c r="BJ110" t="s">
        <v>2186</v>
      </c>
      <c r="BK110" t="s">
        <v>102</v>
      </c>
      <c r="BL110" t="s">
        <v>2186</v>
      </c>
      <c r="BM110" t="s">
        <v>2187</v>
      </c>
      <c r="BN110" t="s">
        <v>74</v>
      </c>
      <c r="BO110" t="s">
        <v>2230</v>
      </c>
      <c r="BP110" t="s">
        <v>74</v>
      </c>
      <c r="BQ110" t="s">
        <v>74</v>
      </c>
      <c r="BR110" t="s">
        <v>105</v>
      </c>
      <c r="BS110" t="s">
        <v>2231</v>
      </c>
      <c r="BT110" t="str">
        <f>HYPERLINK("https%3A%2F%2Fwww.webofscience.com%2Fwos%2Fwoscc%2Ffull-record%2FWOS:000275658000021","View Full Record in Web of Science")</f>
        <v>View Full Record in Web of Science</v>
      </c>
    </row>
    <row r="111" spans="1:72" x14ac:dyDescent="0.15">
      <c r="A111" t="s">
        <v>72</v>
      </c>
      <c r="B111" t="s">
        <v>2232</v>
      </c>
      <c r="C111" t="s">
        <v>74</v>
      </c>
      <c r="D111" t="s">
        <v>74</v>
      </c>
      <c r="E111" t="s">
        <v>74</v>
      </c>
      <c r="F111" t="s">
        <v>2233</v>
      </c>
      <c r="G111" t="s">
        <v>74</v>
      </c>
      <c r="H111" t="s">
        <v>74</v>
      </c>
      <c r="I111" t="s">
        <v>2234</v>
      </c>
      <c r="J111" t="s">
        <v>2169</v>
      </c>
      <c r="K111" t="s">
        <v>74</v>
      </c>
      <c r="L111" t="s">
        <v>74</v>
      </c>
      <c r="M111" t="s">
        <v>78</v>
      </c>
      <c r="N111" t="s">
        <v>79</v>
      </c>
      <c r="O111" t="s">
        <v>74</v>
      </c>
      <c r="P111" t="s">
        <v>74</v>
      </c>
      <c r="Q111" t="s">
        <v>74</v>
      </c>
      <c r="R111" t="s">
        <v>74</v>
      </c>
      <c r="S111" t="s">
        <v>74</v>
      </c>
      <c r="T111" t="s">
        <v>74</v>
      </c>
      <c r="U111" t="s">
        <v>2235</v>
      </c>
      <c r="V111" t="s">
        <v>2236</v>
      </c>
      <c r="W111" t="s">
        <v>2237</v>
      </c>
      <c r="X111" t="s">
        <v>2238</v>
      </c>
      <c r="Y111" t="s">
        <v>2239</v>
      </c>
      <c r="Z111" t="s">
        <v>2240</v>
      </c>
      <c r="AA111" t="s">
        <v>74</v>
      </c>
      <c r="AB111" t="s">
        <v>74</v>
      </c>
      <c r="AC111" t="s">
        <v>2241</v>
      </c>
      <c r="AD111" t="s">
        <v>2242</v>
      </c>
      <c r="AE111" t="s">
        <v>2243</v>
      </c>
      <c r="AF111" t="s">
        <v>74</v>
      </c>
      <c r="AG111">
        <v>86</v>
      </c>
      <c r="AH111">
        <v>48</v>
      </c>
      <c r="AI111">
        <v>64</v>
      </c>
      <c r="AJ111">
        <v>1</v>
      </c>
      <c r="AK111">
        <v>67</v>
      </c>
      <c r="AL111" t="s">
        <v>524</v>
      </c>
      <c r="AM111" t="s">
        <v>525</v>
      </c>
      <c r="AN111" t="s">
        <v>526</v>
      </c>
      <c r="AO111" t="s">
        <v>2181</v>
      </c>
      <c r="AP111" t="s">
        <v>2182</v>
      </c>
      <c r="AQ111" t="s">
        <v>74</v>
      </c>
      <c r="AR111" t="s">
        <v>2183</v>
      </c>
      <c r="AS111" t="s">
        <v>2184</v>
      </c>
      <c r="AT111" t="s">
        <v>505</v>
      </c>
      <c r="AU111">
        <v>2010</v>
      </c>
      <c r="AV111">
        <v>157</v>
      </c>
      <c r="AW111">
        <v>4</v>
      </c>
      <c r="AX111" t="s">
        <v>74</v>
      </c>
      <c r="AY111" t="s">
        <v>74</v>
      </c>
      <c r="AZ111" t="s">
        <v>74</v>
      </c>
      <c r="BA111" t="s">
        <v>74</v>
      </c>
      <c r="BB111">
        <v>915</v>
      </c>
      <c r="BC111">
        <v>929</v>
      </c>
      <c r="BD111" t="s">
        <v>74</v>
      </c>
      <c r="BE111" t="s">
        <v>2244</v>
      </c>
      <c r="BF111" t="str">
        <f>HYPERLINK("http://dx.doi.org/10.1007/s00227-009-1367-y","http://dx.doi.org/10.1007/s00227-009-1367-y")</f>
        <v>http://dx.doi.org/10.1007/s00227-009-1367-y</v>
      </c>
      <c r="BG111" t="s">
        <v>74</v>
      </c>
      <c r="BH111" t="s">
        <v>74</v>
      </c>
      <c r="BI111">
        <v>15</v>
      </c>
      <c r="BJ111" t="s">
        <v>2186</v>
      </c>
      <c r="BK111" t="s">
        <v>102</v>
      </c>
      <c r="BL111" t="s">
        <v>2186</v>
      </c>
      <c r="BM111" t="s">
        <v>2187</v>
      </c>
      <c r="BN111" t="s">
        <v>74</v>
      </c>
      <c r="BO111" t="s">
        <v>74</v>
      </c>
      <c r="BP111" t="s">
        <v>74</v>
      </c>
      <c r="BQ111" t="s">
        <v>74</v>
      </c>
      <c r="BR111" t="s">
        <v>105</v>
      </c>
      <c r="BS111" t="s">
        <v>2245</v>
      </c>
      <c r="BT111" t="str">
        <f>HYPERLINK("https%3A%2F%2Fwww.webofscience.com%2Fwos%2Fwoscc%2Ffull-record%2FWOS:000275658000022","View Full Record in Web of Science")</f>
        <v>View Full Record in Web of Science</v>
      </c>
    </row>
    <row r="112" spans="1:72" x14ac:dyDescent="0.15">
      <c r="A112" t="s">
        <v>72</v>
      </c>
      <c r="B112" t="s">
        <v>2246</v>
      </c>
      <c r="C112" t="s">
        <v>74</v>
      </c>
      <c r="D112" t="s">
        <v>74</v>
      </c>
      <c r="E112" t="s">
        <v>74</v>
      </c>
      <c r="F112" t="s">
        <v>2247</v>
      </c>
      <c r="G112" t="s">
        <v>74</v>
      </c>
      <c r="H112" t="s">
        <v>74</v>
      </c>
      <c r="I112" t="s">
        <v>2248</v>
      </c>
      <c r="J112" t="s">
        <v>2249</v>
      </c>
      <c r="K112" t="s">
        <v>74</v>
      </c>
      <c r="L112" t="s">
        <v>74</v>
      </c>
      <c r="M112" t="s">
        <v>78</v>
      </c>
      <c r="N112" t="s">
        <v>79</v>
      </c>
      <c r="O112" t="s">
        <v>74</v>
      </c>
      <c r="P112" t="s">
        <v>74</v>
      </c>
      <c r="Q112" t="s">
        <v>74</v>
      </c>
      <c r="R112" t="s">
        <v>74</v>
      </c>
      <c r="S112" t="s">
        <v>74</v>
      </c>
      <c r="T112" t="s">
        <v>2250</v>
      </c>
      <c r="U112" t="s">
        <v>2251</v>
      </c>
      <c r="V112" t="s">
        <v>2252</v>
      </c>
      <c r="W112" t="s">
        <v>2253</v>
      </c>
      <c r="X112" t="s">
        <v>2254</v>
      </c>
      <c r="Y112" t="s">
        <v>2255</v>
      </c>
      <c r="Z112" t="s">
        <v>2256</v>
      </c>
      <c r="AA112" t="s">
        <v>2257</v>
      </c>
      <c r="AB112" t="s">
        <v>2258</v>
      </c>
      <c r="AC112" t="s">
        <v>2259</v>
      </c>
      <c r="AD112" t="s">
        <v>2260</v>
      </c>
      <c r="AE112" t="s">
        <v>2261</v>
      </c>
      <c r="AF112" t="s">
        <v>74</v>
      </c>
      <c r="AG112">
        <v>68</v>
      </c>
      <c r="AH112">
        <v>56</v>
      </c>
      <c r="AI112">
        <v>63</v>
      </c>
      <c r="AJ112">
        <v>1</v>
      </c>
      <c r="AK112">
        <v>41</v>
      </c>
      <c r="AL112" t="s">
        <v>813</v>
      </c>
      <c r="AM112" t="s">
        <v>225</v>
      </c>
      <c r="AN112" t="s">
        <v>907</v>
      </c>
      <c r="AO112" t="s">
        <v>2262</v>
      </c>
      <c r="AP112" t="s">
        <v>2263</v>
      </c>
      <c r="AQ112" t="s">
        <v>74</v>
      </c>
      <c r="AR112" t="s">
        <v>2264</v>
      </c>
      <c r="AS112" t="s">
        <v>2265</v>
      </c>
      <c r="AT112" t="s">
        <v>505</v>
      </c>
      <c r="AU112">
        <v>2010</v>
      </c>
      <c r="AV112">
        <v>12</v>
      </c>
      <c r="AW112">
        <v>2</v>
      </c>
      <c r="AX112" t="s">
        <v>74</v>
      </c>
      <c r="AY112" t="s">
        <v>74</v>
      </c>
      <c r="AZ112" t="s">
        <v>74</v>
      </c>
      <c r="BA112" t="s">
        <v>74</v>
      </c>
      <c r="BB112">
        <v>126</v>
      </c>
      <c r="BC112">
        <v>140</v>
      </c>
      <c r="BD112" t="s">
        <v>74</v>
      </c>
      <c r="BE112" t="s">
        <v>2266</v>
      </c>
      <c r="BF112" t="str">
        <f>HYPERLINK("http://dx.doi.org/10.1007/s10126-009-9218-x","http://dx.doi.org/10.1007/s10126-009-9218-x")</f>
        <v>http://dx.doi.org/10.1007/s10126-009-9218-x</v>
      </c>
      <c r="BG112" t="s">
        <v>74</v>
      </c>
      <c r="BH112" t="s">
        <v>74</v>
      </c>
      <c r="BI112">
        <v>15</v>
      </c>
      <c r="BJ112" t="s">
        <v>2267</v>
      </c>
      <c r="BK112" t="s">
        <v>102</v>
      </c>
      <c r="BL112" t="s">
        <v>2267</v>
      </c>
      <c r="BM112" t="s">
        <v>2268</v>
      </c>
      <c r="BN112">
        <v>19585168</v>
      </c>
      <c r="BO112" t="s">
        <v>74</v>
      </c>
      <c r="BP112" t="s">
        <v>74</v>
      </c>
      <c r="BQ112" t="s">
        <v>74</v>
      </c>
      <c r="BR112" t="s">
        <v>105</v>
      </c>
      <c r="BS112" t="s">
        <v>2269</v>
      </c>
      <c r="BT112" t="str">
        <f>HYPERLINK("https%3A%2F%2Fwww.webofscience.com%2Fwos%2Fwoscc%2Ffull-record%2FWOS:000275754700002","View Full Record in Web of Science")</f>
        <v>View Full Record in Web of Science</v>
      </c>
    </row>
    <row r="113" spans="1:72" x14ac:dyDescent="0.15">
      <c r="A113" t="s">
        <v>72</v>
      </c>
      <c r="B113" t="s">
        <v>2270</v>
      </c>
      <c r="C113" t="s">
        <v>74</v>
      </c>
      <c r="D113" t="s">
        <v>74</v>
      </c>
      <c r="E113" t="s">
        <v>74</v>
      </c>
      <c r="F113" t="s">
        <v>2271</v>
      </c>
      <c r="G113" t="s">
        <v>74</v>
      </c>
      <c r="H113" t="s">
        <v>74</v>
      </c>
      <c r="I113" t="s">
        <v>2272</v>
      </c>
      <c r="J113" t="s">
        <v>2273</v>
      </c>
      <c r="K113" t="s">
        <v>74</v>
      </c>
      <c r="L113" t="s">
        <v>74</v>
      </c>
      <c r="M113" t="s">
        <v>78</v>
      </c>
      <c r="N113" t="s">
        <v>79</v>
      </c>
      <c r="O113" t="s">
        <v>74</v>
      </c>
      <c r="P113" t="s">
        <v>74</v>
      </c>
      <c r="Q113" t="s">
        <v>74</v>
      </c>
      <c r="R113" t="s">
        <v>74</v>
      </c>
      <c r="S113" t="s">
        <v>74</v>
      </c>
      <c r="T113" t="s">
        <v>2274</v>
      </c>
      <c r="U113" t="s">
        <v>2275</v>
      </c>
      <c r="V113" t="s">
        <v>2276</v>
      </c>
      <c r="W113" t="s">
        <v>2277</v>
      </c>
      <c r="X113" t="s">
        <v>2278</v>
      </c>
      <c r="Y113" t="s">
        <v>2279</v>
      </c>
      <c r="Z113" t="s">
        <v>2280</v>
      </c>
      <c r="AA113" t="s">
        <v>74</v>
      </c>
      <c r="AB113" t="s">
        <v>2281</v>
      </c>
      <c r="AC113" t="s">
        <v>2282</v>
      </c>
      <c r="AD113" t="s">
        <v>2283</v>
      </c>
      <c r="AE113" t="s">
        <v>2284</v>
      </c>
      <c r="AF113" t="s">
        <v>74</v>
      </c>
      <c r="AG113">
        <v>34</v>
      </c>
      <c r="AH113">
        <v>29</v>
      </c>
      <c r="AI113">
        <v>29</v>
      </c>
      <c r="AJ113">
        <v>2</v>
      </c>
      <c r="AK113">
        <v>30</v>
      </c>
      <c r="AL113" t="s">
        <v>2285</v>
      </c>
      <c r="AM113" t="s">
        <v>1064</v>
      </c>
      <c r="AN113" t="s">
        <v>2286</v>
      </c>
      <c r="AO113" t="s">
        <v>2287</v>
      </c>
      <c r="AP113" t="s">
        <v>2288</v>
      </c>
      <c r="AQ113" t="s">
        <v>74</v>
      </c>
      <c r="AR113" t="s">
        <v>2289</v>
      </c>
      <c r="AS113" t="s">
        <v>2290</v>
      </c>
      <c r="AT113" t="s">
        <v>505</v>
      </c>
      <c r="AU113">
        <v>2010</v>
      </c>
      <c r="AV113">
        <v>69</v>
      </c>
      <c r="AW113">
        <v>3</v>
      </c>
      <c r="AX113" t="s">
        <v>74</v>
      </c>
      <c r="AY113" t="s">
        <v>74</v>
      </c>
      <c r="AZ113" t="s">
        <v>74</v>
      </c>
      <c r="BA113" t="s">
        <v>74</v>
      </c>
      <c r="BB113">
        <v>127</v>
      </c>
      <c r="BC113">
        <v>135</v>
      </c>
      <c r="BD113" t="s">
        <v>74</v>
      </c>
      <c r="BE113" t="s">
        <v>2291</v>
      </c>
      <c r="BF113" t="str">
        <f>HYPERLINK("http://dx.doi.org/10.1016/j.marenvres.2009.09.003","http://dx.doi.org/10.1016/j.marenvres.2009.09.003")</f>
        <v>http://dx.doi.org/10.1016/j.marenvres.2009.09.003</v>
      </c>
      <c r="BG113" t="s">
        <v>74</v>
      </c>
      <c r="BH113" t="s">
        <v>74</v>
      </c>
      <c r="BI113">
        <v>9</v>
      </c>
      <c r="BJ113" t="s">
        <v>2292</v>
      </c>
      <c r="BK113" t="s">
        <v>102</v>
      </c>
      <c r="BL113" t="s">
        <v>2293</v>
      </c>
      <c r="BM113" t="s">
        <v>2294</v>
      </c>
      <c r="BN113">
        <v>19833384</v>
      </c>
      <c r="BO113" t="s">
        <v>555</v>
      </c>
      <c r="BP113" t="s">
        <v>74</v>
      </c>
      <c r="BQ113" t="s">
        <v>74</v>
      </c>
      <c r="BR113" t="s">
        <v>105</v>
      </c>
      <c r="BS113" t="s">
        <v>2295</v>
      </c>
      <c r="BT113" t="str">
        <f>HYPERLINK("https%3A%2F%2Fwww.webofscience.com%2Fwos%2Fwoscc%2Ffull-record%2FWOS:000275141600003","View Full Record in Web of Science")</f>
        <v>View Full Record in Web of Science</v>
      </c>
    </row>
    <row r="114" spans="1:72" x14ac:dyDescent="0.15">
      <c r="A114" t="s">
        <v>72</v>
      </c>
      <c r="B114" t="s">
        <v>2296</v>
      </c>
      <c r="C114" t="s">
        <v>74</v>
      </c>
      <c r="D114" t="s">
        <v>74</v>
      </c>
      <c r="E114" t="s">
        <v>74</v>
      </c>
      <c r="F114" t="s">
        <v>2297</v>
      </c>
      <c r="G114" t="s">
        <v>74</v>
      </c>
      <c r="H114" t="s">
        <v>74</v>
      </c>
      <c r="I114" t="s">
        <v>2298</v>
      </c>
      <c r="J114" t="s">
        <v>2299</v>
      </c>
      <c r="K114" t="s">
        <v>74</v>
      </c>
      <c r="L114" t="s">
        <v>74</v>
      </c>
      <c r="M114" t="s">
        <v>78</v>
      </c>
      <c r="N114" t="s">
        <v>79</v>
      </c>
      <c r="O114" t="s">
        <v>74</v>
      </c>
      <c r="P114" t="s">
        <v>74</v>
      </c>
      <c r="Q114" t="s">
        <v>74</v>
      </c>
      <c r="R114" t="s">
        <v>74</v>
      </c>
      <c r="S114" t="s">
        <v>74</v>
      </c>
      <c r="T114" t="s">
        <v>2300</v>
      </c>
      <c r="U114" t="s">
        <v>2301</v>
      </c>
      <c r="V114" t="s">
        <v>2302</v>
      </c>
      <c r="W114" t="s">
        <v>2303</v>
      </c>
      <c r="X114" t="s">
        <v>2304</v>
      </c>
      <c r="Y114" t="s">
        <v>2305</v>
      </c>
      <c r="Z114" t="s">
        <v>2306</v>
      </c>
      <c r="AA114" t="s">
        <v>2307</v>
      </c>
      <c r="AB114" t="s">
        <v>2308</v>
      </c>
      <c r="AC114" t="s">
        <v>2309</v>
      </c>
      <c r="AD114" t="s">
        <v>2310</v>
      </c>
      <c r="AE114" t="s">
        <v>2311</v>
      </c>
      <c r="AF114" t="s">
        <v>74</v>
      </c>
      <c r="AG114">
        <v>52</v>
      </c>
      <c r="AH114">
        <v>35</v>
      </c>
      <c r="AI114">
        <v>39</v>
      </c>
      <c r="AJ114">
        <v>0</v>
      </c>
      <c r="AK114">
        <v>14</v>
      </c>
      <c r="AL114" t="s">
        <v>2312</v>
      </c>
      <c r="AM114" t="s">
        <v>992</v>
      </c>
      <c r="AN114" t="s">
        <v>993</v>
      </c>
      <c r="AO114" t="s">
        <v>2313</v>
      </c>
      <c r="AP114" t="s">
        <v>2314</v>
      </c>
      <c r="AQ114" t="s">
        <v>74</v>
      </c>
      <c r="AR114" t="s">
        <v>2315</v>
      </c>
      <c r="AS114" t="s">
        <v>2316</v>
      </c>
      <c r="AT114" t="s">
        <v>505</v>
      </c>
      <c r="AU114">
        <v>2010</v>
      </c>
      <c r="AV114">
        <v>26</v>
      </c>
      <c r="AW114">
        <v>2</v>
      </c>
      <c r="AX114" t="s">
        <v>74</v>
      </c>
      <c r="AY114" t="s">
        <v>74</v>
      </c>
      <c r="AZ114" t="s">
        <v>74</v>
      </c>
      <c r="BA114" t="s">
        <v>74</v>
      </c>
      <c r="BB114">
        <v>350</v>
      </c>
      <c r="BC114">
        <v>369</v>
      </c>
      <c r="BD114" t="s">
        <v>74</v>
      </c>
      <c r="BE114" t="s">
        <v>2317</v>
      </c>
      <c r="BF114" t="str">
        <f>HYPERLINK("http://dx.doi.org/10.1111/j.1748-7692.2009.00328.x","http://dx.doi.org/10.1111/j.1748-7692.2009.00328.x")</f>
        <v>http://dx.doi.org/10.1111/j.1748-7692.2009.00328.x</v>
      </c>
      <c r="BG114" t="s">
        <v>74</v>
      </c>
      <c r="BH114" t="s">
        <v>74</v>
      </c>
      <c r="BI114">
        <v>20</v>
      </c>
      <c r="BJ114" t="s">
        <v>2318</v>
      </c>
      <c r="BK114" t="s">
        <v>102</v>
      </c>
      <c r="BL114" t="s">
        <v>2318</v>
      </c>
      <c r="BM114" t="s">
        <v>2319</v>
      </c>
      <c r="BN114" t="s">
        <v>74</v>
      </c>
      <c r="BO114" t="s">
        <v>74</v>
      </c>
      <c r="BP114" t="s">
        <v>74</v>
      </c>
      <c r="BQ114" t="s">
        <v>74</v>
      </c>
      <c r="BR114" t="s">
        <v>105</v>
      </c>
      <c r="BS114" t="s">
        <v>2320</v>
      </c>
      <c r="BT114" t="str">
        <f>HYPERLINK("https%3A%2F%2Fwww.webofscience.com%2Fwos%2Fwoscc%2Ffull-record%2FWOS:000276794500007","View Full Record in Web of Science")</f>
        <v>View Full Record in Web of Science</v>
      </c>
    </row>
    <row r="115" spans="1:72" x14ac:dyDescent="0.15">
      <c r="A115" t="s">
        <v>72</v>
      </c>
      <c r="B115" t="s">
        <v>2321</v>
      </c>
      <c r="C115" t="s">
        <v>74</v>
      </c>
      <c r="D115" t="s">
        <v>74</v>
      </c>
      <c r="E115" t="s">
        <v>74</v>
      </c>
      <c r="F115" t="s">
        <v>2322</v>
      </c>
      <c r="G115" t="s">
        <v>74</v>
      </c>
      <c r="H115" t="s">
        <v>74</v>
      </c>
      <c r="I115" t="s">
        <v>2323</v>
      </c>
      <c r="J115" t="s">
        <v>2299</v>
      </c>
      <c r="K115" t="s">
        <v>74</v>
      </c>
      <c r="L115" t="s">
        <v>74</v>
      </c>
      <c r="M115" t="s">
        <v>78</v>
      </c>
      <c r="N115" t="s">
        <v>2324</v>
      </c>
      <c r="O115" t="s">
        <v>74</v>
      </c>
      <c r="P115" t="s">
        <v>74</v>
      </c>
      <c r="Q115" t="s">
        <v>74</v>
      </c>
      <c r="R115" t="s">
        <v>74</v>
      </c>
      <c r="S115" t="s">
        <v>74</v>
      </c>
      <c r="T115" t="s">
        <v>74</v>
      </c>
      <c r="U115" t="s">
        <v>2325</v>
      </c>
      <c r="V115" t="s">
        <v>74</v>
      </c>
      <c r="W115" t="s">
        <v>2326</v>
      </c>
      <c r="X115" t="s">
        <v>2327</v>
      </c>
      <c r="Y115" t="s">
        <v>2328</v>
      </c>
      <c r="Z115" t="s">
        <v>2329</v>
      </c>
      <c r="AA115" t="s">
        <v>2330</v>
      </c>
      <c r="AB115" t="s">
        <v>2331</v>
      </c>
      <c r="AC115" t="s">
        <v>74</v>
      </c>
      <c r="AD115" t="s">
        <v>74</v>
      </c>
      <c r="AE115" t="s">
        <v>74</v>
      </c>
      <c r="AF115" t="s">
        <v>74</v>
      </c>
      <c r="AG115">
        <v>79</v>
      </c>
      <c r="AH115">
        <v>57</v>
      </c>
      <c r="AI115">
        <v>63</v>
      </c>
      <c r="AJ115">
        <v>0</v>
      </c>
      <c r="AK115">
        <v>79</v>
      </c>
      <c r="AL115" t="s">
        <v>991</v>
      </c>
      <c r="AM115" t="s">
        <v>992</v>
      </c>
      <c r="AN115" t="s">
        <v>993</v>
      </c>
      <c r="AO115" t="s">
        <v>2313</v>
      </c>
      <c r="AP115" t="s">
        <v>2314</v>
      </c>
      <c r="AQ115" t="s">
        <v>74</v>
      </c>
      <c r="AR115" t="s">
        <v>2315</v>
      </c>
      <c r="AS115" t="s">
        <v>2316</v>
      </c>
      <c r="AT115" t="s">
        <v>505</v>
      </c>
      <c r="AU115">
        <v>2010</v>
      </c>
      <c r="AV115">
        <v>26</v>
      </c>
      <c r="AW115">
        <v>2</v>
      </c>
      <c r="AX115" t="s">
        <v>74</v>
      </c>
      <c r="AY115" t="s">
        <v>74</v>
      </c>
      <c r="AZ115" t="s">
        <v>74</v>
      </c>
      <c r="BA115" t="s">
        <v>74</v>
      </c>
      <c r="BB115">
        <v>482</v>
      </c>
      <c r="BC115">
        <v>498</v>
      </c>
      <c r="BD115" t="s">
        <v>74</v>
      </c>
      <c r="BE115" t="s">
        <v>2332</v>
      </c>
      <c r="BF115" t="str">
        <f>HYPERLINK("http://dx.doi.org/10.1111/j.1748-7692.2009.00337.x","http://dx.doi.org/10.1111/j.1748-7692.2009.00337.x")</f>
        <v>http://dx.doi.org/10.1111/j.1748-7692.2009.00337.x</v>
      </c>
      <c r="BG115" t="s">
        <v>74</v>
      </c>
      <c r="BH115" t="s">
        <v>74</v>
      </c>
      <c r="BI115">
        <v>17</v>
      </c>
      <c r="BJ115" t="s">
        <v>2318</v>
      </c>
      <c r="BK115" t="s">
        <v>102</v>
      </c>
      <c r="BL115" t="s">
        <v>2318</v>
      </c>
      <c r="BM115" t="s">
        <v>2319</v>
      </c>
      <c r="BN115" t="s">
        <v>74</v>
      </c>
      <c r="BO115" t="s">
        <v>74</v>
      </c>
      <c r="BP115" t="s">
        <v>74</v>
      </c>
      <c r="BQ115" t="s">
        <v>74</v>
      </c>
      <c r="BR115" t="s">
        <v>105</v>
      </c>
      <c r="BS115" t="s">
        <v>2333</v>
      </c>
      <c r="BT115" t="str">
        <f>HYPERLINK("https%3A%2F%2Fwww.webofscience.com%2Fwos%2Fwoscc%2Ffull-record%2FWOS:000276794500019","View Full Record in Web of Science")</f>
        <v>View Full Record in Web of Science</v>
      </c>
    </row>
    <row r="116" spans="1:72" x14ac:dyDescent="0.15">
      <c r="A116" t="s">
        <v>72</v>
      </c>
      <c r="B116" t="s">
        <v>2334</v>
      </c>
      <c r="C116" t="s">
        <v>74</v>
      </c>
      <c r="D116" t="s">
        <v>74</v>
      </c>
      <c r="E116" t="s">
        <v>74</v>
      </c>
      <c r="F116" t="s">
        <v>2335</v>
      </c>
      <c r="G116" t="s">
        <v>74</v>
      </c>
      <c r="H116" t="s">
        <v>74</v>
      </c>
      <c r="I116" t="s">
        <v>2336</v>
      </c>
      <c r="J116" t="s">
        <v>2337</v>
      </c>
      <c r="K116" t="s">
        <v>74</v>
      </c>
      <c r="L116" t="s">
        <v>74</v>
      </c>
      <c r="M116" t="s">
        <v>78</v>
      </c>
      <c r="N116" t="s">
        <v>600</v>
      </c>
      <c r="O116" t="s">
        <v>74</v>
      </c>
      <c r="P116" t="s">
        <v>74</v>
      </c>
      <c r="Q116" t="s">
        <v>74</v>
      </c>
      <c r="R116" t="s">
        <v>74</v>
      </c>
      <c r="S116" t="s">
        <v>74</v>
      </c>
      <c r="T116" t="s">
        <v>74</v>
      </c>
      <c r="U116" t="s">
        <v>2338</v>
      </c>
      <c r="V116" t="s">
        <v>2339</v>
      </c>
      <c r="W116" t="s">
        <v>2340</v>
      </c>
      <c r="X116" t="s">
        <v>2341</v>
      </c>
      <c r="Y116" t="s">
        <v>2342</v>
      </c>
      <c r="Z116" t="s">
        <v>2343</v>
      </c>
      <c r="AA116" t="s">
        <v>74</v>
      </c>
      <c r="AB116" t="s">
        <v>2344</v>
      </c>
      <c r="AC116" t="s">
        <v>2345</v>
      </c>
      <c r="AD116" t="s">
        <v>1446</v>
      </c>
      <c r="AE116" t="s">
        <v>2346</v>
      </c>
      <c r="AF116" t="s">
        <v>74</v>
      </c>
      <c r="AG116">
        <v>116</v>
      </c>
      <c r="AH116">
        <v>57</v>
      </c>
      <c r="AI116">
        <v>62</v>
      </c>
      <c r="AJ116">
        <v>2</v>
      </c>
      <c r="AK116">
        <v>31</v>
      </c>
      <c r="AL116" t="s">
        <v>991</v>
      </c>
      <c r="AM116" t="s">
        <v>992</v>
      </c>
      <c r="AN116" t="s">
        <v>993</v>
      </c>
      <c r="AO116" t="s">
        <v>2347</v>
      </c>
      <c r="AP116" t="s">
        <v>2348</v>
      </c>
      <c r="AQ116" t="s">
        <v>74</v>
      </c>
      <c r="AR116" t="s">
        <v>2349</v>
      </c>
      <c r="AS116" t="s">
        <v>2350</v>
      </c>
      <c r="AT116" t="s">
        <v>505</v>
      </c>
      <c r="AU116">
        <v>2010</v>
      </c>
      <c r="AV116">
        <v>45</v>
      </c>
      <c r="AW116">
        <v>4</v>
      </c>
      <c r="AX116" t="s">
        <v>74</v>
      </c>
      <c r="AY116" t="s">
        <v>74</v>
      </c>
      <c r="AZ116" t="s">
        <v>74</v>
      </c>
      <c r="BA116" t="s">
        <v>74</v>
      </c>
      <c r="BB116">
        <v>531</v>
      </c>
      <c r="BC116">
        <v>554</v>
      </c>
      <c r="BD116" t="s">
        <v>74</v>
      </c>
      <c r="BE116" t="s">
        <v>2351</v>
      </c>
      <c r="BF116" t="str">
        <f>HYPERLINK("http://dx.doi.org/10.1111/j.1945-5100.2010.01039.x","http://dx.doi.org/10.1111/j.1945-5100.2010.01039.x")</f>
        <v>http://dx.doi.org/10.1111/j.1945-5100.2010.01039.x</v>
      </c>
      <c r="BG116" t="s">
        <v>74</v>
      </c>
      <c r="BH116" t="s">
        <v>74</v>
      </c>
      <c r="BI116">
        <v>24</v>
      </c>
      <c r="BJ116" t="s">
        <v>507</v>
      </c>
      <c r="BK116" t="s">
        <v>102</v>
      </c>
      <c r="BL116" t="s">
        <v>507</v>
      </c>
      <c r="BM116" t="s">
        <v>2352</v>
      </c>
      <c r="BN116" t="s">
        <v>74</v>
      </c>
      <c r="BO116" t="s">
        <v>104</v>
      </c>
      <c r="BP116" t="s">
        <v>74</v>
      </c>
      <c r="BQ116" t="s">
        <v>74</v>
      </c>
      <c r="BR116" t="s">
        <v>105</v>
      </c>
      <c r="BS116" t="s">
        <v>2353</v>
      </c>
      <c r="BT116" t="str">
        <f>HYPERLINK("https%3A%2F%2Fwww.webofscience.com%2Fwos%2Fwoscc%2Ffull-record%2FWOS:000281208600003","View Full Record in Web of Science")</f>
        <v>View Full Record in Web of Science</v>
      </c>
    </row>
    <row r="117" spans="1:72" x14ac:dyDescent="0.15">
      <c r="A117" t="s">
        <v>72</v>
      </c>
      <c r="B117" t="s">
        <v>2354</v>
      </c>
      <c r="C117" t="s">
        <v>74</v>
      </c>
      <c r="D117" t="s">
        <v>74</v>
      </c>
      <c r="E117" t="s">
        <v>74</v>
      </c>
      <c r="F117" t="s">
        <v>2355</v>
      </c>
      <c r="G117" t="s">
        <v>74</v>
      </c>
      <c r="H117" t="s">
        <v>74</v>
      </c>
      <c r="I117" t="s">
        <v>2356</v>
      </c>
      <c r="J117" t="s">
        <v>2357</v>
      </c>
      <c r="K117" t="s">
        <v>74</v>
      </c>
      <c r="L117" t="s">
        <v>74</v>
      </c>
      <c r="M117" t="s">
        <v>78</v>
      </c>
      <c r="N117" t="s">
        <v>79</v>
      </c>
      <c r="O117" t="s">
        <v>74</v>
      </c>
      <c r="P117" t="s">
        <v>74</v>
      </c>
      <c r="Q117" t="s">
        <v>74</v>
      </c>
      <c r="R117" t="s">
        <v>74</v>
      </c>
      <c r="S117" t="s">
        <v>74</v>
      </c>
      <c r="T117" t="s">
        <v>74</v>
      </c>
      <c r="U117" t="s">
        <v>2358</v>
      </c>
      <c r="V117" t="s">
        <v>2359</v>
      </c>
      <c r="W117" t="s">
        <v>2360</v>
      </c>
      <c r="X117" t="s">
        <v>2361</v>
      </c>
      <c r="Y117" t="s">
        <v>2362</v>
      </c>
      <c r="Z117" t="s">
        <v>2363</v>
      </c>
      <c r="AA117" t="s">
        <v>2364</v>
      </c>
      <c r="AB117" t="s">
        <v>2365</v>
      </c>
      <c r="AC117" t="s">
        <v>2366</v>
      </c>
      <c r="AD117" t="s">
        <v>2367</v>
      </c>
      <c r="AE117" t="s">
        <v>2368</v>
      </c>
      <c r="AF117" t="s">
        <v>74</v>
      </c>
      <c r="AG117">
        <v>52</v>
      </c>
      <c r="AH117">
        <v>52</v>
      </c>
      <c r="AI117">
        <v>61</v>
      </c>
      <c r="AJ117">
        <v>1</v>
      </c>
      <c r="AK117">
        <v>20</v>
      </c>
      <c r="AL117" t="s">
        <v>813</v>
      </c>
      <c r="AM117" t="s">
        <v>225</v>
      </c>
      <c r="AN117" t="s">
        <v>2228</v>
      </c>
      <c r="AO117" t="s">
        <v>2369</v>
      </c>
      <c r="AP117" t="s">
        <v>2370</v>
      </c>
      <c r="AQ117" t="s">
        <v>74</v>
      </c>
      <c r="AR117" t="s">
        <v>2371</v>
      </c>
      <c r="AS117" t="s">
        <v>2372</v>
      </c>
      <c r="AT117" t="s">
        <v>505</v>
      </c>
      <c r="AU117">
        <v>2010</v>
      </c>
      <c r="AV117">
        <v>59</v>
      </c>
      <c r="AW117">
        <v>3</v>
      </c>
      <c r="AX117" t="s">
        <v>74</v>
      </c>
      <c r="AY117" t="s">
        <v>74</v>
      </c>
      <c r="AZ117" t="s">
        <v>74</v>
      </c>
      <c r="BA117" t="s">
        <v>74</v>
      </c>
      <c r="BB117">
        <v>476</v>
      </c>
      <c r="BC117">
        <v>486</v>
      </c>
      <c r="BD117" t="s">
        <v>74</v>
      </c>
      <c r="BE117" t="s">
        <v>2373</v>
      </c>
      <c r="BF117" t="str">
        <f>HYPERLINK("http://dx.doi.org/10.1007/s00248-009-9622-9","http://dx.doi.org/10.1007/s00248-009-9622-9")</f>
        <v>http://dx.doi.org/10.1007/s00248-009-9622-9</v>
      </c>
      <c r="BG117" t="s">
        <v>74</v>
      </c>
      <c r="BH117" t="s">
        <v>74</v>
      </c>
      <c r="BI117">
        <v>11</v>
      </c>
      <c r="BJ117" t="s">
        <v>2374</v>
      </c>
      <c r="BK117" t="s">
        <v>102</v>
      </c>
      <c r="BL117" t="s">
        <v>2375</v>
      </c>
      <c r="BM117" t="s">
        <v>2376</v>
      </c>
      <c r="BN117">
        <v>20127086</v>
      </c>
      <c r="BO117" t="s">
        <v>74</v>
      </c>
      <c r="BP117" t="s">
        <v>74</v>
      </c>
      <c r="BQ117" t="s">
        <v>74</v>
      </c>
      <c r="BR117" t="s">
        <v>105</v>
      </c>
      <c r="BS117" t="s">
        <v>2377</v>
      </c>
      <c r="BT117" t="str">
        <f>HYPERLINK("https%3A%2F%2Fwww.webofscience.com%2Fwos%2Fwoscc%2Ffull-record%2FWOS:000276745200007","View Full Record in Web of Science")</f>
        <v>View Full Record in Web of Science</v>
      </c>
    </row>
    <row r="118" spans="1:72" x14ac:dyDescent="0.15">
      <c r="A118" t="s">
        <v>72</v>
      </c>
      <c r="B118" t="s">
        <v>2378</v>
      </c>
      <c r="C118" t="s">
        <v>74</v>
      </c>
      <c r="D118" t="s">
        <v>74</v>
      </c>
      <c r="E118" t="s">
        <v>74</v>
      </c>
      <c r="F118" t="s">
        <v>2379</v>
      </c>
      <c r="G118" t="s">
        <v>74</v>
      </c>
      <c r="H118" t="s">
        <v>74</v>
      </c>
      <c r="I118" t="s">
        <v>2380</v>
      </c>
      <c r="J118" t="s">
        <v>2381</v>
      </c>
      <c r="K118" t="s">
        <v>74</v>
      </c>
      <c r="L118" t="s">
        <v>74</v>
      </c>
      <c r="M118" t="s">
        <v>78</v>
      </c>
      <c r="N118" t="s">
        <v>79</v>
      </c>
      <c r="O118" t="s">
        <v>74</v>
      </c>
      <c r="P118" t="s">
        <v>74</v>
      </c>
      <c r="Q118" t="s">
        <v>74</v>
      </c>
      <c r="R118" t="s">
        <v>74</v>
      </c>
      <c r="S118" t="s">
        <v>74</v>
      </c>
      <c r="T118" t="s">
        <v>74</v>
      </c>
      <c r="U118" t="s">
        <v>2382</v>
      </c>
      <c r="V118" t="s">
        <v>2383</v>
      </c>
      <c r="W118" t="s">
        <v>2384</v>
      </c>
      <c r="X118" t="s">
        <v>2385</v>
      </c>
      <c r="Y118" t="s">
        <v>2386</v>
      </c>
      <c r="Z118" t="s">
        <v>2387</v>
      </c>
      <c r="AA118" t="s">
        <v>2388</v>
      </c>
      <c r="AB118" t="s">
        <v>2389</v>
      </c>
      <c r="AC118" t="s">
        <v>2390</v>
      </c>
      <c r="AD118" t="s">
        <v>2391</v>
      </c>
      <c r="AE118" t="s">
        <v>2392</v>
      </c>
      <c r="AF118" t="s">
        <v>74</v>
      </c>
      <c r="AG118">
        <v>53</v>
      </c>
      <c r="AH118">
        <v>72</v>
      </c>
      <c r="AI118">
        <v>77</v>
      </c>
      <c r="AJ118">
        <v>0</v>
      </c>
      <c r="AK118">
        <v>26</v>
      </c>
      <c r="AL118" t="s">
        <v>991</v>
      </c>
      <c r="AM118" t="s">
        <v>992</v>
      </c>
      <c r="AN118" t="s">
        <v>993</v>
      </c>
      <c r="AO118" t="s">
        <v>2393</v>
      </c>
      <c r="AP118" t="s">
        <v>2394</v>
      </c>
      <c r="AQ118" t="s">
        <v>74</v>
      </c>
      <c r="AR118" t="s">
        <v>2395</v>
      </c>
      <c r="AS118" t="s">
        <v>2396</v>
      </c>
      <c r="AT118" t="s">
        <v>505</v>
      </c>
      <c r="AU118">
        <v>2010</v>
      </c>
      <c r="AV118">
        <v>76</v>
      </c>
      <c r="AW118">
        <v>1</v>
      </c>
      <c r="AX118" t="s">
        <v>74</v>
      </c>
      <c r="AY118" t="s">
        <v>74</v>
      </c>
      <c r="AZ118" t="s">
        <v>74</v>
      </c>
      <c r="BA118" t="s">
        <v>74</v>
      </c>
      <c r="BB118">
        <v>120</v>
      </c>
      <c r="BC118">
        <v>132</v>
      </c>
      <c r="BD118" t="s">
        <v>74</v>
      </c>
      <c r="BE118" t="s">
        <v>2397</v>
      </c>
      <c r="BF118" t="str">
        <f>HYPERLINK("http://dx.doi.org/10.1111/j.1365-2958.2010.07084.x","http://dx.doi.org/10.1111/j.1365-2958.2010.07084.x")</f>
        <v>http://dx.doi.org/10.1111/j.1365-2958.2010.07084.x</v>
      </c>
      <c r="BG118" t="s">
        <v>74</v>
      </c>
      <c r="BH118" t="s">
        <v>74</v>
      </c>
      <c r="BI118">
        <v>13</v>
      </c>
      <c r="BJ118" t="s">
        <v>2398</v>
      </c>
      <c r="BK118" t="s">
        <v>102</v>
      </c>
      <c r="BL118" t="s">
        <v>2398</v>
      </c>
      <c r="BM118" t="s">
        <v>2399</v>
      </c>
      <c r="BN118">
        <v>20199592</v>
      </c>
      <c r="BO118" t="s">
        <v>455</v>
      </c>
      <c r="BP118" t="s">
        <v>74</v>
      </c>
      <c r="BQ118" t="s">
        <v>74</v>
      </c>
      <c r="BR118" t="s">
        <v>105</v>
      </c>
      <c r="BS118" t="s">
        <v>2400</v>
      </c>
      <c r="BT118" t="str">
        <f>HYPERLINK("https%3A%2F%2Fwww.webofscience.com%2Fwos%2Fwoscc%2Ffull-record%2FWOS:000276036000009","View Full Record in Web of Science")</f>
        <v>View Full Record in Web of Science</v>
      </c>
    </row>
    <row r="119" spans="1:72" x14ac:dyDescent="0.15">
      <c r="A119" t="s">
        <v>72</v>
      </c>
      <c r="B119" t="s">
        <v>2401</v>
      </c>
      <c r="C119" t="s">
        <v>74</v>
      </c>
      <c r="D119" t="s">
        <v>74</v>
      </c>
      <c r="E119" t="s">
        <v>74</v>
      </c>
      <c r="F119" t="s">
        <v>2402</v>
      </c>
      <c r="G119" t="s">
        <v>74</v>
      </c>
      <c r="H119" t="s">
        <v>74</v>
      </c>
      <c r="I119" t="s">
        <v>2403</v>
      </c>
      <c r="J119" t="s">
        <v>2404</v>
      </c>
      <c r="K119" t="s">
        <v>74</v>
      </c>
      <c r="L119" t="s">
        <v>74</v>
      </c>
      <c r="M119" t="s">
        <v>78</v>
      </c>
      <c r="N119" t="s">
        <v>79</v>
      </c>
      <c r="O119" t="s">
        <v>74</v>
      </c>
      <c r="P119" t="s">
        <v>74</v>
      </c>
      <c r="Q119" t="s">
        <v>74</v>
      </c>
      <c r="R119" t="s">
        <v>74</v>
      </c>
      <c r="S119" t="s">
        <v>74</v>
      </c>
      <c r="T119" t="s">
        <v>2405</v>
      </c>
      <c r="U119" t="s">
        <v>2406</v>
      </c>
      <c r="V119" t="s">
        <v>2407</v>
      </c>
      <c r="W119" t="s">
        <v>2408</v>
      </c>
      <c r="X119" t="s">
        <v>2409</v>
      </c>
      <c r="Y119" t="s">
        <v>2410</v>
      </c>
      <c r="Z119" t="s">
        <v>2411</v>
      </c>
      <c r="AA119" t="s">
        <v>2412</v>
      </c>
      <c r="AB119" t="s">
        <v>2413</v>
      </c>
      <c r="AC119" t="s">
        <v>2414</v>
      </c>
      <c r="AD119" t="s">
        <v>2415</v>
      </c>
      <c r="AE119" t="s">
        <v>2416</v>
      </c>
      <c r="AF119" t="s">
        <v>74</v>
      </c>
      <c r="AG119">
        <v>60</v>
      </c>
      <c r="AH119">
        <v>46</v>
      </c>
      <c r="AI119">
        <v>53</v>
      </c>
      <c r="AJ119">
        <v>0</v>
      </c>
      <c r="AK119">
        <v>16</v>
      </c>
      <c r="AL119" t="s">
        <v>2417</v>
      </c>
      <c r="AM119" t="s">
        <v>2418</v>
      </c>
      <c r="AN119" t="s">
        <v>2419</v>
      </c>
      <c r="AO119" t="s">
        <v>2420</v>
      </c>
      <c r="AP119" t="s">
        <v>2421</v>
      </c>
      <c r="AQ119" t="s">
        <v>74</v>
      </c>
      <c r="AR119" t="s">
        <v>2422</v>
      </c>
      <c r="AS119" t="s">
        <v>2423</v>
      </c>
      <c r="AT119" t="s">
        <v>505</v>
      </c>
      <c r="AU119">
        <v>2010</v>
      </c>
      <c r="AV119">
        <v>55</v>
      </c>
      <c r="AW119">
        <v>1</v>
      </c>
      <c r="AX119" t="s">
        <v>74</v>
      </c>
      <c r="AY119" t="s">
        <v>74</v>
      </c>
      <c r="AZ119" t="s">
        <v>74</v>
      </c>
      <c r="BA119" t="s">
        <v>74</v>
      </c>
      <c r="BB119">
        <v>202</v>
      </c>
      <c r="BC119">
        <v>209</v>
      </c>
      <c r="BD119" t="s">
        <v>74</v>
      </c>
      <c r="BE119" t="s">
        <v>2424</v>
      </c>
      <c r="BF119" t="str">
        <f>HYPERLINK("http://dx.doi.org/10.1016/j.ympev.2009.10.025","http://dx.doi.org/10.1016/j.ympev.2009.10.025")</f>
        <v>http://dx.doi.org/10.1016/j.ympev.2009.10.025</v>
      </c>
      <c r="BG119" t="s">
        <v>74</v>
      </c>
      <c r="BH119" t="s">
        <v>74</v>
      </c>
      <c r="BI119">
        <v>8</v>
      </c>
      <c r="BJ119" t="s">
        <v>2425</v>
      </c>
      <c r="BK119" t="s">
        <v>102</v>
      </c>
      <c r="BL119" t="s">
        <v>2425</v>
      </c>
      <c r="BM119" t="s">
        <v>2426</v>
      </c>
      <c r="BN119">
        <v>19857579</v>
      </c>
      <c r="BO119" t="s">
        <v>74</v>
      </c>
      <c r="BP119" t="s">
        <v>74</v>
      </c>
      <c r="BQ119" t="s">
        <v>74</v>
      </c>
      <c r="BR119" t="s">
        <v>105</v>
      </c>
      <c r="BS119" t="s">
        <v>2427</v>
      </c>
      <c r="BT119" t="str">
        <f>HYPERLINK("https%3A%2F%2Fwww.webofscience.com%2Fwos%2Fwoscc%2Ffull-record%2FWOS:000275306000017","View Full Record in Web of Science")</f>
        <v>View Full Record in Web of Science</v>
      </c>
    </row>
    <row r="120" spans="1:72" x14ac:dyDescent="0.15">
      <c r="A120" t="s">
        <v>72</v>
      </c>
      <c r="B120" t="s">
        <v>2428</v>
      </c>
      <c r="C120" t="s">
        <v>74</v>
      </c>
      <c r="D120" t="s">
        <v>74</v>
      </c>
      <c r="E120" t="s">
        <v>74</v>
      </c>
      <c r="F120" t="s">
        <v>2429</v>
      </c>
      <c r="G120" t="s">
        <v>74</v>
      </c>
      <c r="H120" t="s">
        <v>74</v>
      </c>
      <c r="I120" t="s">
        <v>2430</v>
      </c>
      <c r="J120" t="s">
        <v>2404</v>
      </c>
      <c r="K120" t="s">
        <v>74</v>
      </c>
      <c r="L120" t="s">
        <v>74</v>
      </c>
      <c r="M120" t="s">
        <v>78</v>
      </c>
      <c r="N120" t="s">
        <v>79</v>
      </c>
      <c r="O120" t="s">
        <v>74</v>
      </c>
      <c r="P120" t="s">
        <v>74</v>
      </c>
      <c r="Q120" t="s">
        <v>74</v>
      </c>
      <c r="R120" t="s">
        <v>74</v>
      </c>
      <c r="S120" t="s">
        <v>74</v>
      </c>
      <c r="T120" t="s">
        <v>2431</v>
      </c>
      <c r="U120" t="s">
        <v>2432</v>
      </c>
      <c r="V120" t="s">
        <v>2433</v>
      </c>
      <c r="W120" t="s">
        <v>2434</v>
      </c>
      <c r="X120" t="s">
        <v>2435</v>
      </c>
      <c r="Y120" t="s">
        <v>2436</v>
      </c>
      <c r="Z120" t="s">
        <v>2437</v>
      </c>
      <c r="AA120" t="s">
        <v>2438</v>
      </c>
      <c r="AB120" t="s">
        <v>74</v>
      </c>
      <c r="AC120" t="s">
        <v>2439</v>
      </c>
      <c r="AD120" t="s">
        <v>2440</v>
      </c>
      <c r="AE120" t="s">
        <v>2441</v>
      </c>
      <c r="AF120" t="s">
        <v>74</v>
      </c>
      <c r="AG120">
        <v>40</v>
      </c>
      <c r="AH120">
        <v>17</v>
      </c>
      <c r="AI120">
        <v>17</v>
      </c>
      <c r="AJ120">
        <v>0</v>
      </c>
      <c r="AK120">
        <v>8</v>
      </c>
      <c r="AL120" t="s">
        <v>2417</v>
      </c>
      <c r="AM120" t="s">
        <v>2418</v>
      </c>
      <c r="AN120" t="s">
        <v>2419</v>
      </c>
      <c r="AO120" t="s">
        <v>2420</v>
      </c>
      <c r="AP120" t="s">
        <v>2421</v>
      </c>
      <c r="AQ120" t="s">
        <v>74</v>
      </c>
      <c r="AR120" t="s">
        <v>2422</v>
      </c>
      <c r="AS120" t="s">
        <v>2423</v>
      </c>
      <c r="AT120" t="s">
        <v>505</v>
      </c>
      <c r="AU120">
        <v>2010</v>
      </c>
      <c r="AV120">
        <v>55</v>
      </c>
      <c r="AW120">
        <v>1</v>
      </c>
      <c r="AX120" t="s">
        <v>74</v>
      </c>
      <c r="AY120" t="s">
        <v>74</v>
      </c>
      <c r="AZ120" t="s">
        <v>74</v>
      </c>
      <c r="BA120" t="s">
        <v>74</v>
      </c>
      <c r="BB120">
        <v>226</v>
      </c>
      <c r="BC120">
        <v>233</v>
      </c>
      <c r="BD120" t="s">
        <v>74</v>
      </c>
      <c r="BE120" t="s">
        <v>2442</v>
      </c>
      <c r="BF120" t="str">
        <f>HYPERLINK("http://dx.doi.org/10.1016/j.ympev.2009.09.033","http://dx.doi.org/10.1016/j.ympev.2009.09.033")</f>
        <v>http://dx.doi.org/10.1016/j.ympev.2009.09.033</v>
      </c>
      <c r="BG120" t="s">
        <v>74</v>
      </c>
      <c r="BH120" t="s">
        <v>74</v>
      </c>
      <c r="BI120">
        <v>8</v>
      </c>
      <c r="BJ120" t="s">
        <v>2425</v>
      </c>
      <c r="BK120" t="s">
        <v>102</v>
      </c>
      <c r="BL120" t="s">
        <v>2425</v>
      </c>
      <c r="BM120" t="s">
        <v>2426</v>
      </c>
      <c r="BN120">
        <v>19800977</v>
      </c>
      <c r="BO120" t="s">
        <v>74</v>
      </c>
      <c r="BP120" t="s">
        <v>74</v>
      </c>
      <c r="BQ120" t="s">
        <v>74</v>
      </c>
      <c r="BR120" t="s">
        <v>105</v>
      </c>
      <c r="BS120" t="s">
        <v>2443</v>
      </c>
      <c r="BT120" t="str">
        <f>HYPERLINK("https%3A%2F%2Fwww.webofscience.com%2Fwos%2Fwoscc%2Ffull-record%2FWOS:000275306000019","View Full Record in Web of Science")</f>
        <v>View Full Record in Web of Science</v>
      </c>
    </row>
    <row r="121" spans="1:72" x14ac:dyDescent="0.15">
      <c r="A121" t="s">
        <v>72</v>
      </c>
      <c r="B121" t="s">
        <v>2444</v>
      </c>
      <c r="C121" t="s">
        <v>74</v>
      </c>
      <c r="D121" t="s">
        <v>74</v>
      </c>
      <c r="E121" t="s">
        <v>74</v>
      </c>
      <c r="F121" t="s">
        <v>2445</v>
      </c>
      <c r="G121" t="s">
        <v>74</v>
      </c>
      <c r="H121" t="s">
        <v>74</v>
      </c>
      <c r="I121" t="s">
        <v>2446</v>
      </c>
      <c r="J121" t="s">
        <v>2447</v>
      </c>
      <c r="K121" t="s">
        <v>74</v>
      </c>
      <c r="L121" t="s">
        <v>74</v>
      </c>
      <c r="M121" t="s">
        <v>78</v>
      </c>
      <c r="N121" t="s">
        <v>79</v>
      </c>
      <c r="O121" t="s">
        <v>74</v>
      </c>
      <c r="P121" t="s">
        <v>74</v>
      </c>
      <c r="Q121" t="s">
        <v>74</v>
      </c>
      <c r="R121" t="s">
        <v>74</v>
      </c>
      <c r="S121" t="s">
        <v>74</v>
      </c>
      <c r="T121" t="s">
        <v>74</v>
      </c>
      <c r="U121" t="s">
        <v>2448</v>
      </c>
      <c r="V121" t="s">
        <v>2449</v>
      </c>
      <c r="W121" t="s">
        <v>2450</v>
      </c>
      <c r="X121" t="s">
        <v>2451</v>
      </c>
      <c r="Y121" t="s">
        <v>2452</v>
      </c>
      <c r="Z121" t="s">
        <v>2453</v>
      </c>
      <c r="AA121" t="s">
        <v>2454</v>
      </c>
      <c r="AB121" t="s">
        <v>2455</v>
      </c>
      <c r="AC121" t="s">
        <v>2456</v>
      </c>
      <c r="AD121" t="s">
        <v>2457</v>
      </c>
      <c r="AE121" t="s">
        <v>2458</v>
      </c>
      <c r="AF121" t="s">
        <v>74</v>
      </c>
      <c r="AG121">
        <v>30</v>
      </c>
      <c r="AH121">
        <v>303</v>
      </c>
      <c r="AI121">
        <v>337</v>
      </c>
      <c r="AJ121">
        <v>7</v>
      </c>
      <c r="AK121">
        <v>181</v>
      </c>
      <c r="AL121" t="s">
        <v>2459</v>
      </c>
      <c r="AM121" t="s">
        <v>225</v>
      </c>
      <c r="AN121" t="s">
        <v>2460</v>
      </c>
      <c r="AO121" t="s">
        <v>2461</v>
      </c>
      <c r="AP121" t="s">
        <v>2462</v>
      </c>
      <c r="AQ121" t="s">
        <v>74</v>
      </c>
      <c r="AR121" t="s">
        <v>2463</v>
      </c>
      <c r="AS121" t="s">
        <v>2464</v>
      </c>
      <c r="AT121" t="s">
        <v>505</v>
      </c>
      <c r="AU121">
        <v>2010</v>
      </c>
      <c r="AV121">
        <v>3</v>
      </c>
      <c r="AW121">
        <v>4</v>
      </c>
      <c r="AX121" t="s">
        <v>74</v>
      </c>
      <c r="AY121" t="s">
        <v>74</v>
      </c>
      <c r="AZ121" t="s">
        <v>74</v>
      </c>
      <c r="BA121" t="s">
        <v>74</v>
      </c>
      <c r="BB121">
        <v>252</v>
      </c>
      <c r="BC121">
        <v>256</v>
      </c>
      <c r="BD121" t="s">
        <v>74</v>
      </c>
      <c r="BE121" t="s">
        <v>2465</v>
      </c>
      <c r="BF121" t="str">
        <f>HYPERLINK("http://dx.doi.org/10.1038/NGEO818","http://dx.doi.org/10.1038/NGEO818")</f>
        <v>http://dx.doi.org/10.1038/NGEO818</v>
      </c>
      <c r="BG121" t="s">
        <v>74</v>
      </c>
      <c r="BH121" t="s">
        <v>74</v>
      </c>
      <c r="BI121">
        <v>5</v>
      </c>
      <c r="BJ121" t="s">
        <v>913</v>
      </c>
      <c r="BK121" t="s">
        <v>102</v>
      </c>
      <c r="BL121" t="s">
        <v>914</v>
      </c>
      <c r="BM121" t="s">
        <v>2466</v>
      </c>
      <c r="BN121" t="s">
        <v>74</v>
      </c>
      <c r="BO121" t="s">
        <v>74</v>
      </c>
      <c r="BP121" t="s">
        <v>74</v>
      </c>
      <c r="BQ121" t="s">
        <v>74</v>
      </c>
      <c r="BR121" t="s">
        <v>105</v>
      </c>
      <c r="BS121" t="s">
        <v>2467</v>
      </c>
      <c r="BT121" t="str">
        <f>HYPERLINK("https%3A%2F%2Fwww.webofscience.com%2Fwos%2Fwoscc%2Ffull-record%2FWOS:000276159600015","View Full Record in Web of Science")</f>
        <v>View Full Record in Web of Science</v>
      </c>
    </row>
    <row r="122" spans="1:72" x14ac:dyDescent="0.15">
      <c r="A122" t="s">
        <v>72</v>
      </c>
      <c r="B122" t="s">
        <v>2468</v>
      </c>
      <c r="C122" t="s">
        <v>74</v>
      </c>
      <c r="D122" t="s">
        <v>74</v>
      </c>
      <c r="E122" t="s">
        <v>74</v>
      </c>
      <c r="F122" t="s">
        <v>2469</v>
      </c>
      <c r="G122" t="s">
        <v>74</v>
      </c>
      <c r="H122" t="s">
        <v>74</v>
      </c>
      <c r="I122" t="s">
        <v>2470</v>
      </c>
      <c r="J122" t="s">
        <v>2447</v>
      </c>
      <c r="K122" t="s">
        <v>74</v>
      </c>
      <c r="L122" t="s">
        <v>74</v>
      </c>
      <c r="M122" t="s">
        <v>78</v>
      </c>
      <c r="N122" t="s">
        <v>79</v>
      </c>
      <c r="O122" t="s">
        <v>74</v>
      </c>
      <c r="P122" t="s">
        <v>74</v>
      </c>
      <c r="Q122" t="s">
        <v>74</v>
      </c>
      <c r="R122" t="s">
        <v>74</v>
      </c>
      <c r="S122" t="s">
        <v>74</v>
      </c>
      <c r="T122" t="s">
        <v>74</v>
      </c>
      <c r="U122" t="s">
        <v>2471</v>
      </c>
      <c r="V122" t="s">
        <v>2472</v>
      </c>
      <c r="W122" t="s">
        <v>2473</v>
      </c>
      <c r="X122" t="s">
        <v>2474</v>
      </c>
      <c r="Y122" t="s">
        <v>2475</v>
      </c>
      <c r="Z122" t="s">
        <v>2476</v>
      </c>
      <c r="AA122" t="s">
        <v>2477</v>
      </c>
      <c r="AB122" t="s">
        <v>2478</v>
      </c>
      <c r="AC122" t="s">
        <v>2479</v>
      </c>
      <c r="AD122" t="s">
        <v>2480</v>
      </c>
      <c r="AE122" t="s">
        <v>2481</v>
      </c>
      <c r="AF122" t="s">
        <v>74</v>
      </c>
      <c r="AG122">
        <v>30</v>
      </c>
      <c r="AH122">
        <v>53</v>
      </c>
      <c r="AI122">
        <v>56</v>
      </c>
      <c r="AJ122">
        <v>1</v>
      </c>
      <c r="AK122">
        <v>15</v>
      </c>
      <c r="AL122" t="s">
        <v>2459</v>
      </c>
      <c r="AM122" t="s">
        <v>225</v>
      </c>
      <c r="AN122" t="s">
        <v>2460</v>
      </c>
      <c r="AO122" t="s">
        <v>2461</v>
      </c>
      <c r="AP122" t="s">
        <v>2462</v>
      </c>
      <c r="AQ122" t="s">
        <v>74</v>
      </c>
      <c r="AR122" t="s">
        <v>2463</v>
      </c>
      <c r="AS122" t="s">
        <v>2464</v>
      </c>
      <c r="AT122" t="s">
        <v>505</v>
      </c>
      <c r="AU122">
        <v>2010</v>
      </c>
      <c r="AV122">
        <v>3</v>
      </c>
      <c r="AW122">
        <v>4</v>
      </c>
      <c r="AX122" t="s">
        <v>74</v>
      </c>
      <c r="AY122" t="s">
        <v>74</v>
      </c>
      <c r="AZ122" t="s">
        <v>74</v>
      </c>
      <c r="BA122" t="s">
        <v>74</v>
      </c>
      <c r="BB122">
        <v>257</v>
      </c>
      <c r="BC122">
        <v>261</v>
      </c>
      <c r="BD122" t="s">
        <v>74</v>
      </c>
      <c r="BE122" t="s">
        <v>2482</v>
      </c>
      <c r="BF122" t="str">
        <f>HYPERLINK("http://dx.doi.org/10.1038/NGEO825","http://dx.doi.org/10.1038/NGEO825")</f>
        <v>http://dx.doi.org/10.1038/NGEO825</v>
      </c>
      <c r="BG122" t="s">
        <v>74</v>
      </c>
      <c r="BH122" t="s">
        <v>74</v>
      </c>
      <c r="BI122">
        <v>5</v>
      </c>
      <c r="BJ122" t="s">
        <v>913</v>
      </c>
      <c r="BK122" t="s">
        <v>102</v>
      </c>
      <c r="BL122" t="s">
        <v>914</v>
      </c>
      <c r="BM122" t="s">
        <v>2466</v>
      </c>
      <c r="BN122" t="s">
        <v>74</v>
      </c>
      <c r="BO122" t="s">
        <v>74</v>
      </c>
      <c r="BP122" t="s">
        <v>74</v>
      </c>
      <c r="BQ122" t="s">
        <v>74</v>
      </c>
      <c r="BR122" t="s">
        <v>105</v>
      </c>
      <c r="BS122" t="s">
        <v>2483</v>
      </c>
      <c r="BT122" t="str">
        <f>HYPERLINK("https%3A%2F%2Fwww.webofscience.com%2Fwos%2Fwoscc%2Ffull-record%2FWOS:000276159600016","View Full Record in Web of Science")</f>
        <v>View Full Record in Web of Science</v>
      </c>
    </row>
    <row r="123" spans="1:72" x14ac:dyDescent="0.15">
      <c r="A123" t="s">
        <v>72</v>
      </c>
      <c r="B123" t="s">
        <v>2484</v>
      </c>
      <c r="C123" t="s">
        <v>74</v>
      </c>
      <c r="D123" t="s">
        <v>74</v>
      </c>
      <c r="E123" t="s">
        <v>74</v>
      </c>
      <c r="F123" t="s">
        <v>2485</v>
      </c>
      <c r="G123" t="s">
        <v>74</v>
      </c>
      <c r="H123" t="s">
        <v>74</v>
      </c>
      <c r="I123" t="s">
        <v>2486</v>
      </c>
      <c r="J123" t="s">
        <v>2447</v>
      </c>
      <c r="K123" t="s">
        <v>74</v>
      </c>
      <c r="L123" t="s">
        <v>74</v>
      </c>
      <c r="M123" t="s">
        <v>78</v>
      </c>
      <c r="N123" t="s">
        <v>79</v>
      </c>
      <c r="O123" t="s">
        <v>74</v>
      </c>
      <c r="P123" t="s">
        <v>74</v>
      </c>
      <c r="Q123" t="s">
        <v>74</v>
      </c>
      <c r="R123" t="s">
        <v>74</v>
      </c>
      <c r="S123" t="s">
        <v>74</v>
      </c>
      <c r="T123" t="s">
        <v>74</v>
      </c>
      <c r="U123" t="s">
        <v>2487</v>
      </c>
      <c r="V123" t="s">
        <v>2488</v>
      </c>
      <c r="W123" t="s">
        <v>2489</v>
      </c>
      <c r="X123" t="s">
        <v>2490</v>
      </c>
      <c r="Y123" t="s">
        <v>2491</v>
      </c>
      <c r="Z123" t="s">
        <v>2492</v>
      </c>
      <c r="AA123" t="s">
        <v>2493</v>
      </c>
      <c r="AB123" t="s">
        <v>2494</v>
      </c>
      <c r="AC123" t="s">
        <v>74</v>
      </c>
      <c r="AD123" t="s">
        <v>74</v>
      </c>
      <c r="AE123" t="s">
        <v>74</v>
      </c>
      <c r="AF123" t="s">
        <v>74</v>
      </c>
      <c r="AG123">
        <v>38</v>
      </c>
      <c r="AH123">
        <v>92</v>
      </c>
      <c r="AI123">
        <v>96</v>
      </c>
      <c r="AJ123">
        <v>1</v>
      </c>
      <c r="AK123">
        <v>21</v>
      </c>
      <c r="AL123" t="s">
        <v>2459</v>
      </c>
      <c r="AM123" t="s">
        <v>225</v>
      </c>
      <c r="AN123" t="s">
        <v>2460</v>
      </c>
      <c r="AO123" t="s">
        <v>2461</v>
      </c>
      <c r="AP123" t="s">
        <v>74</v>
      </c>
      <c r="AQ123" t="s">
        <v>74</v>
      </c>
      <c r="AR123" t="s">
        <v>2463</v>
      </c>
      <c r="AS123" t="s">
        <v>2464</v>
      </c>
      <c r="AT123" t="s">
        <v>505</v>
      </c>
      <c r="AU123">
        <v>2010</v>
      </c>
      <c r="AV123">
        <v>3</v>
      </c>
      <c r="AW123">
        <v>4</v>
      </c>
      <c r="AX123" t="s">
        <v>74</v>
      </c>
      <c r="AY123" t="s">
        <v>74</v>
      </c>
      <c r="AZ123" t="s">
        <v>74</v>
      </c>
      <c r="BA123" t="s">
        <v>74</v>
      </c>
      <c r="BB123">
        <v>267</v>
      </c>
      <c r="BC123">
        <v>272</v>
      </c>
      <c r="BD123" t="s">
        <v>74</v>
      </c>
      <c r="BE123" t="s">
        <v>2495</v>
      </c>
      <c r="BF123" t="str">
        <f>HYPERLINK("http://dx.doi.org/10.1038/NGEO761","http://dx.doi.org/10.1038/NGEO761")</f>
        <v>http://dx.doi.org/10.1038/NGEO761</v>
      </c>
      <c r="BG123" t="s">
        <v>74</v>
      </c>
      <c r="BH123" t="s">
        <v>74</v>
      </c>
      <c r="BI123">
        <v>6</v>
      </c>
      <c r="BJ123" t="s">
        <v>913</v>
      </c>
      <c r="BK123" t="s">
        <v>102</v>
      </c>
      <c r="BL123" t="s">
        <v>914</v>
      </c>
      <c r="BM123" t="s">
        <v>2466</v>
      </c>
      <c r="BN123" t="s">
        <v>74</v>
      </c>
      <c r="BO123" t="s">
        <v>74</v>
      </c>
      <c r="BP123" t="s">
        <v>74</v>
      </c>
      <c r="BQ123" t="s">
        <v>74</v>
      </c>
      <c r="BR123" t="s">
        <v>105</v>
      </c>
      <c r="BS123" t="s">
        <v>2496</v>
      </c>
      <c r="BT123" t="str">
        <f>HYPERLINK("https%3A%2F%2Fwww.webofscience.com%2Fwos%2Fwoscc%2Ffull-record%2FWOS:000276159600018","View Full Record in Web of Science")</f>
        <v>View Full Record in Web of Science</v>
      </c>
    </row>
    <row r="124" spans="1:72" x14ac:dyDescent="0.15">
      <c r="A124" t="s">
        <v>72</v>
      </c>
      <c r="B124" t="s">
        <v>2497</v>
      </c>
      <c r="C124" t="s">
        <v>74</v>
      </c>
      <c r="D124" t="s">
        <v>74</v>
      </c>
      <c r="E124" t="s">
        <v>74</v>
      </c>
      <c r="F124" t="s">
        <v>2498</v>
      </c>
      <c r="G124" t="s">
        <v>74</v>
      </c>
      <c r="H124" t="s">
        <v>74</v>
      </c>
      <c r="I124" t="s">
        <v>2499</v>
      </c>
      <c r="J124" t="s">
        <v>2447</v>
      </c>
      <c r="K124" t="s">
        <v>74</v>
      </c>
      <c r="L124" t="s">
        <v>74</v>
      </c>
      <c r="M124" t="s">
        <v>78</v>
      </c>
      <c r="N124" t="s">
        <v>79</v>
      </c>
      <c r="O124" t="s">
        <v>74</v>
      </c>
      <c r="P124" t="s">
        <v>74</v>
      </c>
      <c r="Q124" t="s">
        <v>74</v>
      </c>
      <c r="R124" t="s">
        <v>74</v>
      </c>
      <c r="S124" t="s">
        <v>74</v>
      </c>
      <c r="T124" t="s">
        <v>74</v>
      </c>
      <c r="U124" t="s">
        <v>2500</v>
      </c>
      <c r="V124" t="s">
        <v>2501</v>
      </c>
      <c r="W124" t="s">
        <v>2502</v>
      </c>
      <c r="X124" t="s">
        <v>2503</v>
      </c>
      <c r="Y124" t="s">
        <v>2504</v>
      </c>
      <c r="Z124" t="s">
        <v>2505</v>
      </c>
      <c r="AA124" t="s">
        <v>2506</v>
      </c>
      <c r="AB124" t="s">
        <v>2507</v>
      </c>
      <c r="AC124" t="s">
        <v>2508</v>
      </c>
      <c r="AD124" t="s">
        <v>2509</v>
      </c>
      <c r="AE124" t="s">
        <v>2510</v>
      </c>
      <c r="AF124" t="s">
        <v>74</v>
      </c>
      <c r="AG124">
        <v>37</v>
      </c>
      <c r="AH124">
        <v>195</v>
      </c>
      <c r="AI124">
        <v>216</v>
      </c>
      <c r="AJ124">
        <v>1</v>
      </c>
      <c r="AK124">
        <v>70</v>
      </c>
      <c r="AL124" t="s">
        <v>2459</v>
      </c>
      <c r="AM124" t="s">
        <v>225</v>
      </c>
      <c r="AN124" t="s">
        <v>2460</v>
      </c>
      <c r="AO124" t="s">
        <v>2461</v>
      </c>
      <c r="AP124" t="s">
        <v>2462</v>
      </c>
      <c r="AQ124" t="s">
        <v>74</v>
      </c>
      <c r="AR124" t="s">
        <v>2463</v>
      </c>
      <c r="AS124" t="s">
        <v>2464</v>
      </c>
      <c r="AT124" t="s">
        <v>505</v>
      </c>
      <c r="AU124">
        <v>2010</v>
      </c>
      <c r="AV124">
        <v>3</v>
      </c>
      <c r="AW124">
        <v>4</v>
      </c>
      <c r="AX124" t="s">
        <v>74</v>
      </c>
      <c r="AY124" t="s">
        <v>74</v>
      </c>
      <c r="AZ124" t="s">
        <v>74</v>
      </c>
      <c r="BA124" t="s">
        <v>74</v>
      </c>
      <c r="BB124">
        <v>273</v>
      </c>
      <c r="BC124">
        <v>279</v>
      </c>
      <c r="BD124" t="s">
        <v>74</v>
      </c>
      <c r="BE124" t="s">
        <v>2511</v>
      </c>
      <c r="BF124" t="str">
        <f>HYPERLINK("http://dx.doi.org/10.1038/NGEO812","http://dx.doi.org/10.1038/NGEO812")</f>
        <v>http://dx.doi.org/10.1038/NGEO812</v>
      </c>
      <c r="BG124" t="s">
        <v>74</v>
      </c>
      <c r="BH124" t="s">
        <v>74</v>
      </c>
      <c r="BI124">
        <v>7</v>
      </c>
      <c r="BJ124" t="s">
        <v>913</v>
      </c>
      <c r="BK124" t="s">
        <v>102</v>
      </c>
      <c r="BL124" t="s">
        <v>914</v>
      </c>
      <c r="BM124" t="s">
        <v>2466</v>
      </c>
      <c r="BN124" t="s">
        <v>74</v>
      </c>
      <c r="BO124" t="s">
        <v>74</v>
      </c>
      <c r="BP124" t="s">
        <v>74</v>
      </c>
      <c r="BQ124" t="s">
        <v>74</v>
      </c>
      <c r="BR124" t="s">
        <v>105</v>
      </c>
      <c r="BS124" t="s">
        <v>2512</v>
      </c>
      <c r="BT124" t="str">
        <f>HYPERLINK("https%3A%2F%2Fwww.webofscience.com%2Fwos%2Fwoscc%2Ffull-record%2FWOS:000276159600019","View Full Record in Web of Science")</f>
        <v>View Full Record in Web of Science</v>
      </c>
    </row>
    <row r="125" spans="1:72" x14ac:dyDescent="0.15">
      <c r="A125" t="s">
        <v>72</v>
      </c>
      <c r="B125" t="s">
        <v>2513</v>
      </c>
      <c r="C125" t="s">
        <v>74</v>
      </c>
      <c r="D125" t="s">
        <v>74</v>
      </c>
      <c r="E125" t="s">
        <v>74</v>
      </c>
      <c r="F125" t="s">
        <v>2514</v>
      </c>
      <c r="G125" t="s">
        <v>74</v>
      </c>
      <c r="H125" t="s">
        <v>74</v>
      </c>
      <c r="I125" t="s">
        <v>2515</v>
      </c>
      <c r="J125" t="s">
        <v>2516</v>
      </c>
      <c r="K125" t="s">
        <v>74</v>
      </c>
      <c r="L125" t="s">
        <v>74</v>
      </c>
      <c r="M125" t="s">
        <v>78</v>
      </c>
      <c r="N125" t="s">
        <v>111</v>
      </c>
      <c r="O125" t="s">
        <v>2517</v>
      </c>
      <c r="P125" t="s">
        <v>2518</v>
      </c>
      <c r="Q125" t="s">
        <v>2519</v>
      </c>
      <c r="R125" t="s">
        <v>74</v>
      </c>
      <c r="S125" t="s">
        <v>74</v>
      </c>
      <c r="T125" t="s">
        <v>2520</v>
      </c>
      <c r="U125" t="s">
        <v>74</v>
      </c>
      <c r="V125" t="s">
        <v>2521</v>
      </c>
      <c r="W125" t="s">
        <v>2522</v>
      </c>
      <c r="X125" t="s">
        <v>2523</v>
      </c>
      <c r="Y125" t="s">
        <v>2524</v>
      </c>
      <c r="Z125" t="s">
        <v>2525</v>
      </c>
      <c r="AA125" t="s">
        <v>2526</v>
      </c>
      <c r="AB125" t="s">
        <v>2527</v>
      </c>
      <c r="AC125" t="s">
        <v>74</v>
      </c>
      <c r="AD125" t="s">
        <v>74</v>
      </c>
      <c r="AE125" t="s">
        <v>74</v>
      </c>
      <c r="AF125" t="s">
        <v>74</v>
      </c>
      <c r="AG125">
        <v>7</v>
      </c>
      <c r="AH125">
        <v>10</v>
      </c>
      <c r="AI125">
        <v>11</v>
      </c>
      <c r="AJ125">
        <v>0</v>
      </c>
      <c r="AK125">
        <v>11</v>
      </c>
      <c r="AL125" t="s">
        <v>173</v>
      </c>
      <c r="AM125" t="s">
        <v>145</v>
      </c>
      <c r="AN125" t="s">
        <v>174</v>
      </c>
      <c r="AO125" t="s">
        <v>2528</v>
      </c>
      <c r="AP125" t="s">
        <v>74</v>
      </c>
      <c r="AQ125" t="s">
        <v>74</v>
      </c>
      <c r="AR125" t="s">
        <v>2529</v>
      </c>
      <c r="AS125" t="s">
        <v>2530</v>
      </c>
      <c r="AT125" t="s">
        <v>505</v>
      </c>
      <c r="AU125">
        <v>2010</v>
      </c>
      <c r="AV125">
        <v>268</v>
      </c>
      <c r="AW125" t="s">
        <v>1102</v>
      </c>
      <c r="AX125" t="s">
        <v>74</v>
      </c>
      <c r="AY125" t="s">
        <v>74</v>
      </c>
      <c r="AZ125" t="s">
        <v>74</v>
      </c>
      <c r="BA125" t="s">
        <v>74</v>
      </c>
      <c r="BB125">
        <v>739</v>
      </c>
      <c r="BC125">
        <v>743</v>
      </c>
      <c r="BD125" t="s">
        <v>74</v>
      </c>
      <c r="BE125" t="s">
        <v>2531</v>
      </c>
      <c r="BF125" t="str">
        <f>HYPERLINK("http://dx.doi.org/10.1016/j.nimb.2009.10.019","http://dx.doi.org/10.1016/j.nimb.2009.10.019")</f>
        <v>http://dx.doi.org/10.1016/j.nimb.2009.10.019</v>
      </c>
      <c r="BG125" t="s">
        <v>74</v>
      </c>
      <c r="BH125" t="s">
        <v>74</v>
      </c>
      <c r="BI125">
        <v>5</v>
      </c>
      <c r="BJ125" t="s">
        <v>2532</v>
      </c>
      <c r="BK125" t="s">
        <v>128</v>
      </c>
      <c r="BL125" t="s">
        <v>2533</v>
      </c>
      <c r="BM125" t="s">
        <v>2534</v>
      </c>
      <c r="BN125" t="s">
        <v>74</v>
      </c>
      <c r="BO125" t="s">
        <v>74</v>
      </c>
      <c r="BP125" t="s">
        <v>74</v>
      </c>
      <c r="BQ125" t="s">
        <v>74</v>
      </c>
      <c r="BR125" t="s">
        <v>105</v>
      </c>
      <c r="BS125" t="s">
        <v>2535</v>
      </c>
      <c r="BT125" t="str">
        <f>HYPERLINK("https%3A%2F%2Fwww.webofscience.com%2Fwos%2Fwoscc%2Ffull-record%2FWOS:000277462300015","View Full Record in Web of Science")</f>
        <v>View Full Record in Web of Science</v>
      </c>
    </row>
    <row r="126" spans="1:72" x14ac:dyDescent="0.15">
      <c r="A126" t="s">
        <v>72</v>
      </c>
      <c r="B126" t="s">
        <v>2536</v>
      </c>
      <c r="C126" t="s">
        <v>74</v>
      </c>
      <c r="D126" t="s">
        <v>74</v>
      </c>
      <c r="E126" t="s">
        <v>74</v>
      </c>
      <c r="F126" t="s">
        <v>2537</v>
      </c>
      <c r="G126" t="s">
        <v>74</v>
      </c>
      <c r="H126" t="s">
        <v>74</v>
      </c>
      <c r="I126" t="s">
        <v>2538</v>
      </c>
      <c r="J126" t="s">
        <v>2516</v>
      </c>
      <c r="K126" t="s">
        <v>74</v>
      </c>
      <c r="L126" t="s">
        <v>74</v>
      </c>
      <c r="M126" t="s">
        <v>78</v>
      </c>
      <c r="N126" t="s">
        <v>111</v>
      </c>
      <c r="O126" t="s">
        <v>2517</v>
      </c>
      <c r="P126" t="s">
        <v>2518</v>
      </c>
      <c r="Q126" t="s">
        <v>2519</v>
      </c>
      <c r="R126" t="s">
        <v>74</v>
      </c>
      <c r="S126" t="s">
        <v>74</v>
      </c>
      <c r="T126" t="s">
        <v>2539</v>
      </c>
      <c r="U126" t="s">
        <v>74</v>
      </c>
      <c r="V126" t="s">
        <v>2540</v>
      </c>
      <c r="W126" t="s">
        <v>2541</v>
      </c>
      <c r="X126" t="s">
        <v>2542</v>
      </c>
      <c r="Y126" t="s">
        <v>2543</v>
      </c>
      <c r="Z126" t="s">
        <v>2544</v>
      </c>
      <c r="AA126" t="s">
        <v>2545</v>
      </c>
      <c r="AB126" t="s">
        <v>2546</v>
      </c>
      <c r="AC126" t="s">
        <v>74</v>
      </c>
      <c r="AD126" t="s">
        <v>74</v>
      </c>
      <c r="AE126" t="s">
        <v>74</v>
      </c>
      <c r="AF126" t="s">
        <v>74</v>
      </c>
      <c r="AG126">
        <v>6</v>
      </c>
      <c r="AH126">
        <v>7</v>
      </c>
      <c r="AI126">
        <v>7</v>
      </c>
      <c r="AJ126">
        <v>0</v>
      </c>
      <c r="AK126">
        <v>6</v>
      </c>
      <c r="AL126" t="s">
        <v>173</v>
      </c>
      <c r="AM126" t="s">
        <v>145</v>
      </c>
      <c r="AN126" t="s">
        <v>174</v>
      </c>
      <c r="AO126" t="s">
        <v>2528</v>
      </c>
      <c r="AP126" t="s">
        <v>74</v>
      </c>
      <c r="AQ126" t="s">
        <v>74</v>
      </c>
      <c r="AR126" t="s">
        <v>2529</v>
      </c>
      <c r="AS126" t="s">
        <v>2530</v>
      </c>
      <c r="AT126" t="s">
        <v>505</v>
      </c>
      <c r="AU126">
        <v>2010</v>
      </c>
      <c r="AV126">
        <v>268</v>
      </c>
      <c r="AW126" t="s">
        <v>1102</v>
      </c>
      <c r="AX126" t="s">
        <v>74</v>
      </c>
      <c r="AY126" t="s">
        <v>74</v>
      </c>
      <c r="AZ126" t="s">
        <v>74</v>
      </c>
      <c r="BA126" t="s">
        <v>74</v>
      </c>
      <c r="BB126">
        <v>1058</v>
      </c>
      <c r="BC126">
        <v>1061</v>
      </c>
      <c r="BD126" t="s">
        <v>74</v>
      </c>
      <c r="BE126" t="s">
        <v>2547</v>
      </c>
      <c r="BF126" t="str">
        <f>HYPERLINK("http://dx.doi.org/10.1016/j.nimb.2009.10.097","http://dx.doi.org/10.1016/j.nimb.2009.10.097")</f>
        <v>http://dx.doi.org/10.1016/j.nimb.2009.10.097</v>
      </c>
      <c r="BG126" t="s">
        <v>74</v>
      </c>
      <c r="BH126" t="s">
        <v>74</v>
      </c>
      <c r="BI126">
        <v>4</v>
      </c>
      <c r="BJ126" t="s">
        <v>2532</v>
      </c>
      <c r="BK126" t="s">
        <v>128</v>
      </c>
      <c r="BL126" t="s">
        <v>2533</v>
      </c>
      <c r="BM126" t="s">
        <v>2534</v>
      </c>
      <c r="BN126" t="s">
        <v>74</v>
      </c>
      <c r="BO126" t="s">
        <v>74</v>
      </c>
      <c r="BP126" t="s">
        <v>74</v>
      </c>
      <c r="BQ126" t="s">
        <v>74</v>
      </c>
      <c r="BR126" t="s">
        <v>105</v>
      </c>
      <c r="BS126" t="s">
        <v>2548</v>
      </c>
      <c r="BT126" t="str">
        <f>HYPERLINK("https%3A%2F%2Fwww.webofscience.com%2Fwos%2Fwoscc%2Ffull-record%2FWOS:000277462300092","View Full Record in Web of Science")</f>
        <v>View Full Record in Web of Science</v>
      </c>
    </row>
    <row r="127" spans="1:72" x14ac:dyDescent="0.15">
      <c r="A127" t="s">
        <v>72</v>
      </c>
      <c r="B127" t="s">
        <v>2549</v>
      </c>
      <c r="C127" t="s">
        <v>74</v>
      </c>
      <c r="D127" t="s">
        <v>74</v>
      </c>
      <c r="E127" t="s">
        <v>74</v>
      </c>
      <c r="F127" t="s">
        <v>2550</v>
      </c>
      <c r="G127" t="s">
        <v>74</v>
      </c>
      <c r="H127" t="s">
        <v>74</v>
      </c>
      <c r="I127" t="s">
        <v>2551</v>
      </c>
      <c r="J127" t="s">
        <v>2552</v>
      </c>
      <c r="K127" t="s">
        <v>74</v>
      </c>
      <c r="L127" t="s">
        <v>74</v>
      </c>
      <c r="M127" t="s">
        <v>78</v>
      </c>
      <c r="N127" t="s">
        <v>79</v>
      </c>
      <c r="O127" t="s">
        <v>74</v>
      </c>
      <c r="P127" t="s">
        <v>74</v>
      </c>
      <c r="Q127" t="s">
        <v>74</v>
      </c>
      <c r="R127" t="s">
        <v>74</v>
      </c>
      <c r="S127" t="s">
        <v>74</v>
      </c>
      <c r="T127" t="s">
        <v>74</v>
      </c>
      <c r="U127" t="s">
        <v>2553</v>
      </c>
      <c r="V127" t="s">
        <v>2554</v>
      </c>
      <c r="W127" t="s">
        <v>2555</v>
      </c>
      <c r="X127" t="s">
        <v>2556</v>
      </c>
      <c r="Y127" t="s">
        <v>2557</v>
      </c>
      <c r="Z127" t="s">
        <v>2558</v>
      </c>
      <c r="AA127" t="s">
        <v>2559</v>
      </c>
      <c r="AB127" t="s">
        <v>2560</v>
      </c>
      <c r="AC127" t="s">
        <v>74</v>
      </c>
      <c r="AD127" t="s">
        <v>74</v>
      </c>
      <c r="AE127" t="s">
        <v>74</v>
      </c>
      <c r="AF127" t="s">
        <v>74</v>
      </c>
      <c r="AG127">
        <v>42</v>
      </c>
      <c r="AH127">
        <v>2</v>
      </c>
      <c r="AI127">
        <v>2</v>
      </c>
      <c r="AJ127">
        <v>1</v>
      </c>
      <c r="AK127">
        <v>9</v>
      </c>
      <c r="AL127" t="s">
        <v>2561</v>
      </c>
      <c r="AM127" t="s">
        <v>2562</v>
      </c>
      <c r="AN127" t="s">
        <v>2563</v>
      </c>
      <c r="AO127" t="s">
        <v>2564</v>
      </c>
      <c r="AP127" t="s">
        <v>2565</v>
      </c>
      <c r="AQ127" t="s">
        <v>74</v>
      </c>
      <c r="AR127" t="s">
        <v>2566</v>
      </c>
      <c r="AS127" t="s">
        <v>2566</v>
      </c>
      <c r="AT127" t="s">
        <v>505</v>
      </c>
      <c r="AU127">
        <v>2010</v>
      </c>
      <c r="AV127">
        <v>14</v>
      </c>
      <c r="AW127">
        <v>2</v>
      </c>
      <c r="AX127" t="s">
        <v>74</v>
      </c>
      <c r="AY127" t="s">
        <v>74</v>
      </c>
      <c r="AZ127" t="s">
        <v>74</v>
      </c>
      <c r="BA127" t="s">
        <v>74</v>
      </c>
      <c r="BB127">
        <v>187</v>
      </c>
      <c r="BC127">
        <v>200</v>
      </c>
      <c r="BD127" t="s">
        <v>74</v>
      </c>
      <c r="BE127" t="s">
        <v>2567</v>
      </c>
      <c r="BF127" t="str">
        <f>HYPERLINK("http://dx.doi.org/10.1089/omi.2009.0098","http://dx.doi.org/10.1089/omi.2009.0098")</f>
        <v>http://dx.doi.org/10.1089/omi.2009.0098</v>
      </c>
      <c r="BG127" t="s">
        <v>74</v>
      </c>
      <c r="BH127" t="s">
        <v>74</v>
      </c>
      <c r="BI127">
        <v>14</v>
      </c>
      <c r="BJ127" t="s">
        <v>2568</v>
      </c>
      <c r="BK127" t="s">
        <v>102</v>
      </c>
      <c r="BL127" t="s">
        <v>2568</v>
      </c>
      <c r="BM127" t="s">
        <v>2569</v>
      </c>
      <c r="BN127">
        <v>20210659</v>
      </c>
      <c r="BO127" t="s">
        <v>74</v>
      </c>
      <c r="BP127" t="s">
        <v>74</v>
      </c>
      <c r="BQ127" t="s">
        <v>74</v>
      </c>
      <c r="BR127" t="s">
        <v>105</v>
      </c>
      <c r="BS127" t="s">
        <v>2570</v>
      </c>
      <c r="BT127" t="str">
        <f>HYPERLINK("https%3A%2F%2Fwww.webofscience.com%2Fwos%2Fwoscc%2Ffull-record%2FWOS:000276507500007","View Full Record in Web of Science")</f>
        <v>View Full Record in Web of Science</v>
      </c>
    </row>
    <row r="128" spans="1:72" x14ac:dyDescent="0.15">
      <c r="A128" t="s">
        <v>72</v>
      </c>
      <c r="B128" t="s">
        <v>2571</v>
      </c>
      <c r="C128" t="s">
        <v>74</v>
      </c>
      <c r="D128" t="s">
        <v>74</v>
      </c>
      <c r="E128" t="s">
        <v>74</v>
      </c>
      <c r="F128" t="s">
        <v>2572</v>
      </c>
      <c r="G128" t="s">
        <v>74</v>
      </c>
      <c r="H128" t="s">
        <v>74</v>
      </c>
      <c r="I128" t="s">
        <v>2573</v>
      </c>
      <c r="J128" t="s">
        <v>2574</v>
      </c>
      <c r="K128" t="s">
        <v>74</v>
      </c>
      <c r="L128" t="s">
        <v>74</v>
      </c>
      <c r="M128" t="s">
        <v>78</v>
      </c>
      <c r="N128" t="s">
        <v>79</v>
      </c>
      <c r="O128" t="s">
        <v>74</v>
      </c>
      <c r="P128" t="s">
        <v>74</v>
      </c>
      <c r="Q128" t="s">
        <v>74</v>
      </c>
      <c r="R128" t="s">
        <v>74</v>
      </c>
      <c r="S128" t="s">
        <v>74</v>
      </c>
      <c r="T128" t="s">
        <v>74</v>
      </c>
      <c r="U128" t="s">
        <v>2575</v>
      </c>
      <c r="V128" t="s">
        <v>2576</v>
      </c>
      <c r="W128" t="s">
        <v>2577</v>
      </c>
      <c r="X128" t="s">
        <v>2578</v>
      </c>
      <c r="Y128" t="s">
        <v>2579</v>
      </c>
      <c r="Z128" t="s">
        <v>74</v>
      </c>
      <c r="AA128" t="s">
        <v>74</v>
      </c>
      <c r="AB128" t="s">
        <v>74</v>
      </c>
      <c r="AC128" t="s">
        <v>2580</v>
      </c>
      <c r="AD128" t="s">
        <v>2581</v>
      </c>
      <c r="AE128" t="s">
        <v>2582</v>
      </c>
      <c r="AF128" t="s">
        <v>74</v>
      </c>
      <c r="AG128">
        <v>42</v>
      </c>
      <c r="AH128">
        <v>1</v>
      </c>
      <c r="AI128">
        <v>1</v>
      </c>
      <c r="AJ128">
        <v>0</v>
      </c>
      <c r="AK128">
        <v>6</v>
      </c>
      <c r="AL128" t="s">
        <v>1063</v>
      </c>
      <c r="AM128" t="s">
        <v>1064</v>
      </c>
      <c r="AN128" t="s">
        <v>1065</v>
      </c>
      <c r="AO128" t="s">
        <v>2583</v>
      </c>
      <c r="AP128" t="s">
        <v>74</v>
      </c>
      <c r="AQ128" t="s">
        <v>74</v>
      </c>
      <c r="AR128" t="s">
        <v>2584</v>
      </c>
      <c r="AS128" t="s">
        <v>2585</v>
      </c>
      <c r="AT128" t="s">
        <v>505</v>
      </c>
      <c r="AU128">
        <v>2010</v>
      </c>
      <c r="AV128">
        <v>41</v>
      </c>
      <c r="AW128">
        <v>4</v>
      </c>
      <c r="AX128" t="s">
        <v>74</v>
      </c>
      <c r="AY128" t="s">
        <v>74</v>
      </c>
      <c r="AZ128" t="s">
        <v>74</v>
      </c>
      <c r="BA128" t="s">
        <v>74</v>
      </c>
      <c r="BB128">
        <v>363</v>
      </c>
      <c r="BC128">
        <v>369</v>
      </c>
      <c r="BD128" t="s">
        <v>74</v>
      </c>
      <c r="BE128" t="s">
        <v>2586</v>
      </c>
      <c r="BF128" t="str">
        <f>HYPERLINK("http://dx.doi.org/10.1016/j.orggeochem.2009.12.006","http://dx.doi.org/10.1016/j.orggeochem.2009.12.006")</f>
        <v>http://dx.doi.org/10.1016/j.orggeochem.2009.12.006</v>
      </c>
      <c r="BG128" t="s">
        <v>74</v>
      </c>
      <c r="BH128" t="s">
        <v>74</v>
      </c>
      <c r="BI128">
        <v>7</v>
      </c>
      <c r="BJ128" t="s">
        <v>507</v>
      </c>
      <c r="BK128" t="s">
        <v>102</v>
      </c>
      <c r="BL128" t="s">
        <v>507</v>
      </c>
      <c r="BM128" t="s">
        <v>2587</v>
      </c>
      <c r="BN128" t="s">
        <v>74</v>
      </c>
      <c r="BO128" t="s">
        <v>74</v>
      </c>
      <c r="BP128" t="s">
        <v>74</v>
      </c>
      <c r="BQ128" t="s">
        <v>74</v>
      </c>
      <c r="BR128" t="s">
        <v>105</v>
      </c>
      <c r="BS128" t="s">
        <v>2588</v>
      </c>
      <c r="BT128" t="str">
        <f>HYPERLINK("https%3A%2F%2Fwww.webofscience.com%2Fwos%2Fwoscc%2Ffull-record%2FWOS:000276155500004","View Full Record in Web of Science")</f>
        <v>View Full Record in Web of Science</v>
      </c>
    </row>
    <row r="129" spans="1:72" x14ac:dyDescent="0.15">
      <c r="A129" t="s">
        <v>72</v>
      </c>
      <c r="B129" t="s">
        <v>2589</v>
      </c>
      <c r="C129" t="s">
        <v>74</v>
      </c>
      <c r="D129" t="s">
        <v>74</v>
      </c>
      <c r="E129" t="s">
        <v>74</v>
      </c>
      <c r="F129" t="s">
        <v>2590</v>
      </c>
      <c r="G129" t="s">
        <v>74</v>
      </c>
      <c r="H129" t="s">
        <v>74</v>
      </c>
      <c r="I129" t="s">
        <v>2591</v>
      </c>
      <c r="J129" t="s">
        <v>2574</v>
      </c>
      <c r="K129" t="s">
        <v>74</v>
      </c>
      <c r="L129" t="s">
        <v>74</v>
      </c>
      <c r="M129" t="s">
        <v>78</v>
      </c>
      <c r="N129" t="s">
        <v>79</v>
      </c>
      <c r="O129" t="s">
        <v>74</v>
      </c>
      <c r="P129" t="s">
        <v>74</v>
      </c>
      <c r="Q129" t="s">
        <v>74</v>
      </c>
      <c r="R129" t="s">
        <v>74</v>
      </c>
      <c r="S129" t="s">
        <v>74</v>
      </c>
      <c r="T129" t="s">
        <v>74</v>
      </c>
      <c r="U129" t="s">
        <v>2592</v>
      </c>
      <c r="V129" t="s">
        <v>2593</v>
      </c>
      <c r="W129" t="s">
        <v>2594</v>
      </c>
      <c r="X129" t="s">
        <v>2595</v>
      </c>
      <c r="Y129" t="s">
        <v>2596</v>
      </c>
      <c r="Z129" t="s">
        <v>74</v>
      </c>
      <c r="AA129" t="s">
        <v>2597</v>
      </c>
      <c r="AB129" t="s">
        <v>2598</v>
      </c>
      <c r="AC129" t="s">
        <v>2599</v>
      </c>
      <c r="AD129" t="s">
        <v>2600</v>
      </c>
      <c r="AE129" t="s">
        <v>2601</v>
      </c>
      <c r="AF129" t="s">
        <v>74</v>
      </c>
      <c r="AG129">
        <v>85</v>
      </c>
      <c r="AH129">
        <v>29</v>
      </c>
      <c r="AI129">
        <v>33</v>
      </c>
      <c r="AJ129">
        <v>0</v>
      </c>
      <c r="AK129">
        <v>28</v>
      </c>
      <c r="AL129" t="s">
        <v>1063</v>
      </c>
      <c r="AM129" t="s">
        <v>1064</v>
      </c>
      <c r="AN129" t="s">
        <v>1065</v>
      </c>
      <c r="AO129" t="s">
        <v>2583</v>
      </c>
      <c r="AP129" t="s">
        <v>2602</v>
      </c>
      <c r="AQ129" t="s">
        <v>74</v>
      </c>
      <c r="AR129" t="s">
        <v>2584</v>
      </c>
      <c r="AS129" t="s">
        <v>2585</v>
      </c>
      <c r="AT129" t="s">
        <v>505</v>
      </c>
      <c r="AU129">
        <v>2010</v>
      </c>
      <c r="AV129">
        <v>41</v>
      </c>
      <c r="AW129">
        <v>4</v>
      </c>
      <c r="AX129" t="s">
        <v>74</v>
      </c>
      <c r="AY129" t="s">
        <v>74</v>
      </c>
      <c r="AZ129" t="s">
        <v>74</v>
      </c>
      <c r="BA129" t="s">
        <v>74</v>
      </c>
      <c r="BB129">
        <v>386</v>
      </c>
      <c r="BC129">
        <v>397</v>
      </c>
      <c r="BD129" t="s">
        <v>74</v>
      </c>
      <c r="BE129" t="s">
        <v>2603</v>
      </c>
      <c r="BF129" t="str">
        <f>HYPERLINK("http://dx.doi.org/10.1016/j.orggeochem.2009.12.004","http://dx.doi.org/10.1016/j.orggeochem.2009.12.004")</f>
        <v>http://dx.doi.org/10.1016/j.orggeochem.2009.12.004</v>
      </c>
      <c r="BG129" t="s">
        <v>74</v>
      </c>
      <c r="BH129" t="s">
        <v>74</v>
      </c>
      <c r="BI129">
        <v>12</v>
      </c>
      <c r="BJ129" t="s">
        <v>507</v>
      </c>
      <c r="BK129" t="s">
        <v>102</v>
      </c>
      <c r="BL129" t="s">
        <v>507</v>
      </c>
      <c r="BM129" t="s">
        <v>2587</v>
      </c>
      <c r="BN129" t="s">
        <v>74</v>
      </c>
      <c r="BO129" t="s">
        <v>74</v>
      </c>
      <c r="BP129" t="s">
        <v>74</v>
      </c>
      <c r="BQ129" t="s">
        <v>74</v>
      </c>
      <c r="BR129" t="s">
        <v>105</v>
      </c>
      <c r="BS129" t="s">
        <v>2604</v>
      </c>
      <c r="BT129" t="str">
        <f>HYPERLINK("https%3A%2F%2Fwww.webofscience.com%2Fwos%2Fwoscc%2Ffull-record%2FWOS:000276155500006","View Full Record in Web of Science")</f>
        <v>View Full Record in Web of Science</v>
      </c>
    </row>
    <row r="130" spans="1:72" x14ac:dyDescent="0.15">
      <c r="A130" t="s">
        <v>72</v>
      </c>
      <c r="B130" t="s">
        <v>2605</v>
      </c>
      <c r="C130" t="s">
        <v>74</v>
      </c>
      <c r="D130" t="s">
        <v>74</v>
      </c>
      <c r="E130" t="s">
        <v>74</v>
      </c>
      <c r="F130" t="s">
        <v>2606</v>
      </c>
      <c r="G130" t="s">
        <v>74</v>
      </c>
      <c r="H130" t="s">
        <v>74</v>
      </c>
      <c r="I130" t="s">
        <v>2607</v>
      </c>
      <c r="J130" t="s">
        <v>2608</v>
      </c>
      <c r="K130" t="s">
        <v>74</v>
      </c>
      <c r="L130" t="s">
        <v>74</v>
      </c>
      <c r="M130" t="s">
        <v>78</v>
      </c>
      <c r="N130" t="s">
        <v>79</v>
      </c>
      <c r="O130" t="s">
        <v>74</v>
      </c>
      <c r="P130" t="s">
        <v>74</v>
      </c>
      <c r="Q130" t="s">
        <v>74</v>
      </c>
      <c r="R130" t="s">
        <v>74</v>
      </c>
      <c r="S130" t="s">
        <v>74</v>
      </c>
      <c r="T130" t="s">
        <v>2609</v>
      </c>
      <c r="U130" t="s">
        <v>2610</v>
      </c>
      <c r="V130" t="s">
        <v>2611</v>
      </c>
      <c r="W130" t="s">
        <v>2612</v>
      </c>
      <c r="X130" t="s">
        <v>2613</v>
      </c>
      <c r="Y130" t="s">
        <v>2614</v>
      </c>
      <c r="Z130" t="s">
        <v>2615</v>
      </c>
      <c r="AA130" t="s">
        <v>2616</v>
      </c>
      <c r="AB130" t="s">
        <v>2617</v>
      </c>
      <c r="AC130" t="s">
        <v>2618</v>
      </c>
      <c r="AD130" t="s">
        <v>2619</v>
      </c>
      <c r="AE130" t="s">
        <v>2620</v>
      </c>
      <c r="AF130" t="s">
        <v>74</v>
      </c>
      <c r="AG130">
        <v>45</v>
      </c>
      <c r="AH130">
        <v>154</v>
      </c>
      <c r="AI130">
        <v>166</v>
      </c>
      <c r="AJ130">
        <v>0</v>
      </c>
      <c r="AK130">
        <v>42</v>
      </c>
      <c r="AL130" t="s">
        <v>991</v>
      </c>
      <c r="AM130" t="s">
        <v>992</v>
      </c>
      <c r="AN130" t="s">
        <v>993</v>
      </c>
      <c r="AO130" t="s">
        <v>2621</v>
      </c>
      <c r="AP130" t="s">
        <v>2622</v>
      </c>
      <c r="AQ130" t="s">
        <v>74</v>
      </c>
      <c r="AR130" t="s">
        <v>2623</v>
      </c>
      <c r="AS130" t="s">
        <v>2624</v>
      </c>
      <c r="AT130" t="s">
        <v>2625</v>
      </c>
      <c r="AU130">
        <v>2010</v>
      </c>
      <c r="AV130">
        <v>21</v>
      </c>
      <c r="AW130">
        <v>2</v>
      </c>
      <c r="AX130" t="s">
        <v>74</v>
      </c>
      <c r="AY130" t="s">
        <v>74</v>
      </c>
      <c r="AZ130" t="s">
        <v>152</v>
      </c>
      <c r="BA130" t="s">
        <v>74</v>
      </c>
      <c r="BB130">
        <v>182</v>
      </c>
      <c r="BC130">
        <v>197</v>
      </c>
      <c r="BD130" t="s">
        <v>74</v>
      </c>
      <c r="BE130" t="s">
        <v>2626</v>
      </c>
      <c r="BF130" t="str">
        <f>HYPERLINK("http://dx.doi.org/10.1002/ppp.685","http://dx.doi.org/10.1002/ppp.685")</f>
        <v>http://dx.doi.org/10.1002/ppp.685</v>
      </c>
      <c r="BG130" t="s">
        <v>74</v>
      </c>
      <c r="BH130" t="s">
        <v>74</v>
      </c>
      <c r="BI130">
        <v>16</v>
      </c>
      <c r="BJ130" t="s">
        <v>2627</v>
      </c>
      <c r="BK130" t="s">
        <v>102</v>
      </c>
      <c r="BL130" t="s">
        <v>2628</v>
      </c>
      <c r="BM130" t="s">
        <v>2629</v>
      </c>
      <c r="BN130" t="s">
        <v>74</v>
      </c>
      <c r="BO130" t="s">
        <v>326</v>
      </c>
      <c r="BP130" t="s">
        <v>74</v>
      </c>
      <c r="BQ130" t="s">
        <v>74</v>
      </c>
      <c r="BR130" t="s">
        <v>105</v>
      </c>
      <c r="BS130" t="s">
        <v>2630</v>
      </c>
      <c r="BT130" t="str">
        <f>HYPERLINK("https%3A%2F%2Fwww.webofscience.com%2Fwos%2Fwoscc%2Ffull-record%2FWOS:000279755300006","View Full Record in Web of Science")</f>
        <v>View Full Record in Web of Science</v>
      </c>
    </row>
    <row r="131" spans="1:72" x14ac:dyDescent="0.15">
      <c r="A131" t="s">
        <v>72</v>
      </c>
      <c r="B131" t="s">
        <v>2631</v>
      </c>
      <c r="C131" t="s">
        <v>74</v>
      </c>
      <c r="D131" t="s">
        <v>74</v>
      </c>
      <c r="E131" t="s">
        <v>74</v>
      </c>
      <c r="F131" t="s">
        <v>2632</v>
      </c>
      <c r="G131" t="s">
        <v>74</v>
      </c>
      <c r="H131" t="s">
        <v>74</v>
      </c>
      <c r="I131" t="s">
        <v>2633</v>
      </c>
      <c r="J131" t="s">
        <v>2634</v>
      </c>
      <c r="K131" t="s">
        <v>74</v>
      </c>
      <c r="L131" t="s">
        <v>74</v>
      </c>
      <c r="M131" t="s">
        <v>78</v>
      </c>
      <c r="N131" t="s">
        <v>79</v>
      </c>
      <c r="O131" t="s">
        <v>74</v>
      </c>
      <c r="P131" t="s">
        <v>74</v>
      </c>
      <c r="Q131" t="s">
        <v>74</v>
      </c>
      <c r="R131" t="s">
        <v>74</v>
      </c>
      <c r="S131" t="s">
        <v>74</v>
      </c>
      <c r="T131" t="s">
        <v>2635</v>
      </c>
      <c r="U131" t="s">
        <v>2636</v>
      </c>
      <c r="V131" t="s">
        <v>2637</v>
      </c>
      <c r="W131" t="s">
        <v>2638</v>
      </c>
      <c r="X131" t="s">
        <v>2639</v>
      </c>
      <c r="Y131" t="s">
        <v>2640</v>
      </c>
      <c r="Z131" t="s">
        <v>2641</v>
      </c>
      <c r="AA131" t="s">
        <v>74</v>
      </c>
      <c r="AB131" t="s">
        <v>2642</v>
      </c>
      <c r="AC131" t="s">
        <v>2643</v>
      </c>
      <c r="AD131" t="s">
        <v>2644</v>
      </c>
      <c r="AE131" t="s">
        <v>2645</v>
      </c>
      <c r="AF131" t="s">
        <v>74</v>
      </c>
      <c r="AG131">
        <v>65</v>
      </c>
      <c r="AH131">
        <v>16</v>
      </c>
      <c r="AI131">
        <v>17</v>
      </c>
      <c r="AJ131">
        <v>1</v>
      </c>
      <c r="AK131">
        <v>16</v>
      </c>
      <c r="AL131" t="s">
        <v>813</v>
      </c>
      <c r="AM131" t="s">
        <v>225</v>
      </c>
      <c r="AN131" t="s">
        <v>2228</v>
      </c>
      <c r="AO131" t="s">
        <v>2646</v>
      </c>
      <c r="AP131" t="s">
        <v>2647</v>
      </c>
      <c r="AQ131" t="s">
        <v>74</v>
      </c>
      <c r="AR131" t="s">
        <v>2648</v>
      </c>
      <c r="AS131" t="s">
        <v>2649</v>
      </c>
      <c r="AT131" t="s">
        <v>505</v>
      </c>
      <c r="AU131">
        <v>2010</v>
      </c>
      <c r="AV131">
        <v>33</v>
      </c>
      <c r="AW131">
        <v>4</v>
      </c>
      <c r="AX131" t="s">
        <v>74</v>
      </c>
      <c r="AY131" t="s">
        <v>74</v>
      </c>
      <c r="AZ131" t="s">
        <v>74</v>
      </c>
      <c r="BA131" t="s">
        <v>74</v>
      </c>
      <c r="BB131">
        <v>443</v>
      </c>
      <c r="BC131">
        <v>455</v>
      </c>
      <c r="BD131" t="s">
        <v>74</v>
      </c>
      <c r="BE131" t="s">
        <v>2650</v>
      </c>
      <c r="BF131" t="str">
        <f>HYPERLINK("http://dx.doi.org/10.1007/s00300-009-0719-x","http://dx.doi.org/10.1007/s00300-009-0719-x")</f>
        <v>http://dx.doi.org/10.1007/s00300-009-0719-x</v>
      </c>
      <c r="BG131" t="s">
        <v>74</v>
      </c>
      <c r="BH131" t="s">
        <v>74</v>
      </c>
      <c r="BI131">
        <v>13</v>
      </c>
      <c r="BJ131" t="s">
        <v>843</v>
      </c>
      <c r="BK131" t="s">
        <v>102</v>
      </c>
      <c r="BL131" t="s">
        <v>844</v>
      </c>
      <c r="BM131" t="s">
        <v>2651</v>
      </c>
      <c r="BN131" t="s">
        <v>74</v>
      </c>
      <c r="BO131" t="s">
        <v>74</v>
      </c>
      <c r="BP131" t="s">
        <v>74</v>
      </c>
      <c r="BQ131" t="s">
        <v>74</v>
      </c>
      <c r="BR131" t="s">
        <v>105</v>
      </c>
      <c r="BS131" t="s">
        <v>2652</v>
      </c>
      <c r="BT131" t="str">
        <f>HYPERLINK("https%3A%2F%2Fwww.webofscience.com%2Fwos%2Fwoscc%2Ffull-record%2FWOS:000275750100003","View Full Record in Web of Science")</f>
        <v>View Full Record in Web of Science</v>
      </c>
    </row>
    <row r="132" spans="1:72" x14ac:dyDescent="0.15">
      <c r="A132" t="s">
        <v>72</v>
      </c>
      <c r="B132" t="s">
        <v>2653</v>
      </c>
      <c r="C132" t="s">
        <v>74</v>
      </c>
      <c r="D132" t="s">
        <v>74</v>
      </c>
      <c r="E132" t="s">
        <v>74</v>
      </c>
      <c r="F132" t="s">
        <v>2654</v>
      </c>
      <c r="G132" t="s">
        <v>74</v>
      </c>
      <c r="H132" t="s">
        <v>74</v>
      </c>
      <c r="I132" t="s">
        <v>2655</v>
      </c>
      <c r="J132" t="s">
        <v>2634</v>
      </c>
      <c r="K132" t="s">
        <v>74</v>
      </c>
      <c r="L132" t="s">
        <v>74</v>
      </c>
      <c r="M132" t="s">
        <v>78</v>
      </c>
      <c r="N132" t="s">
        <v>79</v>
      </c>
      <c r="O132" t="s">
        <v>74</v>
      </c>
      <c r="P132" t="s">
        <v>74</v>
      </c>
      <c r="Q132" t="s">
        <v>74</v>
      </c>
      <c r="R132" t="s">
        <v>74</v>
      </c>
      <c r="S132" t="s">
        <v>74</v>
      </c>
      <c r="T132" t="s">
        <v>2656</v>
      </c>
      <c r="U132" t="s">
        <v>2657</v>
      </c>
      <c r="V132" t="s">
        <v>2658</v>
      </c>
      <c r="W132" t="s">
        <v>2659</v>
      </c>
      <c r="X132" t="s">
        <v>2660</v>
      </c>
      <c r="Y132" t="s">
        <v>2661</v>
      </c>
      <c r="Z132" t="s">
        <v>2662</v>
      </c>
      <c r="AA132" t="s">
        <v>2663</v>
      </c>
      <c r="AB132" t="s">
        <v>2664</v>
      </c>
      <c r="AC132" t="s">
        <v>2665</v>
      </c>
      <c r="AD132" t="s">
        <v>2666</v>
      </c>
      <c r="AE132" t="s">
        <v>2667</v>
      </c>
      <c r="AF132" t="s">
        <v>74</v>
      </c>
      <c r="AG132">
        <v>49</v>
      </c>
      <c r="AH132">
        <v>23</v>
      </c>
      <c r="AI132">
        <v>23</v>
      </c>
      <c r="AJ132">
        <v>2</v>
      </c>
      <c r="AK132">
        <v>17</v>
      </c>
      <c r="AL132" t="s">
        <v>813</v>
      </c>
      <c r="AM132" t="s">
        <v>225</v>
      </c>
      <c r="AN132" t="s">
        <v>2228</v>
      </c>
      <c r="AO132" t="s">
        <v>2646</v>
      </c>
      <c r="AP132" t="s">
        <v>2647</v>
      </c>
      <c r="AQ132" t="s">
        <v>74</v>
      </c>
      <c r="AR132" t="s">
        <v>2648</v>
      </c>
      <c r="AS132" t="s">
        <v>2649</v>
      </c>
      <c r="AT132" t="s">
        <v>505</v>
      </c>
      <c r="AU132">
        <v>2010</v>
      </c>
      <c r="AV132">
        <v>33</v>
      </c>
      <c r="AW132">
        <v>4</v>
      </c>
      <c r="AX132" t="s">
        <v>74</v>
      </c>
      <c r="AY132" t="s">
        <v>74</v>
      </c>
      <c r="AZ132" t="s">
        <v>74</v>
      </c>
      <c r="BA132" t="s">
        <v>74</v>
      </c>
      <c r="BB132">
        <v>469</v>
      </c>
      <c r="BC132">
        <v>476</v>
      </c>
      <c r="BD132" t="s">
        <v>74</v>
      </c>
      <c r="BE132" t="s">
        <v>2668</v>
      </c>
      <c r="BF132" t="str">
        <f>HYPERLINK("http://dx.doi.org/10.1007/s00300-009-0722-2","http://dx.doi.org/10.1007/s00300-009-0722-2")</f>
        <v>http://dx.doi.org/10.1007/s00300-009-0722-2</v>
      </c>
      <c r="BG132" t="s">
        <v>74</v>
      </c>
      <c r="BH132" t="s">
        <v>74</v>
      </c>
      <c r="BI132">
        <v>8</v>
      </c>
      <c r="BJ132" t="s">
        <v>843</v>
      </c>
      <c r="BK132" t="s">
        <v>102</v>
      </c>
      <c r="BL132" t="s">
        <v>844</v>
      </c>
      <c r="BM132" t="s">
        <v>2651</v>
      </c>
      <c r="BN132" t="s">
        <v>74</v>
      </c>
      <c r="BO132" t="s">
        <v>2669</v>
      </c>
      <c r="BP132" t="s">
        <v>74</v>
      </c>
      <c r="BQ132" t="s">
        <v>74</v>
      </c>
      <c r="BR132" t="s">
        <v>105</v>
      </c>
      <c r="BS132" t="s">
        <v>2670</v>
      </c>
      <c r="BT132" t="str">
        <f>HYPERLINK("https%3A%2F%2Fwww.webofscience.com%2Fwos%2Fwoscc%2Ffull-record%2FWOS:000275750100005","View Full Record in Web of Science")</f>
        <v>View Full Record in Web of Science</v>
      </c>
    </row>
    <row r="133" spans="1:72" x14ac:dyDescent="0.15">
      <c r="A133" t="s">
        <v>72</v>
      </c>
      <c r="B133" t="s">
        <v>2671</v>
      </c>
      <c r="C133" t="s">
        <v>74</v>
      </c>
      <c r="D133" t="s">
        <v>74</v>
      </c>
      <c r="E133" t="s">
        <v>74</v>
      </c>
      <c r="F133" t="s">
        <v>2672</v>
      </c>
      <c r="G133" t="s">
        <v>74</v>
      </c>
      <c r="H133" t="s">
        <v>74</v>
      </c>
      <c r="I133" t="s">
        <v>2673</v>
      </c>
      <c r="J133" t="s">
        <v>2634</v>
      </c>
      <c r="K133" t="s">
        <v>74</v>
      </c>
      <c r="L133" t="s">
        <v>74</v>
      </c>
      <c r="M133" t="s">
        <v>78</v>
      </c>
      <c r="N133" t="s">
        <v>79</v>
      </c>
      <c r="O133" t="s">
        <v>74</v>
      </c>
      <c r="P133" t="s">
        <v>74</v>
      </c>
      <c r="Q133" t="s">
        <v>74</v>
      </c>
      <c r="R133" t="s">
        <v>74</v>
      </c>
      <c r="S133" t="s">
        <v>74</v>
      </c>
      <c r="T133" t="s">
        <v>2674</v>
      </c>
      <c r="U133" t="s">
        <v>2675</v>
      </c>
      <c r="V133" t="s">
        <v>2676</v>
      </c>
      <c r="W133" t="s">
        <v>2677</v>
      </c>
      <c r="X133" t="s">
        <v>2678</v>
      </c>
      <c r="Y133" t="s">
        <v>2679</v>
      </c>
      <c r="Z133" t="s">
        <v>2680</v>
      </c>
      <c r="AA133" t="s">
        <v>2681</v>
      </c>
      <c r="AB133" t="s">
        <v>2682</v>
      </c>
      <c r="AC133" t="s">
        <v>2683</v>
      </c>
      <c r="AD133" t="s">
        <v>2684</v>
      </c>
      <c r="AE133" t="s">
        <v>2685</v>
      </c>
      <c r="AF133" t="s">
        <v>74</v>
      </c>
      <c r="AG133">
        <v>29</v>
      </c>
      <c r="AH133">
        <v>7</v>
      </c>
      <c r="AI133">
        <v>8</v>
      </c>
      <c r="AJ133">
        <v>1</v>
      </c>
      <c r="AK133">
        <v>18</v>
      </c>
      <c r="AL133" t="s">
        <v>813</v>
      </c>
      <c r="AM133" t="s">
        <v>225</v>
      </c>
      <c r="AN133" t="s">
        <v>2228</v>
      </c>
      <c r="AO133" t="s">
        <v>2646</v>
      </c>
      <c r="AP133" t="s">
        <v>74</v>
      </c>
      <c r="AQ133" t="s">
        <v>74</v>
      </c>
      <c r="AR133" t="s">
        <v>2648</v>
      </c>
      <c r="AS133" t="s">
        <v>2649</v>
      </c>
      <c r="AT133" t="s">
        <v>505</v>
      </c>
      <c r="AU133">
        <v>2010</v>
      </c>
      <c r="AV133">
        <v>33</v>
      </c>
      <c r="AW133">
        <v>4</v>
      </c>
      <c r="AX133" t="s">
        <v>74</v>
      </c>
      <c r="AY133" t="s">
        <v>74</v>
      </c>
      <c r="AZ133" t="s">
        <v>74</v>
      </c>
      <c r="BA133" t="s">
        <v>74</v>
      </c>
      <c r="BB133">
        <v>477</v>
      </c>
      <c r="BC133">
        <v>483</v>
      </c>
      <c r="BD133" t="s">
        <v>74</v>
      </c>
      <c r="BE133" t="s">
        <v>2686</v>
      </c>
      <c r="BF133" t="str">
        <f>HYPERLINK("http://dx.doi.org/10.1007/s00300-009-0723-1","http://dx.doi.org/10.1007/s00300-009-0723-1")</f>
        <v>http://dx.doi.org/10.1007/s00300-009-0723-1</v>
      </c>
      <c r="BG133" t="s">
        <v>74</v>
      </c>
      <c r="BH133" t="s">
        <v>74</v>
      </c>
      <c r="BI133">
        <v>7</v>
      </c>
      <c r="BJ133" t="s">
        <v>843</v>
      </c>
      <c r="BK133" t="s">
        <v>102</v>
      </c>
      <c r="BL133" t="s">
        <v>844</v>
      </c>
      <c r="BM133" t="s">
        <v>2651</v>
      </c>
      <c r="BN133" t="s">
        <v>74</v>
      </c>
      <c r="BO133" t="s">
        <v>74</v>
      </c>
      <c r="BP133" t="s">
        <v>74</v>
      </c>
      <c r="BQ133" t="s">
        <v>74</v>
      </c>
      <c r="BR133" t="s">
        <v>105</v>
      </c>
      <c r="BS133" t="s">
        <v>2687</v>
      </c>
      <c r="BT133" t="str">
        <f>HYPERLINK("https%3A%2F%2Fwww.webofscience.com%2Fwos%2Fwoscc%2Ffull-record%2FWOS:000275750100006","View Full Record in Web of Science")</f>
        <v>View Full Record in Web of Science</v>
      </c>
    </row>
    <row r="134" spans="1:72" x14ac:dyDescent="0.15">
      <c r="A134" t="s">
        <v>72</v>
      </c>
      <c r="B134" t="s">
        <v>2688</v>
      </c>
      <c r="C134" t="s">
        <v>74</v>
      </c>
      <c r="D134" t="s">
        <v>74</v>
      </c>
      <c r="E134" t="s">
        <v>74</v>
      </c>
      <c r="F134" t="s">
        <v>2689</v>
      </c>
      <c r="G134" t="s">
        <v>74</v>
      </c>
      <c r="H134" t="s">
        <v>74</v>
      </c>
      <c r="I134" t="s">
        <v>2690</v>
      </c>
      <c r="J134" t="s">
        <v>2634</v>
      </c>
      <c r="K134" t="s">
        <v>74</v>
      </c>
      <c r="L134" t="s">
        <v>74</v>
      </c>
      <c r="M134" t="s">
        <v>78</v>
      </c>
      <c r="N134" t="s">
        <v>79</v>
      </c>
      <c r="O134" t="s">
        <v>74</v>
      </c>
      <c r="P134" t="s">
        <v>74</v>
      </c>
      <c r="Q134" t="s">
        <v>74</v>
      </c>
      <c r="R134" t="s">
        <v>74</v>
      </c>
      <c r="S134" t="s">
        <v>74</v>
      </c>
      <c r="T134" t="s">
        <v>2691</v>
      </c>
      <c r="U134" t="s">
        <v>2692</v>
      </c>
      <c r="V134" t="s">
        <v>2693</v>
      </c>
      <c r="W134" t="s">
        <v>2694</v>
      </c>
      <c r="X134" t="s">
        <v>640</v>
      </c>
      <c r="Y134" t="s">
        <v>2695</v>
      </c>
      <c r="Z134" t="s">
        <v>642</v>
      </c>
      <c r="AA134" t="s">
        <v>643</v>
      </c>
      <c r="AB134" t="s">
        <v>74</v>
      </c>
      <c r="AC134" t="s">
        <v>2696</v>
      </c>
      <c r="AD134" t="s">
        <v>2697</v>
      </c>
      <c r="AE134" t="s">
        <v>2698</v>
      </c>
      <c r="AF134" t="s">
        <v>74</v>
      </c>
      <c r="AG134">
        <v>55</v>
      </c>
      <c r="AH134">
        <v>54</v>
      </c>
      <c r="AI134">
        <v>60</v>
      </c>
      <c r="AJ134">
        <v>3</v>
      </c>
      <c r="AK134">
        <v>29</v>
      </c>
      <c r="AL134" t="s">
        <v>813</v>
      </c>
      <c r="AM134" t="s">
        <v>225</v>
      </c>
      <c r="AN134" t="s">
        <v>2228</v>
      </c>
      <c r="AO134" t="s">
        <v>2646</v>
      </c>
      <c r="AP134" t="s">
        <v>74</v>
      </c>
      <c r="AQ134" t="s">
        <v>74</v>
      </c>
      <c r="AR134" t="s">
        <v>2648</v>
      </c>
      <c r="AS134" t="s">
        <v>2649</v>
      </c>
      <c r="AT134" t="s">
        <v>505</v>
      </c>
      <c r="AU134">
        <v>2010</v>
      </c>
      <c r="AV134">
        <v>33</v>
      </c>
      <c r="AW134">
        <v>4</v>
      </c>
      <c r="AX134" t="s">
        <v>74</v>
      </c>
      <c r="AY134" t="s">
        <v>74</v>
      </c>
      <c r="AZ134" t="s">
        <v>74</v>
      </c>
      <c r="BA134" t="s">
        <v>74</v>
      </c>
      <c r="BB134">
        <v>493</v>
      </c>
      <c r="BC134">
        <v>503</v>
      </c>
      <c r="BD134" t="s">
        <v>74</v>
      </c>
      <c r="BE134" t="s">
        <v>2699</v>
      </c>
      <c r="BF134" t="str">
        <f>HYPERLINK("http://dx.doi.org/10.1007/s00300-009-0726-y","http://dx.doi.org/10.1007/s00300-009-0726-y")</f>
        <v>http://dx.doi.org/10.1007/s00300-009-0726-y</v>
      </c>
      <c r="BG134" t="s">
        <v>74</v>
      </c>
      <c r="BH134" t="s">
        <v>74</v>
      </c>
      <c r="BI134">
        <v>11</v>
      </c>
      <c r="BJ134" t="s">
        <v>843</v>
      </c>
      <c r="BK134" t="s">
        <v>102</v>
      </c>
      <c r="BL134" t="s">
        <v>844</v>
      </c>
      <c r="BM134" t="s">
        <v>2651</v>
      </c>
      <c r="BN134" t="s">
        <v>74</v>
      </c>
      <c r="BO134" t="s">
        <v>74</v>
      </c>
      <c r="BP134" t="s">
        <v>74</v>
      </c>
      <c r="BQ134" t="s">
        <v>74</v>
      </c>
      <c r="BR134" t="s">
        <v>105</v>
      </c>
      <c r="BS134" t="s">
        <v>2700</v>
      </c>
      <c r="BT134" t="str">
        <f>HYPERLINK("https%3A%2F%2Fwww.webofscience.com%2Fwos%2Fwoscc%2Ffull-record%2FWOS:000275750100008","View Full Record in Web of Science")</f>
        <v>View Full Record in Web of Science</v>
      </c>
    </row>
    <row r="135" spans="1:72" x14ac:dyDescent="0.15">
      <c r="A135" t="s">
        <v>72</v>
      </c>
      <c r="B135" t="s">
        <v>2701</v>
      </c>
      <c r="C135" t="s">
        <v>74</v>
      </c>
      <c r="D135" t="s">
        <v>74</v>
      </c>
      <c r="E135" t="s">
        <v>74</v>
      </c>
      <c r="F135" t="s">
        <v>2702</v>
      </c>
      <c r="G135" t="s">
        <v>74</v>
      </c>
      <c r="H135" t="s">
        <v>74</v>
      </c>
      <c r="I135" t="s">
        <v>2703</v>
      </c>
      <c r="J135" t="s">
        <v>2634</v>
      </c>
      <c r="K135" t="s">
        <v>74</v>
      </c>
      <c r="L135" t="s">
        <v>74</v>
      </c>
      <c r="M135" t="s">
        <v>78</v>
      </c>
      <c r="N135" t="s">
        <v>79</v>
      </c>
      <c r="O135" t="s">
        <v>74</v>
      </c>
      <c r="P135" t="s">
        <v>74</v>
      </c>
      <c r="Q135" t="s">
        <v>74</v>
      </c>
      <c r="R135" t="s">
        <v>74</v>
      </c>
      <c r="S135" t="s">
        <v>74</v>
      </c>
      <c r="T135" t="s">
        <v>2704</v>
      </c>
      <c r="U135" t="s">
        <v>2705</v>
      </c>
      <c r="V135" t="s">
        <v>2706</v>
      </c>
      <c r="W135" t="s">
        <v>2707</v>
      </c>
      <c r="X135" t="s">
        <v>2708</v>
      </c>
      <c r="Y135" t="s">
        <v>2709</v>
      </c>
      <c r="Z135" t="s">
        <v>2710</v>
      </c>
      <c r="AA135" t="s">
        <v>2711</v>
      </c>
      <c r="AB135" t="s">
        <v>74</v>
      </c>
      <c r="AC135" t="s">
        <v>2712</v>
      </c>
      <c r="AD135" t="s">
        <v>2713</v>
      </c>
      <c r="AE135" t="s">
        <v>2714</v>
      </c>
      <c r="AF135" t="s">
        <v>74</v>
      </c>
      <c r="AG135">
        <v>59</v>
      </c>
      <c r="AH135">
        <v>10</v>
      </c>
      <c r="AI135">
        <v>12</v>
      </c>
      <c r="AJ135">
        <v>2</v>
      </c>
      <c r="AK135">
        <v>13</v>
      </c>
      <c r="AL135" t="s">
        <v>813</v>
      </c>
      <c r="AM135" t="s">
        <v>225</v>
      </c>
      <c r="AN135" t="s">
        <v>907</v>
      </c>
      <c r="AO135" t="s">
        <v>2646</v>
      </c>
      <c r="AP135" t="s">
        <v>2647</v>
      </c>
      <c r="AQ135" t="s">
        <v>74</v>
      </c>
      <c r="AR135" t="s">
        <v>2648</v>
      </c>
      <c r="AS135" t="s">
        <v>2649</v>
      </c>
      <c r="AT135" t="s">
        <v>505</v>
      </c>
      <c r="AU135">
        <v>2010</v>
      </c>
      <c r="AV135">
        <v>33</v>
      </c>
      <c r="AW135">
        <v>4</v>
      </c>
      <c r="AX135" t="s">
        <v>74</v>
      </c>
      <c r="AY135" t="s">
        <v>74</v>
      </c>
      <c r="AZ135" t="s">
        <v>74</v>
      </c>
      <c r="BA135" t="s">
        <v>74</v>
      </c>
      <c r="BB135">
        <v>531</v>
      </c>
      <c r="BC135">
        <v>541</v>
      </c>
      <c r="BD135" t="s">
        <v>74</v>
      </c>
      <c r="BE135" t="s">
        <v>2715</v>
      </c>
      <c r="BF135" t="str">
        <f>HYPERLINK("http://dx.doi.org/10.1007/s00300-009-0730-2","http://dx.doi.org/10.1007/s00300-009-0730-2")</f>
        <v>http://dx.doi.org/10.1007/s00300-009-0730-2</v>
      </c>
      <c r="BG135" t="s">
        <v>74</v>
      </c>
      <c r="BH135" t="s">
        <v>74</v>
      </c>
      <c r="BI135">
        <v>11</v>
      </c>
      <c r="BJ135" t="s">
        <v>843</v>
      </c>
      <c r="BK135" t="s">
        <v>102</v>
      </c>
      <c r="BL135" t="s">
        <v>844</v>
      </c>
      <c r="BM135" t="s">
        <v>2651</v>
      </c>
      <c r="BN135" t="s">
        <v>74</v>
      </c>
      <c r="BO135" t="s">
        <v>74</v>
      </c>
      <c r="BP135" t="s">
        <v>74</v>
      </c>
      <c r="BQ135" t="s">
        <v>74</v>
      </c>
      <c r="BR135" t="s">
        <v>105</v>
      </c>
      <c r="BS135" t="s">
        <v>2716</v>
      </c>
      <c r="BT135" t="str">
        <f>HYPERLINK("https%3A%2F%2Fwww.webofscience.com%2Fwos%2Fwoscc%2Ffull-record%2FWOS:000275750100011","View Full Record in Web of Science")</f>
        <v>View Full Record in Web of Science</v>
      </c>
    </row>
    <row r="136" spans="1:72" x14ac:dyDescent="0.15">
      <c r="A136" t="s">
        <v>72</v>
      </c>
      <c r="B136" t="s">
        <v>2717</v>
      </c>
      <c r="C136" t="s">
        <v>74</v>
      </c>
      <c r="D136" t="s">
        <v>74</v>
      </c>
      <c r="E136" t="s">
        <v>74</v>
      </c>
      <c r="F136" t="s">
        <v>2718</v>
      </c>
      <c r="G136" t="s">
        <v>74</v>
      </c>
      <c r="H136" t="s">
        <v>74</v>
      </c>
      <c r="I136" t="s">
        <v>2719</v>
      </c>
      <c r="J136" t="s">
        <v>2634</v>
      </c>
      <c r="K136" t="s">
        <v>74</v>
      </c>
      <c r="L136" t="s">
        <v>74</v>
      </c>
      <c r="M136" t="s">
        <v>78</v>
      </c>
      <c r="N136" t="s">
        <v>79</v>
      </c>
      <c r="O136" t="s">
        <v>74</v>
      </c>
      <c r="P136" t="s">
        <v>74</v>
      </c>
      <c r="Q136" t="s">
        <v>74</v>
      </c>
      <c r="R136" t="s">
        <v>74</v>
      </c>
      <c r="S136" t="s">
        <v>74</v>
      </c>
      <c r="T136" t="s">
        <v>2720</v>
      </c>
      <c r="U136" t="s">
        <v>2721</v>
      </c>
      <c r="V136" t="s">
        <v>2722</v>
      </c>
      <c r="W136" t="s">
        <v>2723</v>
      </c>
      <c r="X136" t="s">
        <v>2278</v>
      </c>
      <c r="Y136" t="s">
        <v>2724</v>
      </c>
      <c r="Z136" t="s">
        <v>2725</v>
      </c>
      <c r="AA136" t="s">
        <v>74</v>
      </c>
      <c r="AB136" t="s">
        <v>2726</v>
      </c>
      <c r="AC136" t="s">
        <v>74</v>
      </c>
      <c r="AD136" t="s">
        <v>74</v>
      </c>
      <c r="AE136" t="s">
        <v>74</v>
      </c>
      <c r="AF136" t="s">
        <v>74</v>
      </c>
      <c r="AG136">
        <v>84</v>
      </c>
      <c r="AH136">
        <v>42</v>
      </c>
      <c r="AI136">
        <v>48</v>
      </c>
      <c r="AJ136">
        <v>0</v>
      </c>
      <c r="AK136">
        <v>22</v>
      </c>
      <c r="AL136" t="s">
        <v>813</v>
      </c>
      <c r="AM136" t="s">
        <v>225</v>
      </c>
      <c r="AN136" t="s">
        <v>907</v>
      </c>
      <c r="AO136" t="s">
        <v>2646</v>
      </c>
      <c r="AP136" t="s">
        <v>2647</v>
      </c>
      <c r="AQ136" t="s">
        <v>74</v>
      </c>
      <c r="AR136" t="s">
        <v>2648</v>
      </c>
      <c r="AS136" t="s">
        <v>2649</v>
      </c>
      <c r="AT136" t="s">
        <v>505</v>
      </c>
      <c r="AU136">
        <v>2010</v>
      </c>
      <c r="AV136">
        <v>33</v>
      </c>
      <c r="AW136">
        <v>4</v>
      </c>
      <c r="AX136" t="s">
        <v>74</v>
      </c>
      <c r="AY136" t="s">
        <v>74</v>
      </c>
      <c r="AZ136" t="s">
        <v>74</v>
      </c>
      <c r="BA136" t="s">
        <v>74</v>
      </c>
      <c r="BB136">
        <v>543</v>
      </c>
      <c r="BC136">
        <v>556</v>
      </c>
      <c r="BD136" t="s">
        <v>74</v>
      </c>
      <c r="BE136" t="s">
        <v>2727</v>
      </c>
      <c r="BF136" t="str">
        <f>HYPERLINK("http://dx.doi.org/10.1007/s00300-009-0732-0","http://dx.doi.org/10.1007/s00300-009-0732-0")</f>
        <v>http://dx.doi.org/10.1007/s00300-009-0732-0</v>
      </c>
      <c r="BG136" t="s">
        <v>74</v>
      </c>
      <c r="BH136" t="s">
        <v>74</v>
      </c>
      <c r="BI136">
        <v>14</v>
      </c>
      <c r="BJ136" t="s">
        <v>843</v>
      </c>
      <c r="BK136" t="s">
        <v>102</v>
      </c>
      <c r="BL136" t="s">
        <v>844</v>
      </c>
      <c r="BM136" t="s">
        <v>2651</v>
      </c>
      <c r="BN136" t="s">
        <v>74</v>
      </c>
      <c r="BO136" t="s">
        <v>74</v>
      </c>
      <c r="BP136" t="s">
        <v>74</v>
      </c>
      <c r="BQ136" t="s">
        <v>74</v>
      </c>
      <c r="BR136" t="s">
        <v>105</v>
      </c>
      <c r="BS136" t="s">
        <v>2728</v>
      </c>
      <c r="BT136" t="str">
        <f>HYPERLINK("https%3A%2F%2Fwww.webofscience.com%2Fwos%2Fwoscc%2Ffull-record%2FWOS:000275750100012","View Full Record in Web of Science")</f>
        <v>View Full Record in Web of Science</v>
      </c>
    </row>
    <row r="137" spans="1:72" x14ac:dyDescent="0.15">
      <c r="A137" t="s">
        <v>72</v>
      </c>
      <c r="B137" t="s">
        <v>2729</v>
      </c>
      <c r="C137" t="s">
        <v>74</v>
      </c>
      <c r="D137" t="s">
        <v>74</v>
      </c>
      <c r="E137" t="s">
        <v>74</v>
      </c>
      <c r="F137" t="s">
        <v>2730</v>
      </c>
      <c r="G137" t="s">
        <v>74</v>
      </c>
      <c r="H137" t="s">
        <v>74</v>
      </c>
      <c r="I137" t="s">
        <v>2731</v>
      </c>
      <c r="J137" t="s">
        <v>2634</v>
      </c>
      <c r="K137" t="s">
        <v>74</v>
      </c>
      <c r="L137" t="s">
        <v>74</v>
      </c>
      <c r="M137" t="s">
        <v>78</v>
      </c>
      <c r="N137" t="s">
        <v>79</v>
      </c>
      <c r="O137" t="s">
        <v>74</v>
      </c>
      <c r="P137" t="s">
        <v>74</v>
      </c>
      <c r="Q137" t="s">
        <v>74</v>
      </c>
      <c r="R137" t="s">
        <v>74</v>
      </c>
      <c r="S137" t="s">
        <v>74</v>
      </c>
      <c r="T137" t="s">
        <v>2732</v>
      </c>
      <c r="U137" t="s">
        <v>2733</v>
      </c>
      <c r="V137" t="s">
        <v>2734</v>
      </c>
      <c r="W137" t="s">
        <v>2735</v>
      </c>
      <c r="X137" t="s">
        <v>541</v>
      </c>
      <c r="Y137" t="s">
        <v>542</v>
      </c>
      <c r="Z137" t="s">
        <v>543</v>
      </c>
      <c r="AA137" t="s">
        <v>2736</v>
      </c>
      <c r="AB137" t="s">
        <v>2737</v>
      </c>
      <c r="AC137" t="s">
        <v>2738</v>
      </c>
      <c r="AD137" t="s">
        <v>2738</v>
      </c>
      <c r="AE137" t="s">
        <v>2739</v>
      </c>
      <c r="AF137" t="s">
        <v>74</v>
      </c>
      <c r="AG137">
        <v>25</v>
      </c>
      <c r="AH137">
        <v>11</v>
      </c>
      <c r="AI137">
        <v>11</v>
      </c>
      <c r="AJ137">
        <v>1</v>
      </c>
      <c r="AK137">
        <v>11</v>
      </c>
      <c r="AL137" t="s">
        <v>813</v>
      </c>
      <c r="AM137" t="s">
        <v>225</v>
      </c>
      <c r="AN137" t="s">
        <v>907</v>
      </c>
      <c r="AO137" t="s">
        <v>2646</v>
      </c>
      <c r="AP137" t="s">
        <v>2647</v>
      </c>
      <c r="AQ137" t="s">
        <v>74</v>
      </c>
      <c r="AR137" t="s">
        <v>2648</v>
      </c>
      <c r="AS137" t="s">
        <v>2649</v>
      </c>
      <c r="AT137" t="s">
        <v>505</v>
      </c>
      <c r="AU137">
        <v>2010</v>
      </c>
      <c r="AV137">
        <v>33</v>
      </c>
      <c r="AW137">
        <v>4</v>
      </c>
      <c r="AX137" t="s">
        <v>74</v>
      </c>
      <c r="AY137" t="s">
        <v>74</v>
      </c>
      <c r="AZ137" t="s">
        <v>74</v>
      </c>
      <c r="BA137" t="s">
        <v>74</v>
      </c>
      <c r="BB137">
        <v>561</v>
      </c>
      <c r="BC137">
        <v>564</v>
      </c>
      <c r="BD137" t="s">
        <v>74</v>
      </c>
      <c r="BE137" t="s">
        <v>2740</v>
      </c>
      <c r="BF137" t="str">
        <f>HYPERLINK("http://dx.doi.org/10.1007/s00300-009-0724-0","http://dx.doi.org/10.1007/s00300-009-0724-0")</f>
        <v>http://dx.doi.org/10.1007/s00300-009-0724-0</v>
      </c>
      <c r="BG137" t="s">
        <v>74</v>
      </c>
      <c r="BH137" t="s">
        <v>74</v>
      </c>
      <c r="BI137">
        <v>4</v>
      </c>
      <c r="BJ137" t="s">
        <v>843</v>
      </c>
      <c r="BK137" t="s">
        <v>102</v>
      </c>
      <c r="BL137" t="s">
        <v>844</v>
      </c>
      <c r="BM137" t="s">
        <v>2651</v>
      </c>
      <c r="BN137" t="s">
        <v>74</v>
      </c>
      <c r="BO137" t="s">
        <v>555</v>
      </c>
      <c r="BP137" t="s">
        <v>74</v>
      </c>
      <c r="BQ137" t="s">
        <v>74</v>
      </c>
      <c r="BR137" t="s">
        <v>105</v>
      </c>
      <c r="BS137" t="s">
        <v>2741</v>
      </c>
      <c r="BT137" t="str">
        <f>HYPERLINK("https%3A%2F%2Fwww.webofscience.com%2Fwos%2Fwoscc%2Ffull-record%2FWOS:000275750100014","View Full Record in Web of Science")</f>
        <v>View Full Record in Web of Science</v>
      </c>
    </row>
    <row r="138" spans="1:72" x14ac:dyDescent="0.15">
      <c r="A138" t="s">
        <v>72</v>
      </c>
      <c r="B138" t="s">
        <v>2742</v>
      </c>
      <c r="C138" t="s">
        <v>74</v>
      </c>
      <c r="D138" t="s">
        <v>74</v>
      </c>
      <c r="E138" t="s">
        <v>74</v>
      </c>
      <c r="F138" t="s">
        <v>2743</v>
      </c>
      <c r="G138" t="s">
        <v>74</v>
      </c>
      <c r="H138" t="s">
        <v>74</v>
      </c>
      <c r="I138" t="s">
        <v>2744</v>
      </c>
      <c r="J138" t="s">
        <v>2634</v>
      </c>
      <c r="K138" t="s">
        <v>74</v>
      </c>
      <c r="L138" t="s">
        <v>74</v>
      </c>
      <c r="M138" t="s">
        <v>78</v>
      </c>
      <c r="N138" t="s">
        <v>79</v>
      </c>
      <c r="O138" t="s">
        <v>74</v>
      </c>
      <c r="P138" t="s">
        <v>74</v>
      </c>
      <c r="Q138" t="s">
        <v>74</v>
      </c>
      <c r="R138" t="s">
        <v>74</v>
      </c>
      <c r="S138" t="s">
        <v>74</v>
      </c>
      <c r="T138" t="s">
        <v>2745</v>
      </c>
      <c r="U138" t="s">
        <v>2746</v>
      </c>
      <c r="V138" t="s">
        <v>2747</v>
      </c>
      <c r="W138" t="s">
        <v>2748</v>
      </c>
      <c r="X138" t="s">
        <v>2749</v>
      </c>
      <c r="Y138" t="s">
        <v>542</v>
      </c>
      <c r="Z138" t="s">
        <v>543</v>
      </c>
      <c r="AA138" t="s">
        <v>2750</v>
      </c>
      <c r="AB138" t="s">
        <v>2751</v>
      </c>
      <c r="AC138" t="s">
        <v>2738</v>
      </c>
      <c r="AD138" t="s">
        <v>2738</v>
      </c>
      <c r="AE138" t="s">
        <v>2752</v>
      </c>
      <c r="AF138" t="s">
        <v>74</v>
      </c>
      <c r="AG138">
        <v>28</v>
      </c>
      <c r="AH138">
        <v>3</v>
      </c>
      <c r="AI138">
        <v>4</v>
      </c>
      <c r="AJ138">
        <v>0</v>
      </c>
      <c r="AK138">
        <v>7</v>
      </c>
      <c r="AL138" t="s">
        <v>813</v>
      </c>
      <c r="AM138" t="s">
        <v>225</v>
      </c>
      <c r="AN138" t="s">
        <v>907</v>
      </c>
      <c r="AO138" t="s">
        <v>2646</v>
      </c>
      <c r="AP138" t="s">
        <v>2647</v>
      </c>
      <c r="AQ138" t="s">
        <v>74</v>
      </c>
      <c r="AR138" t="s">
        <v>2648</v>
      </c>
      <c r="AS138" t="s">
        <v>2649</v>
      </c>
      <c r="AT138" t="s">
        <v>505</v>
      </c>
      <c r="AU138">
        <v>2010</v>
      </c>
      <c r="AV138">
        <v>33</v>
      </c>
      <c r="AW138">
        <v>4</v>
      </c>
      <c r="AX138" t="s">
        <v>74</v>
      </c>
      <c r="AY138" t="s">
        <v>74</v>
      </c>
      <c r="AZ138" t="s">
        <v>74</v>
      </c>
      <c r="BA138" t="s">
        <v>74</v>
      </c>
      <c r="BB138">
        <v>571</v>
      </c>
      <c r="BC138">
        <v>574</v>
      </c>
      <c r="BD138" t="s">
        <v>74</v>
      </c>
      <c r="BE138" t="s">
        <v>2753</v>
      </c>
      <c r="BF138" t="str">
        <f>HYPERLINK("http://dx.doi.org/10.1007/s00300-009-0731-1","http://dx.doi.org/10.1007/s00300-009-0731-1")</f>
        <v>http://dx.doi.org/10.1007/s00300-009-0731-1</v>
      </c>
      <c r="BG138" t="s">
        <v>74</v>
      </c>
      <c r="BH138" t="s">
        <v>74</v>
      </c>
      <c r="BI138">
        <v>4</v>
      </c>
      <c r="BJ138" t="s">
        <v>843</v>
      </c>
      <c r="BK138" t="s">
        <v>102</v>
      </c>
      <c r="BL138" t="s">
        <v>844</v>
      </c>
      <c r="BM138" t="s">
        <v>2651</v>
      </c>
      <c r="BN138" t="s">
        <v>74</v>
      </c>
      <c r="BO138" t="s">
        <v>555</v>
      </c>
      <c r="BP138" t="s">
        <v>74</v>
      </c>
      <c r="BQ138" t="s">
        <v>74</v>
      </c>
      <c r="BR138" t="s">
        <v>105</v>
      </c>
      <c r="BS138" t="s">
        <v>2754</v>
      </c>
      <c r="BT138" t="str">
        <f>HYPERLINK("https%3A%2F%2Fwww.webofscience.com%2Fwos%2Fwoscc%2Ffull-record%2FWOS:000275750100016","View Full Record in Web of Science")</f>
        <v>View Full Record in Web of Science</v>
      </c>
    </row>
    <row r="139" spans="1:72" x14ac:dyDescent="0.15">
      <c r="A139" t="s">
        <v>72</v>
      </c>
      <c r="B139" t="s">
        <v>2755</v>
      </c>
      <c r="C139" t="s">
        <v>74</v>
      </c>
      <c r="D139" t="s">
        <v>74</v>
      </c>
      <c r="E139" t="s">
        <v>74</v>
      </c>
      <c r="F139" t="s">
        <v>2756</v>
      </c>
      <c r="G139" t="s">
        <v>74</v>
      </c>
      <c r="H139" t="s">
        <v>74</v>
      </c>
      <c r="I139" t="s">
        <v>2757</v>
      </c>
      <c r="J139" t="s">
        <v>2634</v>
      </c>
      <c r="K139" t="s">
        <v>74</v>
      </c>
      <c r="L139" t="s">
        <v>74</v>
      </c>
      <c r="M139" t="s">
        <v>78</v>
      </c>
      <c r="N139" t="s">
        <v>2758</v>
      </c>
      <c r="O139" t="s">
        <v>74</v>
      </c>
      <c r="P139" t="s">
        <v>74</v>
      </c>
      <c r="Q139" t="s">
        <v>74</v>
      </c>
      <c r="R139" t="s">
        <v>74</v>
      </c>
      <c r="S139" t="s">
        <v>74</v>
      </c>
      <c r="T139" t="s">
        <v>74</v>
      </c>
      <c r="U139" t="s">
        <v>74</v>
      </c>
      <c r="V139" t="s">
        <v>74</v>
      </c>
      <c r="W139" t="s">
        <v>2759</v>
      </c>
      <c r="X139" t="s">
        <v>2760</v>
      </c>
      <c r="Y139" t="s">
        <v>2761</v>
      </c>
      <c r="Z139" t="s">
        <v>2762</v>
      </c>
      <c r="AA139" t="s">
        <v>2763</v>
      </c>
      <c r="AB139" t="s">
        <v>2764</v>
      </c>
      <c r="AC139" t="s">
        <v>74</v>
      </c>
      <c r="AD139" t="s">
        <v>74</v>
      </c>
      <c r="AE139" t="s">
        <v>74</v>
      </c>
      <c r="AF139" t="s">
        <v>74</v>
      </c>
      <c r="AG139">
        <v>1</v>
      </c>
      <c r="AH139">
        <v>0</v>
      </c>
      <c r="AI139">
        <v>0</v>
      </c>
      <c r="AJ139">
        <v>0</v>
      </c>
      <c r="AK139">
        <v>6</v>
      </c>
      <c r="AL139" t="s">
        <v>813</v>
      </c>
      <c r="AM139" t="s">
        <v>225</v>
      </c>
      <c r="AN139" t="s">
        <v>2228</v>
      </c>
      <c r="AO139" t="s">
        <v>2646</v>
      </c>
      <c r="AP139" t="s">
        <v>2647</v>
      </c>
      <c r="AQ139" t="s">
        <v>74</v>
      </c>
      <c r="AR139" t="s">
        <v>2648</v>
      </c>
      <c r="AS139" t="s">
        <v>2649</v>
      </c>
      <c r="AT139" t="s">
        <v>505</v>
      </c>
      <c r="AU139">
        <v>2010</v>
      </c>
      <c r="AV139">
        <v>33</v>
      </c>
      <c r="AW139">
        <v>4</v>
      </c>
      <c r="AX139" t="s">
        <v>74</v>
      </c>
      <c r="AY139" t="s">
        <v>74</v>
      </c>
      <c r="AZ139" t="s">
        <v>74</v>
      </c>
      <c r="BA139" t="s">
        <v>74</v>
      </c>
      <c r="BB139">
        <v>575</v>
      </c>
      <c r="BC139">
        <v>575</v>
      </c>
      <c r="BD139" t="s">
        <v>74</v>
      </c>
      <c r="BE139" t="s">
        <v>2765</v>
      </c>
      <c r="BF139" t="str">
        <f>HYPERLINK("http://dx.doi.org/10.1007/s00300-010-0777-0","http://dx.doi.org/10.1007/s00300-010-0777-0")</f>
        <v>http://dx.doi.org/10.1007/s00300-010-0777-0</v>
      </c>
      <c r="BG139" t="s">
        <v>74</v>
      </c>
      <c r="BH139" t="s">
        <v>74</v>
      </c>
      <c r="BI139">
        <v>1</v>
      </c>
      <c r="BJ139" t="s">
        <v>843</v>
      </c>
      <c r="BK139" t="s">
        <v>102</v>
      </c>
      <c r="BL139" t="s">
        <v>844</v>
      </c>
      <c r="BM139" t="s">
        <v>2651</v>
      </c>
      <c r="BN139" t="s">
        <v>74</v>
      </c>
      <c r="BO139" t="s">
        <v>104</v>
      </c>
      <c r="BP139" t="s">
        <v>74</v>
      </c>
      <c r="BQ139" t="s">
        <v>74</v>
      </c>
      <c r="BR139" t="s">
        <v>105</v>
      </c>
      <c r="BS139" t="s">
        <v>2766</v>
      </c>
      <c r="BT139" t="str">
        <f>HYPERLINK("https%3A%2F%2Fwww.webofscience.com%2Fwos%2Fwoscc%2Ffull-record%2FWOS:000275750100017","View Full Record in Web of Science")</f>
        <v>View Full Record in Web of Science</v>
      </c>
    </row>
    <row r="140" spans="1:72" x14ac:dyDescent="0.15">
      <c r="A140" t="s">
        <v>72</v>
      </c>
      <c r="B140" t="s">
        <v>2767</v>
      </c>
      <c r="C140" t="s">
        <v>74</v>
      </c>
      <c r="D140" t="s">
        <v>74</v>
      </c>
      <c r="E140" t="s">
        <v>74</v>
      </c>
      <c r="F140" t="s">
        <v>2768</v>
      </c>
      <c r="G140" t="s">
        <v>74</v>
      </c>
      <c r="H140" t="s">
        <v>74</v>
      </c>
      <c r="I140" t="s">
        <v>2769</v>
      </c>
      <c r="J140" t="s">
        <v>2770</v>
      </c>
      <c r="K140" t="s">
        <v>74</v>
      </c>
      <c r="L140" t="s">
        <v>74</v>
      </c>
      <c r="M140" t="s">
        <v>78</v>
      </c>
      <c r="N140" t="s">
        <v>79</v>
      </c>
      <c r="O140" t="s">
        <v>74</v>
      </c>
      <c r="P140" t="s">
        <v>74</v>
      </c>
      <c r="Q140" t="s">
        <v>74</v>
      </c>
      <c r="R140" t="s">
        <v>74</v>
      </c>
      <c r="S140" t="s">
        <v>74</v>
      </c>
      <c r="T140" t="s">
        <v>74</v>
      </c>
      <c r="U140" t="s">
        <v>74</v>
      </c>
      <c r="V140" t="s">
        <v>2771</v>
      </c>
      <c r="W140" t="s">
        <v>2772</v>
      </c>
      <c r="X140" t="s">
        <v>74</v>
      </c>
      <c r="Y140" t="s">
        <v>2773</v>
      </c>
      <c r="Z140" t="s">
        <v>2774</v>
      </c>
      <c r="AA140" t="s">
        <v>74</v>
      </c>
      <c r="AB140" t="s">
        <v>74</v>
      </c>
      <c r="AC140" t="s">
        <v>74</v>
      </c>
      <c r="AD140" t="s">
        <v>74</v>
      </c>
      <c r="AE140" t="s">
        <v>74</v>
      </c>
      <c r="AF140" t="s">
        <v>74</v>
      </c>
      <c r="AG140">
        <v>21</v>
      </c>
      <c r="AH140">
        <v>0</v>
      </c>
      <c r="AI140">
        <v>0</v>
      </c>
      <c r="AJ140">
        <v>0</v>
      </c>
      <c r="AK140">
        <v>3</v>
      </c>
      <c r="AL140" t="s">
        <v>587</v>
      </c>
      <c r="AM140" t="s">
        <v>225</v>
      </c>
      <c r="AN140" t="s">
        <v>588</v>
      </c>
      <c r="AO140" t="s">
        <v>2775</v>
      </c>
      <c r="AP140" t="s">
        <v>2776</v>
      </c>
      <c r="AQ140" t="s">
        <v>74</v>
      </c>
      <c r="AR140" t="s">
        <v>2777</v>
      </c>
      <c r="AS140" t="s">
        <v>2778</v>
      </c>
      <c r="AT140" t="s">
        <v>505</v>
      </c>
      <c r="AU140">
        <v>2010</v>
      </c>
      <c r="AV140">
        <v>46</v>
      </c>
      <c r="AW140">
        <v>237</v>
      </c>
      <c r="AX140" t="s">
        <v>74</v>
      </c>
      <c r="AY140" t="s">
        <v>74</v>
      </c>
      <c r="AZ140" t="s">
        <v>74</v>
      </c>
      <c r="BA140" t="s">
        <v>74</v>
      </c>
      <c r="BB140">
        <v>136</v>
      </c>
      <c r="BC140">
        <v>145</v>
      </c>
      <c r="BD140" t="s">
        <v>74</v>
      </c>
      <c r="BE140" t="s">
        <v>2779</v>
      </c>
      <c r="BF140" t="str">
        <f>HYPERLINK("http://dx.doi.org/10.1017/S0032247409990374","http://dx.doi.org/10.1017/S0032247409990374")</f>
        <v>http://dx.doi.org/10.1017/S0032247409990374</v>
      </c>
      <c r="BG140" t="s">
        <v>74</v>
      </c>
      <c r="BH140" t="s">
        <v>74</v>
      </c>
      <c r="BI140">
        <v>10</v>
      </c>
      <c r="BJ140" t="s">
        <v>2780</v>
      </c>
      <c r="BK140" t="s">
        <v>102</v>
      </c>
      <c r="BL140" t="s">
        <v>1348</v>
      </c>
      <c r="BM140" t="s">
        <v>2781</v>
      </c>
      <c r="BN140" t="s">
        <v>74</v>
      </c>
      <c r="BO140" t="s">
        <v>74</v>
      </c>
      <c r="BP140" t="s">
        <v>74</v>
      </c>
      <c r="BQ140" t="s">
        <v>74</v>
      </c>
      <c r="BR140" t="s">
        <v>105</v>
      </c>
      <c r="BS140" t="s">
        <v>2782</v>
      </c>
      <c r="BT140" t="str">
        <f>HYPERLINK("https%3A%2F%2Fwww.webofscience.com%2Fwos%2Fwoscc%2Ffull-record%2FWOS:000275640200003","View Full Record in Web of Science")</f>
        <v>View Full Record in Web of Science</v>
      </c>
    </row>
    <row r="141" spans="1:72" x14ac:dyDescent="0.15">
      <c r="A141" t="s">
        <v>72</v>
      </c>
      <c r="B141" t="s">
        <v>2783</v>
      </c>
      <c r="C141" t="s">
        <v>74</v>
      </c>
      <c r="D141" t="s">
        <v>74</v>
      </c>
      <c r="E141" t="s">
        <v>74</v>
      </c>
      <c r="F141" t="s">
        <v>2784</v>
      </c>
      <c r="G141" t="s">
        <v>74</v>
      </c>
      <c r="H141" t="s">
        <v>74</v>
      </c>
      <c r="I141" t="s">
        <v>2785</v>
      </c>
      <c r="J141" t="s">
        <v>2770</v>
      </c>
      <c r="K141" t="s">
        <v>74</v>
      </c>
      <c r="L141" t="s">
        <v>74</v>
      </c>
      <c r="M141" t="s">
        <v>78</v>
      </c>
      <c r="N141" t="s">
        <v>536</v>
      </c>
      <c r="O141" t="s">
        <v>74</v>
      </c>
      <c r="P141" t="s">
        <v>74</v>
      </c>
      <c r="Q141" t="s">
        <v>74</v>
      </c>
      <c r="R141" t="s">
        <v>74</v>
      </c>
      <c r="S141" t="s">
        <v>74</v>
      </c>
      <c r="T141" t="s">
        <v>74</v>
      </c>
      <c r="U141" t="s">
        <v>74</v>
      </c>
      <c r="V141" t="s">
        <v>74</v>
      </c>
      <c r="W141" t="s">
        <v>2786</v>
      </c>
      <c r="X141" t="s">
        <v>74</v>
      </c>
      <c r="Y141" t="s">
        <v>2787</v>
      </c>
      <c r="Z141" t="s">
        <v>74</v>
      </c>
      <c r="AA141" t="s">
        <v>74</v>
      </c>
      <c r="AB141" t="s">
        <v>74</v>
      </c>
      <c r="AC141" t="s">
        <v>74</v>
      </c>
      <c r="AD141" t="s">
        <v>74</v>
      </c>
      <c r="AE141" t="s">
        <v>74</v>
      </c>
      <c r="AF141" t="s">
        <v>74</v>
      </c>
      <c r="AG141">
        <v>9</v>
      </c>
      <c r="AH141">
        <v>0</v>
      </c>
      <c r="AI141">
        <v>0</v>
      </c>
      <c r="AJ141">
        <v>0</v>
      </c>
      <c r="AK141">
        <v>1</v>
      </c>
      <c r="AL141" t="s">
        <v>587</v>
      </c>
      <c r="AM141" t="s">
        <v>225</v>
      </c>
      <c r="AN141" t="s">
        <v>588</v>
      </c>
      <c r="AO141" t="s">
        <v>2775</v>
      </c>
      <c r="AP141" t="s">
        <v>74</v>
      </c>
      <c r="AQ141" t="s">
        <v>74</v>
      </c>
      <c r="AR141" t="s">
        <v>2777</v>
      </c>
      <c r="AS141" t="s">
        <v>2778</v>
      </c>
      <c r="AT141" t="s">
        <v>505</v>
      </c>
      <c r="AU141">
        <v>2010</v>
      </c>
      <c r="AV141">
        <v>46</v>
      </c>
      <c r="AW141">
        <v>237</v>
      </c>
      <c r="AX141" t="s">
        <v>74</v>
      </c>
      <c r="AY141" t="s">
        <v>74</v>
      </c>
      <c r="AZ141" t="s">
        <v>74</v>
      </c>
      <c r="BA141" t="s">
        <v>74</v>
      </c>
      <c r="BB141">
        <v>180</v>
      </c>
      <c r="BC141">
        <v>184</v>
      </c>
      <c r="BD141" t="s">
        <v>74</v>
      </c>
      <c r="BE141" t="s">
        <v>2788</v>
      </c>
      <c r="BF141" t="str">
        <f>HYPERLINK("http://dx.doi.org/10.1017/S0032247409990064","http://dx.doi.org/10.1017/S0032247409990064")</f>
        <v>http://dx.doi.org/10.1017/S0032247409990064</v>
      </c>
      <c r="BG141" t="s">
        <v>74</v>
      </c>
      <c r="BH141" t="s">
        <v>74</v>
      </c>
      <c r="BI141">
        <v>5</v>
      </c>
      <c r="BJ141" t="s">
        <v>2780</v>
      </c>
      <c r="BK141" t="s">
        <v>102</v>
      </c>
      <c r="BL141" t="s">
        <v>1348</v>
      </c>
      <c r="BM141" t="s">
        <v>2781</v>
      </c>
      <c r="BN141" t="s">
        <v>74</v>
      </c>
      <c r="BO141" t="s">
        <v>104</v>
      </c>
      <c r="BP141" t="s">
        <v>74</v>
      </c>
      <c r="BQ141" t="s">
        <v>74</v>
      </c>
      <c r="BR141" t="s">
        <v>105</v>
      </c>
      <c r="BS141" t="s">
        <v>2789</v>
      </c>
      <c r="BT141" t="str">
        <f>HYPERLINK("https%3A%2F%2Fwww.webofscience.com%2Fwos%2Fwoscc%2Ffull-record%2FWOS:000275640200008","View Full Record in Web of Science")</f>
        <v>View Full Record in Web of Science</v>
      </c>
    </row>
    <row r="142" spans="1:72" x14ac:dyDescent="0.15">
      <c r="A142" t="s">
        <v>72</v>
      </c>
      <c r="B142" t="s">
        <v>2790</v>
      </c>
      <c r="C142" t="s">
        <v>74</v>
      </c>
      <c r="D142" t="s">
        <v>74</v>
      </c>
      <c r="E142" t="s">
        <v>74</v>
      </c>
      <c r="F142" t="s">
        <v>2791</v>
      </c>
      <c r="G142" t="s">
        <v>74</v>
      </c>
      <c r="H142" t="s">
        <v>74</v>
      </c>
      <c r="I142" t="s">
        <v>2792</v>
      </c>
      <c r="J142" t="s">
        <v>2793</v>
      </c>
      <c r="K142" t="s">
        <v>74</v>
      </c>
      <c r="L142" t="s">
        <v>74</v>
      </c>
      <c r="M142" t="s">
        <v>78</v>
      </c>
      <c r="N142" t="s">
        <v>79</v>
      </c>
      <c r="O142" t="s">
        <v>74</v>
      </c>
      <c r="P142" t="s">
        <v>74</v>
      </c>
      <c r="Q142" t="s">
        <v>74</v>
      </c>
      <c r="R142" t="s">
        <v>74</v>
      </c>
      <c r="S142" t="s">
        <v>74</v>
      </c>
      <c r="T142" t="s">
        <v>2794</v>
      </c>
      <c r="U142" t="s">
        <v>2795</v>
      </c>
      <c r="V142" t="s">
        <v>2796</v>
      </c>
      <c r="W142" t="s">
        <v>2797</v>
      </c>
      <c r="X142" t="s">
        <v>2798</v>
      </c>
      <c r="Y142" t="s">
        <v>2799</v>
      </c>
      <c r="Z142" t="s">
        <v>2800</v>
      </c>
      <c r="AA142" t="s">
        <v>2801</v>
      </c>
      <c r="AB142" t="s">
        <v>2802</v>
      </c>
      <c r="AC142" t="s">
        <v>2803</v>
      </c>
      <c r="AD142" t="s">
        <v>2803</v>
      </c>
      <c r="AE142" t="s">
        <v>2804</v>
      </c>
      <c r="AF142" t="s">
        <v>74</v>
      </c>
      <c r="AG142">
        <v>32</v>
      </c>
      <c r="AH142">
        <v>24</v>
      </c>
      <c r="AI142">
        <v>24</v>
      </c>
      <c r="AJ142">
        <v>0</v>
      </c>
      <c r="AK142">
        <v>14</v>
      </c>
      <c r="AL142" t="s">
        <v>2805</v>
      </c>
      <c r="AM142" t="s">
        <v>2806</v>
      </c>
      <c r="AN142" t="s">
        <v>2807</v>
      </c>
      <c r="AO142" t="s">
        <v>2808</v>
      </c>
      <c r="AP142" t="s">
        <v>74</v>
      </c>
      <c r="AQ142" t="s">
        <v>74</v>
      </c>
      <c r="AR142" t="s">
        <v>2809</v>
      </c>
      <c r="AS142" t="s">
        <v>2810</v>
      </c>
      <c r="AT142" t="s">
        <v>505</v>
      </c>
      <c r="AU142">
        <v>2010</v>
      </c>
      <c r="AV142">
        <v>29</v>
      </c>
      <c r="AW142">
        <v>1</v>
      </c>
      <c r="AX142" t="s">
        <v>74</v>
      </c>
      <c r="AY142" t="s">
        <v>74</v>
      </c>
      <c r="AZ142" t="s">
        <v>74</v>
      </c>
      <c r="BA142" t="s">
        <v>74</v>
      </c>
      <c r="BB142">
        <v>30</v>
      </c>
      <c r="BC142">
        <v>35</v>
      </c>
      <c r="BD142" t="s">
        <v>74</v>
      </c>
      <c r="BE142" t="s">
        <v>2811</v>
      </c>
      <c r="BF142" t="str">
        <f>HYPERLINK("http://dx.doi.org/10.1111/j.1751-8369.2009.00143.x","http://dx.doi.org/10.1111/j.1751-8369.2009.00143.x")</f>
        <v>http://dx.doi.org/10.1111/j.1751-8369.2009.00143.x</v>
      </c>
      <c r="BG142" t="s">
        <v>74</v>
      </c>
      <c r="BH142" t="s">
        <v>74</v>
      </c>
      <c r="BI142">
        <v>6</v>
      </c>
      <c r="BJ142" t="s">
        <v>2812</v>
      </c>
      <c r="BK142" t="s">
        <v>102</v>
      </c>
      <c r="BL142" t="s">
        <v>2813</v>
      </c>
      <c r="BM142" t="s">
        <v>2814</v>
      </c>
      <c r="BN142" t="s">
        <v>74</v>
      </c>
      <c r="BO142" t="s">
        <v>74</v>
      </c>
      <c r="BP142" t="s">
        <v>74</v>
      </c>
      <c r="BQ142" t="s">
        <v>74</v>
      </c>
      <c r="BR142" t="s">
        <v>105</v>
      </c>
      <c r="BS142" t="s">
        <v>2815</v>
      </c>
      <c r="BT142" t="str">
        <f>HYPERLINK("https%3A%2F%2Fwww.webofscience.com%2Fwos%2Fwoscc%2Ffull-record%2FWOS:000276036200003","View Full Record in Web of Science")</f>
        <v>View Full Record in Web of Science</v>
      </c>
    </row>
    <row r="143" spans="1:72" x14ac:dyDescent="0.15">
      <c r="A143" t="s">
        <v>72</v>
      </c>
      <c r="B143" t="s">
        <v>2816</v>
      </c>
      <c r="C143" t="s">
        <v>74</v>
      </c>
      <c r="D143" t="s">
        <v>74</v>
      </c>
      <c r="E143" t="s">
        <v>74</v>
      </c>
      <c r="F143" t="s">
        <v>2817</v>
      </c>
      <c r="G143" t="s">
        <v>74</v>
      </c>
      <c r="H143" t="s">
        <v>74</v>
      </c>
      <c r="I143" t="s">
        <v>2818</v>
      </c>
      <c r="J143" t="s">
        <v>2819</v>
      </c>
      <c r="K143" t="s">
        <v>74</v>
      </c>
      <c r="L143" t="s">
        <v>74</v>
      </c>
      <c r="M143" t="s">
        <v>78</v>
      </c>
      <c r="N143" t="s">
        <v>79</v>
      </c>
      <c r="O143" t="s">
        <v>74</v>
      </c>
      <c r="P143" t="s">
        <v>74</v>
      </c>
      <c r="Q143" t="s">
        <v>74</v>
      </c>
      <c r="R143" t="s">
        <v>74</v>
      </c>
      <c r="S143" t="s">
        <v>74</v>
      </c>
      <c r="T143" t="s">
        <v>74</v>
      </c>
      <c r="U143" t="s">
        <v>2820</v>
      </c>
      <c r="V143" t="s">
        <v>2821</v>
      </c>
      <c r="W143" t="s">
        <v>2822</v>
      </c>
      <c r="X143" t="s">
        <v>2823</v>
      </c>
      <c r="Y143" t="s">
        <v>2824</v>
      </c>
      <c r="Z143" t="s">
        <v>2825</v>
      </c>
      <c r="AA143" t="s">
        <v>2826</v>
      </c>
      <c r="AB143" t="s">
        <v>2827</v>
      </c>
      <c r="AC143" t="s">
        <v>74</v>
      </c>
      <c r="AD143" t="s">
        <v>74</v>
      </c>
      <c r="AE143" t="s">
        <v>74</v>
      </c>
      <c r="AF143" t="s">
        <v>74</v>
      </c>
      <c r="AG143">
        <v>23</v>
      </c>
      <c r="AH143">
        <v>51</v>
      </c>
      <c r="AI143">
        <v>60</v>
      </c>
      <c r="AJ143">
        <v>0</v>
      </c>
      <c r="AK143">
        <v>7</v>
      </c>
      <c r="AL143" t="s">
        <v>2828</v>
      </c>
      <c r="AM143" t="s">
        <v>2829</v>
      </c>
      <c r="AN143" t="s">
        <v>2830</v>
      </c>
      <c r="AO143" t="s">
        <v>2831</v>
      </c>
      <c r="AP143" t="s">
        <v>74</v>
      </c>
      <c r="AQ143" t="s">
        <v>74</v>
      </c>
      <c r="AR143" t="s">
        <v>2832</v>
      </c>
      <c r="AS143" t="s">
        <v>2833</v>
      </c>
      <c r="AT143" t="s">
        <v>505</v>
      </c>
      <c r="AU143">
        <v>2010</v>
      </c>
      <c r="AV143">
        <v>122</v>
      </c>
      <c r="AW143">
        <v>890</v>
      </c>
      <c r="AX143" t="s">
        <v>74</v>
      </c>
      <c r="AY143" t="s">
        <v>74</v>
      </c>
      <c r="AZ143" t="s">
        <v>74</v>
      </c>
      <c r="BA143" t="s">
        <v>74</v>
      </c>
      <c r="BB143">
        <v>490</v>
      </c>
      <c r="BC143">
        <v>494</v>
      </c>
      <c r="BD143" t="s">
        <v>74</v>
      </c>
      <c r="BE143" t="s">
        <v>2834</v>
      </c>
      <c r="BF143" t="str">
        <f>HYPERLINK("http://dx.doi.org/10.1086/652276","http://dx.doi.org/10.1086/652276")</f>
        <v>http://dx.doi.org/10.1086/652276</v>
      </c>
      <c r="BG143" t="s">
        <v>74</v>
      </c>
      <c r="BH143" t="s">
        <v>74</v>
      </c>
      <c r="BI143">
        <v>5</v>
      </c>
      <c r="BJ143" t="s">
        <v>478</v>
      </c>
      <c r="BK143" t="s">
        <v>102</v>
      </c>
      <c r="BL143" t="s">
        <v>478</v>
      </c>
      <c r="BM143" t="s">
        <v>2835</v>
      </c>
      <c r="BN143" t="s">
        <v>74</v>
      </c>
      <c r="BO143" t="s">
        <v>74</v>
      </c>
      <c r="BP143" t="s">
        <v>74</v>
      </c>
      <c r="BQ143" t="s">
        <v>74</v>
      </c>
      <c r="BR143" t="s">
        <v>105</v>
      </c>
      <c r="BS143" t="s">
        <v>2836</v>
      </c>
      <c r="BT143" t="str">
        <f>HYPERLINK("https%3A%2F%2Fwww.webofscience.com%2Fwos%2Fwoscc%2Ffull-record%2FWOS:000275881000009","View Full Record in Web of Science")</f>
        <v>View Full Record in Web of Science</v>
      </c>
    </row>
    <row r="144" spans="1:72" x14ac:dyDescent="0.15">
      <c r="A144" t="s">
        <v>72</v>
      </c>
      <c r="B144" t="s">
        <v>2837</v>
      </c>
      <c r="C144" t="s">
        <v>74</v>
      </c>
      <c r="D144" t="s">
        <v>74</v>
      </c>
      <c r="E144" t="s">
        <v>74</v>
      </c>
      <c r="F144" t="s">
        <v>2838</v>
      </c>
      <c r="G144" t="s">
        <v>74</v>
      </c>
      <c r="H144" t="s">
        <v>74</v>
      </c>
      <c r="I144" t="s">
        <v>2839</v>
      </c>
      <c r="J144" t="s">
        <v>2840</v>
      </c>
      <c r="K144" t="s">
        <v>74</v>
      </c>
      <c r="L144" t="s">
        <v>74</v>
      </c>
      <c r="M144" t="s">
        <v>78</v>
      </c>
      <c r="N144" t="s">
        <v>79</v>
      </c>
      <c r="O144" t="s">
        <v>74</v>
      </c>
      <c r="P144" t="s">
        <v>74</v>
      </c>
      <c r="Q144" t="s">
        <v>74</v>
      </c>
      <c r="R144" t="s">
        <v>74</v>
      </c>
      <c r="S144" t="s">
        <v>74</v>
      </c>
      <c r="T144" t="s">
        <v>2841</v>
      </c>
      <c r="U144" t="s">
        <v>2842</v>
      </c>
      <c r="V144" t="s">
        <v>2843</v>
      </c>
      <c r="W144" t="s">
        <v>2844</v>
      </c>
      <c r="X144" t="s">
        <v>2845</v>
      </c>
      <c r="Y144" t="s">
        <v>2846</v>
      </c>
      <c r="Z144" t="s">
        <v>2847</v>
      </c>
      <c r="AA144" t="s">
        <v>2848</v>
      </c>
      <c r="AB144" t="s">
        <v>2849</v>
      </c>
      <c r="AC144" t="s">
        <v>2850</v>
      </c>
      <c r="AD144" t="s">
        <v>2851</v>
      </c>
      <c r="AE144" t="s">
        <v>2852</v>
      </c>
      <c r="AF144" t="s">
        <v>74</v>
      </c>
      <c r="AG144">
        <v>53</v>
      </c>
      <c r="AH144">
        <v>7</v>
      </c>
      <c r="AI144">
        <v>7</v>
      </c>
      <c r="AJ144">
        <v>0</v>
      </c>
      <c r="AK144">
        <v>6</v>
      </c>
      <c r="AL144" t="s">
        <v>991</v>
      </c>
      <c r="AM144" t="s">
        <v>992</v>
      </c>
      <c r="AN144" t="s">
        <v>993</v>
      </c>
      <c r="AO144" t="s">
        <v>2853</v>
      </c>
      <c r="AP144" t="s">
        <v>2854</v>
      </c>
      <c r="AQ144" t="s">
        <v>74</v>
      </c>
      <c r="AR144" t="s">
        <v>2855</v>
      </c>
      <c r="AS144" t="s">
        <v>2856</v>
      </c>
      <c r="AT144" t="s">
        <v>505</v>
      </c>
      <c r="AU144">
        <v>2010</v>
      </c>
      <c r="AV144">
        <v>136</v>
      </c>
      <c r="AW144">
        <v>648</v>
      </c>
      <c r="AX144" t="s">
        <v>2857</v>
      </c>
      <c r="AY144" t="s">
        <v>74</v>
      </c>
      <c r="AZ144" t="s">
        <v>74</v>
      </c>
      <c r="BA144" t="s">
        <v>74</v>
      </c>
      <c r="BB144">
        <v>755</v>
      </c>
      <c r="BC144">
        <v>768</v>
      </c>
      <c r="BD144" t="s">
        <v>74</v>
      </c>
      <c r="BE144" t="s">
        <v>2858</v>
      </c>
      <c r="BF144" t="str">
        <f>HYPERLINK("http://dx.doi.org/10.1002/qj.581","http://dx.doi.org/10.1002/qj.581")</f>
        <v>http://dx.doi.org/10.1002/qj.581</v>
      </c>
      <c r="BG144" t="s">
        <v>74</v>
      </c>
      <c r="BH144" t="s">
        <v>74</v>
      </c>
      <c r="BI144">
        <v>14</v>
      </c>
      <c r="BJ144" t="s">
        <v>258</v>
      </c>
      <c r="BK144" t="s">
        <v>102</v>
      </c>
      <c r="BL144" t="s">
        <v>258</v>
      </c>
      <c r="BM144" t="s">
        <v>2859</v>
      </c>
      <c r="BN144" t="s">
        <v>74</v>
      </c>
      <c r="BO144" t="s">
        <v>74</v>
      </c>
      <c r="BP144" t="s">
        <v>74</v>
      </c>
      <c r="BQ144" t="s">
        <v>74</v>
      </c>
      <c r="BR144" t="s">
        <v>105</v>
      </c>
      <c r="BS144" t="s">
        <v>2860</v>
      </c>
      <c r="BT144" t="str">
        <f>HYPERLINK("https%3A%2F%2Fwww.webofscience.com%2Fwos%2Fwoscc%2Ffull-record%2FWOS:000278016300014","View Full Record in Web of Science")</f>
        <v>View Full Record in Web of Science</v>
      </c>
    </row>
    <row r="145" spans="1:72" x14ac:dyDescent="0.15">
      <c r="A145" t="s">
        <v>72</v>
      </c>
      <c r="B145" t="s">
        <v>2861</v>
      </c>
      <c r="C145" t="s">
        <v>74</v>
      </c>
      <c r="D145" t="s">
        <v>74</v>
      </c>
      <c r="E145" t="s">
        <v>74</v>
      </c>
      <c r="F145" t="s">
        <v>2862</v>
      </c>
      <c r="G145" t="s">
        <v>74</v>
      </c>
      <c r="H145" t="s">
        <v>74</v>
      </c>
      <c r="I145" t="s">
        <v>2863</v>
      </c>
      <c r="J145" t="s">
        <v>2864</v>
      </c>
      <c r="K145" t="s">
        <v>74</v>
      </c>
      <c r="L145" t="s">
        <v>74</v>
      </c>
      <c r="M145" t="s">
        <v>78</v>
      </c>
      <c r="N145" t="s">
        <v>111</v>
      </c>
      <c r="O145" t="s">
        <v>2865</v>
      </c>
      <c r="P145" t="s">
        <v>2866</v>
      </c>
      <c r="Q145" t="s">
        <v>2867</v>
      </c>
      <c r="R145" t="s">
        <v>74</v>
      </c>
      <c r="S145" t="s">
        <v>2868</v>
      </c>
      <c r="T145" t="s">
        <v>2869</v>
      </c>
      <c r="U145" t="s">
        <v>2870</v>
      </c>
      <c r="V145" t="s">
        <v>2871</v>
      </c>
      <c r="W145" t="s">
        <v>2872</v>
      </c>
      <c r="X145" t="s">
        <v>2873</v>
      </c>
      <c r="Y145" t="s">
        <v>2874</v>
      </c>
      <c r="Z145" t="s">
        <v>2875</v>
      </c>
      <c r="AA145" t="s">
        <v>74</v>
      </c>
      <c r="AB145" t="s">
        <v>74</v>
      </c>
      <c r="AC145" t="s">
        <v>74</v>
      </c>
      <c r="AD145" t="s">
        <v>74</v>
      </c>
      <c r="AE145" t="s">
        <v>74</v>
      </c>
      <c r="AF145" t="s">
        <v>74</v>
      </c>
      <c r="AG145">
        <v>27</v>
      </c>
      <c r="AH145">
        <v>6</v>
      </c>
      <c r="AI145">
        <v>7</v>
      </c>
      <c r="AJ145">
        <v>0</v>
      </c>
      <c r="AK145">
        <v>4</v>
      </c>
      <c r="AL145" t="s">
        <v>2285</v>
      </c>
      <c r="AM145" t="s">
        <v>1064</v>
      </c>
      <c r="AN145" t="s">
        <v>2286</v>
      </c>
      <c r="AO145" t="s">
        <v>2876</v>
      </c>
      <c r="AP145" t="s">
        <v>74</v>
      </c>
      <c r="AQ145" t="s">
        <v>74</v>
      </c>
      <c r="AR145" t="s">
        <v>2877</v>
      </c>
      <c r="AS145" t="s">
        <v>2878</v>
      </c>
      <c r="AT145" t="s">
        <v>2625</v>
      </c>
      <c r="AU145">
        <v>2010</v>
      </c>
      <c r="AV145">
        <v>5</v>
      </c>
      <c r="AW145" t="s">
        <v>2879</v>
      </c>
      <c r="AX145" t="s">
        <v>74</v>
      </c>
      <c r="AY145" t="s">
        <v>74</v>
      </c>
      <c r="AZ145" t="s">
        <v>152</v>
      </c>
      <c r="BA145" t="s">
        <v>74</v>
      </c>
      <c r="BB145">
        <v>244</v>
      </c>
      <c r="BC145">
        <v>249</v>
      </c>
      <c r="BD145" t="s">
        <v>74</v>
      </c>
      <c r="BE145" t="s">
        <v>2880</v>
      </c>
      <c r="BF145" t="str">
        <f>HYPERLINK("http://dx.doi.org/10.1016/j.quageo.2009.01.010","http://dx.doi.org/10.1016/j.quageo.2009.01.010")</f>
        <v>http://dx.doi.org/10.1016/j.quageo.2009.01.010</v>
      </c>
      <c r="BG145" t="s">
        <v>74</v>
      </c>
      <c r="BH145" t="s">
        <v>74</v>
      </c>
      <c r="BI145">
        <v>6</v>
      </c>
      <c r="BJ145" t="s">
        <v>2881</v>
      </c>
      <c r="BK145" t="s">
        <v>128</v>
      </c>
      <c r="BL145" t="s">
        <v>2628</v>
      </c>
      <c r="BM145" t="s">
        <v>2882</v>
      </c>
      <c r="BN145" t="s">
        <v>74</v>
      </c>
      <c r="BO145" t="s">
        <v>74</v>
      </c>
      <c r="BP145" t="s">
        <v>74</v>
      </c>
      <c r="BQ145" t="s">
        <v>74</v>
      </c>
      <c r="BR145" t="s">
        <v>105</v>
      </c>
      <c r="BS145" t="s">
        <v>2883</v>
      </c>
      <c r="BT145" t="str">
        <f>HYPERLINK("https%3A%2F%2Fwww.webofscience.com%2Fwos%2Fwoscc%2Ffull-record%2FWOS:000276666900031","View Full Record in Web of Science")</f>
        <v>View Full Record in Web of Science</v>
      </c>
    </row>
    <row r="146" spans="1:72" x14ac:dyDescent="0.15">
      <c r="A146" t="s">
        <v>72</v>
      </c>
      <c r="B146" t="s">
        <v>2884</v>
      </c>
      <c r="C146" t="s">
        <v>74</v>
      </c>
      <c r="D146" t="s">
        <v>74</v>
      </c>
      <c r="E146" t="s">
        <v>74</v>
      </c>
      <c r="F146" t="s">
        <v>2885</v>
      </c>
      <c r="G146" t="s">
        <v>74</v>
      </c>
      <c r="H146" t="s">
        <v>74</v>
      </c>
      <c r="I146" t="s">
        <v>2886</v>
      </c>
      <c r="J146" t="s">
        <v>2887</v>
      </c>
      <c r="K146" t="s">
        <v>74</v>
      </c>
      <c r="L146" t="s">
        <v>74</v>
      </c>
      <c r="M146" t="s">
        <v>78</v>
      </c>
      <c r="N146" t="s">
        <v>79</v>
      </c>
      <c r="O146" t="s">
        <v>74</v>
      </c>
      <c r="P146" t="s">
        <v>74</v>
      </c>
      <c r="Q146" t="s">
        <v>74</v>
      </c>
      <c r="R146" t="s">
        <v>74</v>
      </c>
      <c r="S146" t="s">
        <v>74</v>
      </c>
      <c r="T146" t="s">
        <v>74</v>
      </c>
      <c r="U146" t="s">
        <v>2888</v>
      </c>
      <c r="V146" t="s">
        <v>2889</v>
      </c>
      <c r="W146" t="s">
        <v>2890</v>
      </c>
      <c r="X146" t="s">
        <v>2891</v>
      </c>
      <c r="Y146" t="s">
        <v>2892</v>
      </c>
      <c r="Z146" t="s">
        <v>74</v>
      </c>
      <c r="AA146" t="s">
        <v>2893</v>
      </c>
      <c r="AB146" t="s">
        <v>2894</v>
      </c>
      <c r="AC146" t="s">
        <v>2895</v>
      </c>
      <c r="AD146" t="s">
        <v>2895</v>
      </c>
      <c r="AE146" t="s">
        <v>2896</v>
      </c>
      <c r="AF146" t="s">
        <v>74</v>
      </c>
      <c r="AG146">
        <v>103</v>
      </c>
      <c r="AH146">
        <v>36</v>
      </c>
      <c r="AI146">
        <v>36</v>
      </c>
      <c r="AJ146">
        <v>1</v>
      </c>
      <c r="AK146">
        <v>25</v>
      </c>
      <c r="AL146" t="s">
        <v>1063</v>
      </c>
      <c r="AM146" t="s">
        <v>1064</v>
      </c>
      <c r="AN146" t="s">
        <v>1065</v>
      </c>
      <c r="AO146" t="s">
        <v>2897</v>
      </c>
      <c r="AP146" t="s">
        <v>74</v>
      </c>
      <c r="AQ146" t="s">
        <v>74</v>
      </c>
      <c r="AR146" t="s">
        <v>2898</v>
      </c>
      <c r="AS146" t="s">
        <v>2899</v>
      </c>
      <c r="AT146" t="s">
        <v>505</v>
      </c>
      <c r="AU146">
        <v>2010</v>
      </c>
      <c r="AV146">
        <v>29</v>
      </c>
      <c r="AW146" t="s">
        <v>1102</v>
      </c>
      <c r="AX146" t="s">
        <v>74</v>
      </c>
      <c r="AY146" t="s">
        <v>74</v>
      </c>
      <c r="AZ146" t="s">
        <v>74</v>
      </c>
      <c r="BA146" t="s">
        <v>74</v>
      </c>
      <c r="BB146">
        <v>1025</v>
      </c>
      <c r="BC146">
        <v>1039</v>
      </c>
      <c r="BD146" t="s">
        <v>74</v>
      </c>
      <c r="BE146" t="s">
        <v>2900</v>
      </c>
      <c r="BF146" t="str">
        <f>HYPERLINK("http://dx.doi.org/10.1016/j.quascirev.2010.01.009","http://dx.doi.org/10.1016/j.quascirev.2010.01.009")</f>
        <v>http://dx.doi.org/10.1016/j.quascirev.2010.01.009</v>
      </c>
      <c r="BG146" t="s">
        <v>74</v>
      </c>
      <c r="BH146" t="s">
        <v>74</v>
      </c>
      <c r="BI146">
        <v>15</v>
      </c>
      <c r="BJ146" t="s">
        <v>2881</v>
      </c>
      <c r="BK146" t="s">
        <v>102</v>
      </c>
      <c r="BL146" t="s">
        <v>2628</v>
      </c>
      <c r="BM146" t="s">
        <v>2901</v>
      </c>
      <c r="BN146" t="s">
        <v>74</v>
      </c>
      <c r="BO146" t="s">
        <v>326</v>
      </c>
      <c r="BP146" t="s">
        <v>74</v>
      </c>
      <c r="BQ146" t="s">
        <v>74</v>
      </c>
      <c r="BR146" t="s">
        <v>105</v>
      </c>
      <c r="BS146" t="s">
        <v>2902</v>
      </c>
      <c r="BT146" t="str">
        <f>HYPERLINK("https%3A%2F%2Fwww.webofscience.com%2Fwos%2Fwoscc%2Ffull-record%2FWOS:000276749200015","View Full Record in Web of Science")</f>
        <v>View Full Record in Web of Science</v>
      </c>
    </row>
    <row r="147" spans="1:72" x14ac:dyDescent="0.15">
      <c r="A147" t="s">
        <v>72</v>
      </c>
      <c r="B147" t="s">
        <v>2903</v>
      </c>
      <c r="C147" t="s">
        <v>74</v>
      </c>
      <c r="D147" t="s">
        <v>74</v>
      </c>
      <c r="E147" t="s">
        <v>74</v>
      </c>
      <c r="F147" t="s">
        <v>2904</v>
      </c>
      <c r="G147" t="s">
        <v>74</v>
      </c>
      <c r="H147" t="s">
        <v>74</v>
      </c>
      <c r="I147" t="s">
        <v>2905</v>
      </c>
      <c r="J147" t="s">
        <v>2906</v>
      </c>
      <c r="K147" t="s">
        <v>74</v>
      </c>
      <c r="L147" t="s">
        <v>74</v>
      </c>
      <c r="M147" t="s">
        <v>78</v>
      </c>
      <c r="N147" t="s">
        <v>79</v>
      </c>
      <c r="O147" t="s">
        <v>74</v>
      </c>
      <c r="P147" t="s">
        <v>74</v>
      </c>
      <c r="Q147" t="s">
        <v>74</v>
      </c>
      <c r="R147" t="s">
        <v>74</v>
      </c>
      <c r="S147" t="s">
        <v>74</v>
      </c>
      <c r="T147" t="s">
        <v>74</v>
      </c>
      <c r="U147" t="s">
        <v>74</v>
      </c>
      <c r="V147" t="s">
        <v>2907</v>
      </c>
      <c r="W147" t="s">
        <v>2908</v>
      </c>
      <c r="X147" t="s">
        <v>2909</v>
      </c>
      <c r="Y147" t="s">
        <v>2910</v>
      </c>
      <c r="Z147" t="s">
        <v>2911</v>
      </c>
      <c r="AA147" t="s">
        <v>2912</v>
      </c>
      <c r="AB147" t="s">
        <v>74</v>
      </c>
      <c r="AC147" t="s">
        <v>74</v>
      </c>
      <c r="AD147" t="s">
        <v>74</v>
      </c>
      <c r="AE147" t="s">
        <v>74</v>
      </c>
      <c r="AF147" t="s">
        <v>74</v>
      </c>
      <c r="AG147">
        <v>13</v>
      </c>
      <c r="AH147">
        <v>0</v>
      </c>
      <c r="AI147">
        <v>0</v>
      </c>
      <c r="AJ147">
        <v>0</v>
      </c>
      <c r="AK147">
        <v>0</v>
      </c>
      <c r="AL147" t="s">
        <v>2913</v>
      </c>
      <c r="AM147" t="s">
        <v>225</v>
      </c>
      <c r="AN147" t="s">
        <v>2914</v>
      </c>
      <c r="AO147" t="s">
        <v>2915</v>
      </c>
      <c r="AP147" t="s">
        <v>2916</v>
      </c>
      <c r="AQ147" t="s">
        <v>74</v>
      </c>
      <c r="AR147" t="s">
        <v>2917</v>
      </c>
      <c r="AS147" t="s">
        <v>2918</v>
      </c>
      <c r="AT147" t="s">
        <v>505</v>
      </c>
      <c r="AU147">
        <v>2010</v>
      </c>
      <c r="AV147">
        <v>52</v>
      </c>
      <c r="AW147">
        <v>2</v>
      </c>
      <c r="AX147" t="s">
        <v>74</v>
      </c>
      <c r="AY147" t="s">
        <v>74</v>
      </c>
      <c r="AZ147" t="s">
        <v>74</v>
      </c>
      <c r="BA147" t="s">
        <v>74</v>
      </c>
      <c r="BB147">
        <v>217</v>
      </c>
      <c r="BC147">
        <v>221</v>
      </c>
      <c r="BD147" t="s">
        <v>74</v>
      </c>
      <c r="BE147" t="s">
        <v>2919</v>
      </c>
      <c r="BF147" t="str">
        <f>HYPERLINK("http://dx.doi.org/10.1134/S1066362210020177","http://dx.doi.org/10.1134/S1066362210020177")</f>
        <v>http://dx.doi.org/10.1134/S1066362210020177</v>
      </c>
      <c r="BG147" t="s">
        <v>74</v>
      </c>
      <c r="BH147" t="s">
        <v>74</v>
      </c>
      <c r="BI147">
        <v>5</v>
      </c>
      <c r="BJ147" t="s">
        <v>2920</v>
      </c>
      <c r="BK147" t="s">
        <v>1408</v>
      </c>
      <c r="BL147" t="s">
        <v>2921</v>
      </c>
      <c r="BM147" t="s">
        <v>2922</v>
      </c>
      <c r="BN147" t="s">
        <v>74</v>
      </c>
      <c r="BO147" t="s">
        <v>74</v>
      </c>
      <c r="BP147" t="s">
        <v>74</v>
      </c>
      <c r="BQ147" t="s">
        <v>74</v>
      </c>
      <c r="BR147" t="s">
        <v>105</v>
      </c>
      <c r="BS147" t="s">
        <v>2923</v>
      </c>
      <c r="BT147" t="str">
        <f>HYPERLINK("https%3A%2F%2Fwww.webofscience.com%2Fwos%2Fwoscc%2Ffull-record%2FWOS:000415527000017","View Full Record in Web of Science")</f>
        <v>View Full Record in Web of Science</v>
      </c>
    </row>
    <row r="148" spans="1:72" x14ac:dyDescent="0.15">
      <c r="A148" t="s">
        <v>72</v>
      </c>
      <c r="B148" t="s">
        <v>2924</v>
      </c>
      <c r="C148" t="s">
        <v>74</v>
      </c>
      <c r="D148" t="s">
        <v>74</v>
      </c>
      <c r="E148" t="s">
        <v>74</v>
      </c>
      <c r="F148" t="s">
        <v>2925</v>
      </c>
      <c r="G148" t="s">
        <v>74</v>
      </c>
      <c r="H148" t="s">
        <v>74</v>
      </c>
      <c r="I148" t="s">
        <v>2926</v>
      </c>
      <c r="J148" t="s">
        <v>2927</v>
      </c>
      <c r="K148" t="s">
        <v>74</v>
      </c>
      <c r="L148" t="s">
        <v>74</v>
      </c>
      <c r="M148" t="s">
        <v>2928</v>
      </c>
      <c r="N148" t="s">
        <v>79</v>
      </c>
      <c r="O148" t="s">
        <v>74</v>
      </c>
      <c r="P148" t="s">
        <v>74</v>
      </c>
      <c r="Q148" t="s">
        <v>74</v>
      </c>
      <c r="R148" t="s">
        <v>74</v>
      </c>
      <c r="S148" t="s">
        <v>74</v>
      </c>
      <c r="T148" t="s">
        <v>2929</v>
      </c>
      <c r="U148" t="s">
        <v>74</v>
      </c>
      <c r="V148" t="s">
        <v>2930</v>
      </c>
      <c r="W148" t="s">
        <v>2931</v>
      </c>
      <c r="X148" t="s">
        <v>74</v>
      </c>
      <c r="Y148" t="s">
        <v>2932</v>
      </c>
      <c r="Z148" t="s">
        <v>2933</v>
      </c>
      <c r="AA148" t="s">
        <v>74</v>
      </c>
      <c r="AB148" t="s">
        <v>74</v>
      </c>
      <c r="AC148" t="s">
        <v>74</v>
      </c>
      <c r="AD148" t="s">
        <v>74</v>
      </c>
      <c r="AE148" t="s">
        <v>74</v>
      </c>
      <c r="AF148" t="s">
        <v>74</v>
      </c>
      <c r="AG148">
        <v>12</v>
      </c>
      <c r="AH148">
        <v>0</v>
      </c>
      <c r="AI148">
        <v>0</v>
      </c>
      <c r="AJ148">
        <v>0</v>
      </c>
      <c r="AK148">
        <v>0</v>
      </c>
      <c r="AL148" t="s">
        <v>2934</v>
      </c>
      <c r="AM148" t="s">
        <v>2935</v>
      </c>
      <c r="AN148" t="s">
        <v>2936</v>
      </c>
      <c r="AO148" t="s">
        <v>2937</v>
      </c>
      <c r="AP148" t="s">
        <v>74</v>
      </c>
      <c r="AQ148" t="s">
        <v>74</v>
      </c>
      <c r="AR148" t="s">
        <v>2938</v>
      </c>
      <c r="AS148" t="s">
        <v>2939</v>
      </c>
      <c r="AT148" t="s">
        <v>2625</v>
      </c>
      <c r="AU148">
        <v>2010</v>
      </c>
      <c r="AV148">
        <v>1</v>
      </c>
      <c r="AW148">
        <v>2</v>
      </c>
      <c r="AX148" t="s">
        <v>74</v>
      </c>
      <c r="AY148" t="s">
        <v>74</v>
      </c>
      <c r="AZ148" t="s">
        <v>74</v>
      </c>
      <c r="BA148" t="s">
        <v>74</v>
      </c>
      <c r="BB148">
        <v>1</v>
      </c>
      <c r="BC148">
        <v>10</v>
      </c>
      <c r="BD148" t="s">
        <v>74</v>
      </c>
      <c r="BE148" t="s">
        <v>74</v>
      </c>
      <c r="BF148" t="s">
        <v>74</v>
      </c>
      <c r="BG148" t="s">
        <v>74</v>
      </c>
      <c r="BH148" t="s">
        <v>74</v>
      </c>
      <c r="BI148">
        <v>10</v>
      </c>
      <c r="BJ148" t="s">
        <v>2940</v>
      </c>
      <c r="BK148" t="s">
        <v>1408</v>
      </c>
      <c r="BL148" t="s">
        <v>2940</v>
      </c>
      <c r="BM148" t="s">
        <v>2941</v>
      </c>
      <c r="BN148" t="s">
        <v>74</v>
      </c>
      <c r="BO148" t="s">
        <v>74</v>
      </c>
      <c r="BP148" t="s">
        <v>74</v>
      </c>
      <c r="BQ148" t="s">
        <v>74</v>
      </c>
      <c r="BR148" t="s">
        <v>105</v>
      </c>
      <c r="BS148" t="s">
        <v>2942</v>
      </c>
      <c r="BT148" t="str">
        <f>HYPERLINK("https%3A%2F%2Fwww.webofscience.com%2Fwos%2Fwoscc%2Ffull-record%2FWOS:000215954700001","View Full Record in Web of Science")</f>
        <v>View Full Record in Web of Science</v>
      </c>
    </row>
    <row r="149" spans="1:72" x14ac:dyDescent="0.15">
      <c r="A149" t="s">
        <v>72</v>
      </c>
      <c r="B149" t="s">
        <v>2943</v>
      </c>
      <c r="C149" t="s">
        <v>74</v>
      </c>
      <c r="D149" t="s">
        <v>74</v>
      </c>
      <c r="E149" t="s">
        <v>74</v>
      </c>
      <c r="F149" t="s">
        <v>2944</v>
      </c>
      <c r="G149" t="s">
        <v>74</v>
      </c>
      <c r="H149" t="s">
        <v>74</v>
      </c>
      <c r="I149" t="s">
        <v>2945</v>
      </c>
      <c r="J149" t="s">
        <v>2927</v>
      </c>
      <c r="K149" t="s">
        <v>74</v>
      </c>
      <c r="L149" t="s">
        <v>74</v>
      </c>
      <c r="M149" t="s">
        <v>2928</v>
      </c>
      <c r="N149" t="s">
        <v>79</v>
      </c>
      <c r="O149" t="s">
        <v>74</v>
      </c>
      <c r="P149" t="s">
        <v>74</v>
      </c>
      <c r="Q149" t="s">
        <v>74</v>
      </c>
      <c r="R149" t="s">
        <v>74</v>
      </c>
      <c r="S149" t="s">
        <v>74</v>
      </c>
      <c r="T149" t="s">
        <v>2946</v>
      </c>
      <c r="U149" t="s">
        <v>74</v>
      </c>
      <c r="V149" t="s">
        <v>2947</v>
      </c>
      <c r="W149" t="s">
        <v>2948</v>
      </c>
      <c r="X149" t="s">
        <v>74</v>
      </c>
      <c r="Y149" t="s">
        <v>2949</v>
      </c>
      <c r="Z149" t="s">
        <v>2950</v>
      </c>
      <c r="AA149" t="s">
        <v>74</v>
      </c>
      <c r="AB149" t="s">
        <v>74</v>
      </c>
      <c r="AC149" t="s">
        <v>74</v>
      </c>
      <c r="AD149" t="s">
        <v>74</v>
      </c>
      <c r="AE149" t="s">
        <v>74</v>
      </c>
      <c r="AF149" t="s">
        <v>74</v>
      </c>
      <c r="AG149">
        <v>17</v>
      </c>
      <c r="AH149">
        <v>0</v>
      </c>
      <c r="AI149">
        <v>0</v>
      </c>
      <c r="AJ149">
        <v>0</v>
      </c>
      <c r="AK149">
        <v>0</v>
      </c>
      <c r="AL149" t="s">
        <v>2934</v>
      </c>
      <c r="AM149" t="s">
        <v>2935</v>
      </c>
      <c r="AN149" t="s">
        <v>2936</v>
      </c>
      <c r="AO149" t="s">
        <v>2937</v>
      </c>
      <c r="AP149" t="s">
        <v>74</v>
      </c>
      <c r="AQ149" t="s">
        <v>74</v>
      </c>
      <c r="AR149" t="s">
        <v>2938</v>
      </c>
      <c r="AS149" t="s">
        <v>2939</v>
      </c>
      <c r="AT149" t="s">
        <v>2625</v>
      </c>
      <c r="AU149">
        <v>2010</v>
      </c>
      <c r="AV149">
        <v>1</v>
      </c>
      <c r="AW149">
        <v>2</v>
      </c>
      <c r="AX149" t="s">
        <v>74</v>
      </c>
      <c r="AY149" t="s">
        <v>74</v>
      </c>
      <c r="AZ149" t="s">
        <v>74</v>
      </c>
      <c r="BA149" t="s">
        <v>74</v>
      </c>
      <c r="BB149">
        <v>22</v>
      </c>
      <c r="BC149">
        <v>37</v>
      </c>
      <c r="BD149" t="s">
        <v>74</v>
      </c>
      <c r="BE149" t="s">
        <v>74</v>
      </c>
      <c r="BF149" t="s">
        <v>74</v>
      </c>
      <c r="BG149" t="s">
        <v>74</v>
      </c>
      <c r="BH149" t="s">
        <v>74</v>
      </c>
      <c r="BI149">
        <v>16</v>
      </c>
      <c r="BJ149" t="s">
        <v>2940</v>
      </c>
      <c r="BK149" t="s">
        <v>1408</v>
      </c>
      <c r="BL149" t="s">
        <v>2940</v>
      </c>
      <c r="BM149" t="s">
        <v>2941</v>
      </c>
      <c r="BN149" t="s">
        <v>74</v>
      </c>
      <c r="BO149" t="s">
        <v>74</v>
      </c>
      <c r="BP149" t="s">
        <v>74</v>
      </c>
      <c r="BQ149" t="s">
        <v>74</v>
      </c>
      <c r="BR149" t="s">
        <v>105</v>
      </c>
      <c r="BS149" t="s">
        <v>2951</v>
      </c>
      <c r="BT149" t="str">
        <f>HYPERLINK("https%3A%2F%2Fwww.webofscience.com%2Fwos%2Fwoscc%2Ffull-record%2FWOS:000215954700003","View Full Record in Web of Science")</f>
        <v>View Full Record in Web of Science</v>
      </c>
    </row>
    <row r="150" spans="1:72" x14ac:dyDescent="0.15">
      <c r="A150" t="s">
        <v>72</v>
      </c>
      <c r="B150" t="s">
        <v>2952</v>
      </c>
      <c r="C150" t="s">
        <v>74</v>
      </c>
      <c r="D150" t="s">
        <v>74</v>
      </c>
      <c r="E150" t="s">
        <v>74</v>
      </c>
      <c r="F150" t="s">
        <v>2953</v>
      </c>
      <c r="G150" t="s">
        <v>74</v>
      </c>
      <c r="H150" t="s">
        <v>74</v>
      </c>
      <c r="I150" t="s">
        <v>2954</v>
      </c>
      <c r="J150" t="s">
        <v>2955</v>
      </c>
      <c r="K150" t="s">
        <v>74</v>
      </c>
      <c r="L150" t="s">
        <v>74</v>
      </c>
      <c r="M150" t="s">
        <v>78</v>
      </c>
      <c r="N150" t="s">
        <v>79</v>
      </c>
      <c r="O150" t="s">
        <v>74</v>
      </c>
      <c r="P150" t="s">
        <v>74</v>
      </c>
      <c r="Q150" t="s">
        <v>74</v>
      </c>
      <c r="R150" t="s">
        <v>74</v>
      </c>
      <c r="S150" t="s">
        <v>74</v>
      </c>
      <c r="T150" t="s">
        <v>2956</v>
      </c>
      <c r="U150" t="s">
        <v>2957</v>
      </c>
      <c r="V150" t="s">
        <v>2958</v>
      </c>
      <c r="W150" t="s">
        <v>2959</v>
      </c>
      <c r="X150" t="s">
        <v>2960</v>
      </c>
      <c r="Y150" t="s">
        <v>2961</v>
      </c>
      <c r="Z150" t="s">
        <v>74</v>
      </c>
      <c r="AA150" t="s">
        <v>2962</v>
      </c>
      <c r="AB150" t="s">
        <v>2963</v>
      </c>
      <c r="AC150" t="s">
        <v>2964</v>
      </c>
      <c r="AD150" t="s">
        <v>2964</v>
      </c>
      <c r="AE150" t="s">
        <v>2965</v>
      </c>
      <c r="AF150" t="s">
        <v>74</v>
      </c>
      <c r="AG150">
        <v>23</v>
      </c>
      <c r="AH150">
        <v>13</v>
      </c>
      <c r="AI150">
        <v>13</v>
      </c>
      <c r="AJ150">
        <v>0</v>
      </c>
      <c r="AK150">
        <v>2</v>
      </c>
      <c r="AL150" t="s">
        <v>2966</v>
      </c>
      <c r="AM150" t="s">
        <v>2967</v>
      </c>
      <c r="AN150" t="s">
        <v>2968</v>
      </c>
      <c r="AO150" t="s">
        <v>2969</v>
      </c>
      <c r="AP150" t="s">
        <v>74</v>
      </c>
      <c r="AQ150" t="s">
        <v>74</v>
      </c>
      <c r="AR150" t="s">
        <v>2970</v>
      </c>
      <c r="AS150" t="s">
        <v>2971</v>
      </c>
      <c r="AT150" t="s">
        <v>2625</v>
      </c>
      <c r="AU150">
        <v>2010</v>
      </c>
      <c r="AV150">
        <v>10</v>
      </c>
      <c r="AW150">
        <v>2</v>
      </c>
      <c r="AX150" t="s">
        <v>74</v>
      </c>
      <c r="AY150" t="s">
        <v>74</v>
      </c>
      <c r="AZ150" t="s">
        <v>74</v>
      </c>
      <c r="BA150" t="s">
        <v>74</v>
      </c>
      <c r="BB150" t="s">
        <v>74</v>
      </c>
      <c r="BC150" t="s">
        <v>74</v>
      </c>
      <c r="BD150">
        <v>1351</v>
      </c>
      <c r="BE150" t="s">
        <v>74</v>
      </c>
      <c r="BF150" t="s">
        <v>74</v>
      </c>
      <c r="BG150" t="s">
        <v>74</v>
      </c>
      <c r="BH150" t="s">
        <v>74</v>
      </c>
      <c r="BI150">
        <v>12</v>
      </c>
      <c r="BJ150" t="s">
        <v>2972</v>
      </c>
      <c r="BK150" t="s">
        <v>2973</v>
      </c>
      <c r="BL150" t="s">
        <v>2972</v>
      </c>
      <c r="BM150" t="s">
        <v>2974</v>
      </c>
      <c r="BN150">
        <v>20568908</v>
      </c>
      <c r="BO150" t="s">
        <v>74</v>
      </c>
      <c r="BP150" t="s">
        <v>74</v>
      </c>
      <c r="BQ150" t="s">
        <v>74</v>
      </c>
      <c r="BR150" t="s">
        <v>105</v>
      </c>
      <c r="BS150" t="s">
        <v>2975</v>
      </c>
      <c r="BT150" t="str">
        <f>HYPERLINK("https%3A%2F%2Fwww.webofscience.com%2Fwos%2Fwoscc%2Ffull-record%2FWOS:000286342500019","View Full Record in Web of Science")</f>
        <v>View Full Record in Web of Science</v>
      </c>
    </row>
    <row r="151" spans="1:72" x14ac:dyDescent="0.15">
      <c r="A151" t="s">
        <v>72</v>
      </c>
      <c r="B151" t="s">
        <v>2976</v>
      </c>
      <c r="C151" t="s">
        <v>74</v>
      </c>
      <c r="D151" t="s">
        <v>74</v>
      </c>
      <c r="E151" t="s">
        <v>74</v>
      </c>
      <c r="F151" t="s">
        <v>2977</v>
      </c>
      <c r="G151" t="s">
        <v>74</v>
      </c>
      <c r="H151" t="s">
        <v>74</v>
      </c>
      <c r="I151" t="s">
        <v>2978</v>
      </c>
      <c r="J151" t="s">
        <v>2979</v>
      </c>
      <c r="K151" t="s">
        <v>74</v>
      </c>
      <c r="L151" t="s">
        <v>74</v>
      </c>
      <c r="M151" t="s">
        <v>78</v>
      </c>
      <c r="N151" t="s">
        <v>79</v>
      </c>
      <c r="O151" t="s">
        <v>74</v>
      </c>
      <c r="P151" t="s">
        <v>74</v>
      </c>
      <c r="Q151" t="s">
        <v>74</v>
      </c>
      <c r="R151" t="s">
        <v>74</v>
      </c>
      <c r="S151" t="s">
        <v>74</v>
      </c>
      <c r="T151" t="s">
        <v>2980</v>
      </c>
      <c r="U151" t="s">
        <v>2981</v>
      </c>
      <c r="V151" t="s">
        <v>2982</v>
      </c>
      <c r="W151" t="s">
        <v>2983</v>
      </c>
      <c r="X151" t="s">
        <v>2984</v>
      </c>
      <c r="Y151" t="s">
        <v>2985</v>
      </c>
      <c r="Z151" t="s">
        <v>2986</v>
      </c>
      <c r="AA151" t="s">
        <v>74</v>
      </c>
      <c r="AB151" t="s">
        <v>74</v>
      </c>
      <c r="AC151" t="s">
        <v>2987</v>
      </c>
      <c r="AD151" t="s">
        <v>2988</v>
      </c>
      <c r="AE151" t="s">
        <v>2989</v>
      </c>
      <c r="AF151" t="s">
        <v>74</v>
      </c>
      <c r="AG151">
        <v>51</v>
      </c>
      <c r="AH151">
        <v>1</v>
      </c>
      <c r="AI151">
        <v>1</v>
      </c>
      <c r="AJ151">
        <v>0</v>
      </c>
      <c r="AK151">
        <v>0</v>
      </c>
      <c r="AL151" t="s">
        <v>2913</v>
      </c>
      <c r="AM151" t="s">
        <v>225</v>
      </c>
      <c r="AN151" t="s">
        <v>2914</v>
      </c>
      <c r="AO151" t="s">
        <v>2990</v>
      </c>
      <c r="AP151" t="s">
        <v>74</v>
      </c>
      <c r="AQ151" t="s">
        <v>74</v>
      </c>
      <c r="AR151" t="s">
        <v>2991</v>
      </c>
      <c r="AS151" t="s">
        <v>2992</v>
      </c>
      <c r="AT151" t="s">
        <v>505</v>
      </c>
      <c r="AU151">
        <v>2010</v>
      </c>
      <c r="AV151">
        <v>4</v>
      </c>
      <c r="AW151">
        <v>2</v>
      </c>
      <c r="AX151" t="s">
        <v>74</v>
      </c>
      <c r="AY151" t="s">
        <v>74</v>
      </c>
      <c r="AZ151" t="s">
        <v>74</v>
      </c>
      <c r="BA151" t="s">
        <v>74</v>
      </c>
      <c r="BB151">
        <v>131</v>
      </c>
      <c r="BC151">
        <v>144</v>
      </c>
      <c r="BD151" t="s">
        <v>74</v>
      </c>
      <c r="BE151" t="s">
        <v>2993</v>
      </c>
      <c r="BF151" t="str">
        <f>HYPERLINK("http://dx.doi.org/10.1134/S181971401002003X","http://dx.doi.org/10.1134/S181971401002003X")</f>
        <v>http://dx.doi.org/10.1134/S181971401002003X</v>
      </c>
      <c r="BG151" t="s">
        <v>74</v>
      </c>
      <c r="BH151" t="s">
        <v>74</v>
      </c>
      <c r="BI151">
        <v>14</v>
      </c>
      <c r="BJ151" t="s">
        <v>913</v>
      </c>
      <c r="BK151" t="s">
        <v>102</v>
      </c>
      <c r="BL151" t="s">
        <v>914</v>
      </c>
      <c r="BM151" t="s">
        <v>2994</v>
      </c>
      <c r="BN151" t="s">
        <v>74</v>
      </c>
      <c r="BO151" t="s">
        <v>74</v>
      </c>
      <c r="BP151" t="s">
        <v>74</v>
      </c>
      <c r="BQ151" t="s">
        <v>74</v>
      </c>
      <c r="BR151" t="s">
        <v>105</v>
      </c>
      <c r="BS151" t="s">
        <v>2995</v>
      </c>
      <c r="BT151" t="str">
        <f>HYPERLINK("https%3A%2F%2Fwww.webofscience.com%2Fwos%2Fwoscc%2Ffull-record%2FWOS:000277259100003","View Full Record in Web of Science")</f>
        <v>View Full Record in Web of Science</v>
      </c>
    </row>
    <row r="152" spans="1:72" x14ac:dyDescent="0.15">
      <c r="A152" t="s">
        <v>72</v>
      </c>
      <c r="B152" t="s">
        <v>2996</v>
      </c>
      <c r="C152" t="s">
        <v>74</v>
      </c>
      <c r="D152" t="s">
        <v>74</v>
      </c>
      <c r="E152" t="s">
        <v>74</v>
      </c>
      <c r="F152" t="s">
        <v>2997</v>
      </c>
      <c r="G152" t="s">
        <v>74</v>
      </c>
      <c r="H152" t="s">
        <v>74</v>
      </c>
      <c r="I152" t="s">
        <v>2998</v>
      </c>
      <c r="J152" t="s">
        <v>2999</v>
      </c>
      <c r="K152" t="s">
        <v>74</v>
      </c>
      <c r="L152" t="s">
        <v>74</v>
      </c>
      <c r="M152" t="s">
        <v>78</v>
      </c>
      <c r="N152" t="s">
        <v>79</v>
      </c>
      <c r="O152" t="s">
        <v>74</v>
      </c>
      <c r="P152" t="s">
        <v>74</v>
      </c>
      <c r="Q152" t="s">
        <v>74</v>
      </c>
      <c r="R152" t="s">
        <v>74</v>
      </c>
      <c r="S152" t="s">
        <v>74</v>
      </c>
      <c r="T152" t="s">
        <v>3000</v>
      </c>
      <c r="U152" t="s">
        <v>3001</v>
      </c>
      <c r="V152" t="s">
        <v>3002</v>
      </c>
      <c r="W152" t="s">
        <v>3003</v>
      </c>
      <c r="X152" t="s">
        <v>3004</v>
      </c>
      <c r="Y152" t="s">
        <v>3005</v>
      </c>
      <c r="Z152" t="s">
        <v>3006</v>
      </c>
      <c r="AA152" t="s">
        <v>3007</v>
      </c>
      <c r="AB152" t="s">
        <v>3008</v>
      </c>
      <c r="AC152" t="s">
        <v>3009</v>
      </c>
      <c r="AD152" t="s">
        <v>3010</v>
      </c>
      <c r="AE152" t="s">
        <v>3011</v>
      </c>
      <c r="AF152" t="s">
        <v>74</v>
      </c>
      <c r="AG152">
        <v>66</v>
      </c>
      <c r="AH152">
        <v>61</v>
      </c>
      <c r="AI152">
        <v>67</v>
      </c>
      <c r="AJ152">
        <v>1</v>
      </c>
      <c r="AK152">
        <v>36</v>
      </c>
      <c r="AL152" t="s">
        <v>1063</v>
      </c>
      <c r="AM152" t="s">
        <v>1064</v>
      </c>
      <c r="AN152" t="s">
        <v>1065</v>
      </c>
      <c r="AO152" t="s">
        <v>3012</v>
      </c>
      <c r="AP152" t="s">
        <v>3013</v>
      </c>
      <c r="AQ152" t="s">
        <v>74</v>
      </c>
      <c r="AR152" t="s">
        <v>3014</v>
      </c>
      <c r="AS152" t="s">
        <v>3015</v>
      </c>
      <c r="AT152" t="s">
        <v>505</v>
      </c>
      <c r="AU152">
        <v>2010</v>
      </c>
      <c r="AV152">
        <v>42</v>
      </c>
      <c r="AW152">
        <v>4</v>
      </c>
      <c r="AX152" t="s">
        <v>74</v>
      </c>
      <c r="AY152" t="s">
        <v>74</v>
      </c>
      <c r="AZ152" t="s">
        <v>74</v>
      </c>
      <c r="BA152" t="s">
        <v>74</v>
      </c>
      <c r="BB152">
        <v>601</v>
      </c>
      <c r="BC152">
        <v>610</v>
      </c>
      <c r="BD152" t="s">
        <v>74</v>
      </c>
      <c r="BE152" t="s">
        <v>3016</v>
      </c>
      <c r="BF152" t="str">
        <f>HYPERLINK("http://dx.doi.org/10.1016/j.soilbio.2009.12.009","http://dx.doi.org/10.1016/j.soilbio.2009.12.009")</f>
        <v>http://dx.doi.org/10.1016/j.soilbio.2009.12.009</v>
      </c>
      <c r="BG152" t="s">
        <v>74</v>
      </c>
      <c r="BH152" t="s">
        <v>74</v>
      </c>
      <c r="BI152">
        <v>10</v>
      </c>
      <c r="BJ152" t="s">
        <v>3017</v>
      </c>
      <c r="BK152" t="s">
        <v>102</v>
      </c>
      <c r="BL152" t="s">
        <v>3018</v>
      </c>
      <c r="BM152" t="s">
        <v>3019</v>
      </c>
      <c r="BN152" t="s">
        <v>74</v>
      </c>
      <c r="BO152" t="s">
        <v>74</v>
      </c>
      <c r="BP152" t="s">
        <v>74</v>
      </c>
      <c r="BQ152" t="s">
        <v>74</v>
      </c>
      <c r="BR152" t="s">
        <v>105</v>
      </c>
      <c r="BS152" t="s">
        <v>3020</v>
      </c>
      <c r="BT152" t="str">
        <f>HYPERLINK("https%3A%2F%2Fwww.webofscience.com%2Fwos%2Fwoscc%2Ffull-record%2FWOS:000275921100010","View Full Record in Web of Science")</f>
        <v>View Full Record in Web of Science</v>
      </c>
    </row>
    <row r="153" spans="1:72" x14ac:dyDescent="0.15">
      <c r="A153" t="s">
        <v>72</v>
      </c>
      <c r="B153" t="s">
        <v>3021</v>
      </c>
      <c r="C153" t="s">
        <v>74</v>
      </c>
      <c r="D153" t="s">
        <v>74</v>
      </c>
      <c r="E153" t="s">
        <v>74</v>
      </c>
      <c r="F153" t="s">
        <v>3022</v>
      </c>
      <c r="G153" t="s">
        <v>74</v>
      </c>
      <c r="H153" t="s">
        <v>74</v>
      </c>
      <c r="I153" t="s">
        <v>3023</v>
      </c>
      <c r="J153" t="s">
        <v>3024</v>
      </c>
      <c r="K153" t="s">
        <v>74</v>
      </c>
      <c r="L153" t="s">
        <v>74</v>
      </c>
      <c r="M153" t="s">
        <v>78</v>
      </c>
      <c r="N153" t="s">
        <v>52</v>
      </c>
      <c r="O153" t="s">
        <v>74</v>
      </c>
      <c r="P153" t="s">
        <v>74</v>
      </c>
      <c r="Q153" t="s">
        <v>74</v>
      </c>
      <c r="R153" t="s">
        <v>74</v>
      </c>
      <c r="S153" t="s">
        <v>74</v>
      </c>
      <c r="T153" t="s">
        <v>74</v>
      </c>
      <c r="U153" t="s">
        <v>74</v>
      </c>
      <c r="V153" t="s">
        <v>74</v>
      </c>
      <c r="W153" t="s">
        <v>3025</v>
      </c>
      <c r="X153" t="s">
        <v>3026</v>
      </c>
      <c r="Y153" t="s">
        <v>74</v>
      </c>
      <c r="Z153" t="s">
        <v>74</v>
      </c>
      <c r="AA153" t="s">
        <v>74</v>
      </c>
      <c r="AB153" t="s">
        <v>3027</v>
      </c>
      <c r="AC153" t="s">
        <v>74</v>
      </c>
      <c r="AD153" t="s">
        <v>74</v>
      </c>
      <c r="AE153" t="s">
        <v>74</v>
      </c>
      <c r="AF153" t="s">
        <v>74</v>
      </c>
      <c r="AG153">
        <v>0</v>
      </c>
      <c r="AH153">
        <v>0</v>
      </c>
      <c r="AI153">
        <v>1</v>
      </c>
      <c r="AJ153">
        <v>0</v>
      </c>
      <c r="AK153">
        <v>3</v>
      </c>
      <c r="AL153" t="s">
        <v>173</v>
      </c>
      <c r="AM153" t="s">
        <v>145</v>
      </c>
      <c r="AN153" t="s">
        <v>174</v>
      </c>
      <c r="AO153" t="s">
        <v>3028</v>
      </c>
      <c r="AP153" t="s">
        <v>74</v>
      </c>
      <c r="AQ153" t="s">
        <v>74</v>
      </c>
      <c r="AR153" t="s">
        <v>3029</v>
      </c>
      <c r="AS153" t="s">
        <v>3030</v>
      </c>
      <c r="AT153" t="s">
        <v>505</v>
      </c>
      <c r="AU153">
        <v>2010</v>
      </c>
      <c r="AV153">
        <v>76</v>
      </c>
      <c r="AW153">
        <v>2</v>
      </c>
      <c r="AX153" t="s">
        <v>74</v>
      </c>
      <c r="AY153" t="s">
        <v>74</v>
      </c>
      <c r="AZ153" t="s">
        <v>74</v>
      </c>
      <c r="BA153" t="s">
        <v>74</v>
      </c>
      <c r="BB153">
        <v>405</v>
      </c>
      <c r="BC153">
        <v>406</v>
      </c>
      <c r="BD153" t="s">
        <v>74</v>
      </c>
      <c r="BE153" t="s">
        <v>3031</v>
      </c>
      <c r="BF153" t="str">
        <f>HYPERLINK("http://dx.doi.org/10.1016/j.sajb.2010.02.051","http://dx.doi.org/10.1016/j.sajb.2010.02.051")</f>
        <v>http://dx.doi.org/10.1016/j.sajb.2010.02.051</v>
      </c>
      <c r="BG153" t="s">
        <v>74</v>
      </c>
      <c r="BH153" t="s">
        <v>74</v>
      </c>
      <c r="BI153">
        <v>2</v>
      </c>
      <c r="BJ153" t="s">
        <v>890</v>
      </c>
      <c r="BK153" t="s">
        <v>102</v>
      </c>
      <c r="BL153" t="s">
        <v>890</v>
      </c>
      <c r="BM153" t="s">
        <v>3032</v>
      </c>
      <c r="BN153" t="s">
        <v>74</v>
      </c>
      <c r="BO153" t="s">
        <v>3033</v>
      </c>
      <c r="BP153" t="s">
        <v>74</v>
      </c>
      <c r="BQ153" t="s">
        <v>74</v>
      </c>
      <c r="BR153" t="s">
        <v>105</v>
      </c>
      <c r="BS153" t="s">
        <v>3034</v>
      </c>
      <c r="BT153" t="str">
        <f>HYPERLINK("https%3A%2F%2Fwww.webofscience.com%2Fwos%2Fwoscc%2Ffull-record%2FWOS:000277902300077","View Full Record in Web of Science")</f>
        <v>View Full Record in Web of Science</v>
      </c>
    </row>
    <row r="154" spans="1:72" x14ac:dyDescent="0.15">
      <c r="A154" t="s">
        <v>72</v>
      </c>
      <c r="B154" t="s">
        <v>3035</v>
      </c>
      <c r="C154" t="s">
        <v>74</v>
      </c>
      <c r="D154" t="s">
        <v>74</v>
      </c>
      <c r="E154" t="s">
        <v>74</v>
      </c>
      <c r="F154" t="s">
        <v>3036</v>
      </c>
      <c r="G154" t="s">
        <v>74</v>
      </c>
      <c r="H154" t="s">
        <v>74</v>
      </c>
      <c r="I154" t="s">
        <v>3037</v>
      </c>
      <c r="J154" t="s">
        <v>3038</v>
      </c>
      <c r="K154" t="s">
        <v>74</v>
      </c>
      <c r="L154" t="s">
        <v>74</v>
      </c>
      <c r="M154" t="s">
        <v>78</v>
      </c>
      <c r="N154" t="s">
        <v>79</v>
      </c>
      <c r="O154" t="s">
        <v>74</v>
      </c>
      <c r="P154" t="s">
        <v>74</v>
      </c>
      <c r="Q154" t="s">
        <v>74</v>
      </c>
      <c r="R154" t="s">
        <v>74</v>
      </c>
      <c r="S154" t="s">
        <v>74</v>
      </c>
      <c r="T154" t="s">
        <v>74</v>
      </c>
      <c r="U154" t="s">
        <v>3039</v>
      </c>
      <c r="V154" t="s">
        <v>3040</v>
      </c>
      <c r="W154" t="s">
        <v>3041</v>
      </c>
      <c r="X154" t="s">
        <v>3042</v>
      </c>
      <c r="Y154" t="s">
        <v>3043</v>
      </c>
      <c r="Z154" t="s">
        <v>3044</v>
      </c>
      <c r="AA154" t="s">
        <v>74</v>
      </c>
      <c r="AB154" t="s">
        <v>74</v>
      </c>
      <c r="AC154" t="s">
        <v>3045</v>
      </c>
      <c r="AD154" t="s">
        <v>3046</v>
      </c>
      <c r="AE154" t="s">
        <v>3047</v>
      </c>
      <c r="AF154" t="s">
        <v>74</v>
      </c>
      <c r="AG154">
        <v>23</v>
      </c>
      <c r="AH154">
        <v>5</v>
      </c>
      <c r="AI154">
        <v>6</v>
      </c>
      <c r="AJ154">
        <v>0</v>
      </c>
      <c r="AK154">
        <v>1</v>
      </c>
      <c r="AL154" t="s">
        <v>3048</v>
      </c>
      <c r="AM154" t="s">
        <v>3049</v>
      </c>
      <c r="AN154" t="s">
        <v>3050</v>
      </c>
      <c r="AO154" t="s">
        <v>3051</v>
      </c>
      <c r="AP154" t="s">
        <v>74</v>
      </c>
      <c r="AQ154" t="s">
        <v>74</v>
      </c>
      <c r="AR154" t="s">
        <v>3038</v>
      </c>
      <c r="AS154" t="s">
        <v>3052</v>
      </c>
      <c r="AT154" t="s">
        <v>3053</v>
      </c>
      <c r="AU154">
        <v>2010</v>
      </c>
      <c r="AV154">
        <v>51</v>
      </c>
      <c r="AW154">
        <v>1</v>
      </c>
      <c r="AX154" t="s">
        <v>74</v>
      </c>
      <c r="AY154" t="s">
        <v>74</v>
      </c>
      <c r="AZ154" t="s">
        <v>74</v>
      </c>
      <c r="BA154" t="s">
        <v>74</v>
      </c>
      <c r="BB154">
        <v>85</v>
      </c>
      <c r="BC154">
        <v>103</v>
      </c>
      <c r="BD154" t="s">
        <v>74</v>
      </c>
      <c r="BE154" t="s">
        <v>74</v>
      </c>
      <c r="BF154" t="s">
        <v>74</v>
      </c>
      <c r="BG154" t="s">
        <v>74</v>
      </c>
      <c r="BH154" t="s">
        <v>74</v>
      </c>
      <c r="BI154">
        <v>19</v>
      </c>
      <c r="BJ154" t="s">
        <v>2318</v>
      </c>
      <c r="BK154" t="s">
        <v>102</v>
      </c>
      <c r="BL154" t="s">
        <v>2318</v>
      </c>
      <c r="BM154" t="s">
        <v>3054</v>
      </c>
      <c r="BN154" t="s">
        <v>74</v>
      </c>
      <c r="BO154" t="s">
        <v>74</v>
      </c>
      <c r="BP154" t="s">
        <v>74</v>
      </c>
      <c r="BQ154" t="s">
        <v>74</v>
      </c>
      <c r="BR154" t="s">
        <v>105</v>
      </c>
      <c r="BS154" t="s">
        <v>3055</v>
      </c>
      <c r="BT154" t="str">
        <f>HYPERLINK("https%3A%2F%2Fwww.webofscience.com%2Fwos%2Fwoscc%2Ffull-record%2FWOS:000276519900008","View Full Record in Web of Science")</f>
        <v>View Full Record in Web of Science</v>
      </c>
    </row>
    <row r="155" spans="1:72" x14ac:dyDescent="0.15">
      <c r="A155" t="s">
        <v>72</v>
      </c>
      <c r="B155" t="s">
        <v>3056</v>
      </c>
      <c r="C155" t="s">
        <v>74</v>
      </c>
      <c r="D155" t="s">
        <v>74</v>
      </c>
      <c r="E155" t="s">
        <v>74</v>
      </c>
      <c r="F155" t="s">
        <v>3057</v>
      </c>
      <c r="G155" t="s">
        <v>74</v>
      </c>
      <c r="H155" t="s">
        <v>74</v>
      </c>
      <c r="I155" t="s">
        <v>3058</v>
      </c>
      <c r="J155" t="s">
        <v>3059</v>
      </c>
      <c r="K155" t="s">
        <v>74</v>
      </c>
      <c r="L155" t="s">
        <v>74</v>
      </c>
      <c r="M155" t="s">
        <v>78</v>
      </c>
      <c r="N155" t="s">
        <v>536</v>
      </c>
      <c r="O155" t="s">
        <v>74</v>
      </c>
      <c r="P155" t="s">
        <v>74</v>
      </c>
      <c r="Q155" t="s">
        <v>74</v>
      </c>
      <c r="R155" t="s">
        <v>74</v>
      </c>
      <c r="S155" t="s">
        <v>74</v>
      </c>
      <c r="T155" t="s">
        <v>74</v>
      </c>
      <c r="U155" t="s">
        <v>3060</v>
      </c>
      <c r="V155" t="s">
        <v>74</v>
      </c>
      <c r="W155" t="s">
        <v>3061</v>
      </c>
      <c r="X155" t="s">
        <v>3062</v>
      </c>
      <c r="Y155" t="s">
        <v>3063</v>
      </c>
      <c r="Z155" t="s">
        <v>3064</v>
      </c>
      <c r="AA155" t="s">
        <v>3065</v>
      </c>
      <c r="AB155" t="s">
        <v>3066</v>
      </c>
      <c r="AC155" t="s">
        <v>74</v>
      </c>
      <c r="AD155" t="s">
        <v>74</v>
      </c>
      <c r="AE155" t="s">
        <v>74</v>
      </c>
      <c r="AF155" t="s">
        <v>74</v>
      </c>
      <c r="AG155">
        <v>27</v>
      </c>
      <c r="AH155">
        <v>21</v>
      </c>
      <c r="AI155">
        <v>23</v>
      </c>
      <c r="AJ155">
        <v>0</v>
      </c>
      <c r="AK155">
        <v>1</v>
      </c>
      <c r="AL155" t="s">
        <v>3067</v>
      </c>
      <c r="AM155" t="s">
        <v>3068</v>
      </c>
      <c r="AN155" t="s">
        <v>3069</v>
      </c>
      <c r="AO155" t="s">
        <v>3070</v>
      </c>
      <c r="AP155" t="s">
        <v>3071</v>
      </c>
      <c r="AQ155" t="s">
        <v>74</v>
      </c>
      <c r="AR155" t="s">
        <v>3059</v>
      </c>
      <c r="AS155" t="s">
        <v>3072</v>
      </c>
      <c r="AT155" t="s">
        <v>3073</v>
      </c>
      <c r="AU155">
        <v>2010</v>
      </c>
      <c r="AV155">
        <v>47</v>
      </c>
      <c r="AW155">
        <v>1</v>
      </c>
      <c r="AX155" t="s">
        <v>74</v>
      </c>
      <c r="AY155" t="s">
        <v>74</v>
      </c>
      <c r="AZ155" t="s">
        <v>74</v>
      </c>
      <c r="BA155" t="s">
        <v>74</v>
      </c>
      <c r="BB155">
        <v>129</v>
      </c>
      <c r="BC155">
        <v>132</v>
      </c>
      <c r="BD155" t="s">
        <v>74</v>
      </c>
      <c r="BE155" t="s">
        <v>3074</v>
      </c>
      <c r="BF155" t="str">
        <f>HYPERLINK("http://dx.doi.org/10.5710/AMGH.v47i1.5","http://dx.doi.org/10.5710/AMGH.v47i1.5")</f>
        <v>http://dx.doi.org/10.5710/AMGH.v47i1.5</v>
      </c>
      <c r="BG155" t="s">
        <v>74</v>
      </c>
      <c r="BH155" t="s">
        <v>74</v>
      </c>
      <c r="BI155">
        <v>4</v>
      </c>
      <c r="BJ155" t="s">
        <v>1882</v>
      </c>
      <c r="BK155" t="s">
        <v>102</v>
      </c>
      <c r="BL155" t="s">
        <v>1882</v>
      </c>
      <c r="BM155" t="s">
        <v>3075</v>
      </c>
      <c r="BN155" t="s">
        <v>74</v>
      </c>
      <c r="BO155" t="s">
        <v>74</v>
      </c>
      <c r="BP155" t="s">
        <v>74</v>
      </c>
      <c r="BQ155" t="s">
        <v>74</v>
      </c>
      <c r="BR155" t="s">
        <v>105</v>
      </c>
      <c r="BS155" t="s">
        <v>3076</v>
      </c>
      <c r="BT155" t="str">
        <f>HYPERLINK("https%3A%2F%2Fwww.webofscience.com%2Fwos%2Fwoscc%2Ffull-record%2FWOS:000278752100012","View Full Record in Web of Science")</f>
        <v>View Full Record in Web of Science</v>
      </c>
    </row>
    <row r="156" spans="1:72" x14ac:dyDescent="0.15">
      <c r="A156" t="s">
        <v>72</v>
      </c>
      <c r="B156" t="s">
        <v>3077</v>
      </c>
      <c r="C156" t="s">
        <v>74</v>
      </c>
      <c r="D156" t="s">
        <v>74</v>
      </c>
      <c r="E156" t="s">
        <v>74</v>
      </c>
      <c r="F156" t="s">
        <v>3078</v>
      </c>
      <c r="G156" t="s">
        <v>74</v>
      </c>
      <c r="H156" t="s">
        <v>74</v>
      </c>
      <c r="I156" t="s">
        <v>3079</v>
      </c>
      <c r="J156" t="s">
        <v>3080</v>
      </c>
      <c r="K156" t="s">
        <v>74</v>
      </c>
      <c r="L156" t="s">
        <v>74</v>
      </c>
      <c r="M156" t="s">
        <v>78</v>
      </c>
      <c r="N156" t="s">
        <v>79</v>
      </c>
      <c r="O156" t="s">
        <v>74</v>
      </c>
      <c r="P156" t="s">
        <v>74</v>
      </c>
      <c r="Q156" t="s">
        <v>74</v>
      </c>
      <c r="R156" t="s">
        <v>74</v>
      </c>
      <c r="S156" t="s">
        <v>74</v>
      </c>
      <c r="T156" t="s">
        <v>3081</v>
      </c>
      <c r="U156" t="s">
        <v>3082</v>
      </c>
      <c r="V156" t="s">
        <v>3083</v>
      </c>
      <c r="W156" t="s">
        <v>3084</v>
      </c>
      <c r="X156" t="s">
        <v>3085</v>
      </c>
      <c r="Y156" t="s">
        <v>3086</v>
      </c>
      <c r="Z156" t="s">
        <v>3087</v>
      </c>
      <c r="AA156" t="s">
        <v>3088</v>
      </c>
      <c r="AB156" t="s">
        <v>3089</v>
      </c>
      <c r="AC156" t="s">
        <v>3090</v>
      </c>
      <c r="AD156" t="s">
        <v>3091</v>
      </c>
      <c r="AE156" t="s">
        <v>3092</v>
      </c>
      <c r="AF156" t="s">
        <v>74</v>
      </c>
      <c r="AG156">
        <v>63</v>
      </c>
      <c r="AH156">
        <v>9</v>
      </c>
      <c r="AI156">
        <v>12</v>
      </c>
      <c r="AJ156">
        <v>0</v>
      </c>
      <c r="AK156">
        <v>19</v>
      </c>
      <c r="AL156" t="s">
        <v>144</v>
      </c>
      <c r="AM156" t="s">
        <v>145</v>
      </c>
      <c r="AN156" t="s">
        <v>146</v>
      </c>
      <c r="AO156" t="s">
        <v>3093</v>
      </c>
      <c r="AP156" t="s">
        <v>3094</v>
      </c>
      <c r="AQ156" t="s">
        <v>74</v>
      </c>
      <c r="AR156" t="s">
        <v>3095</v>
      </c>
      <c r="AS156" t="s">
        <v>3096</v>
      </c>
      <c r="AT156" t="s">
        <v>3073</v>
      </c>
      <c r="AU156">
        <v>2010</v>
      </c>
      <c r="AV156">
        <v>271</v>
      </c>
      <c r="AW156" t="s">
        <v>971</v>
      </c>
      <c r="AX156" t="s">
        <v>74</v>
      </c>
      <c r="AY156" t="s">
        <v>74</v>
      </c>
      <c r="AZ156" t="s">
        <v>74</v>
      </c>
      <c r="BA156" t="s">
        <v>74</v>
      </c>
      <c r="BB156">
        <v>133</v>
      </c>
      <c r="BC156">
        <v>141</v>
      </c>
      <c r="BD156" t="s">
        <v>74</v>
      </c>
      <c r="BE156" t="s">
        <v>3097</v>
      </c>
      <c r="BF156" t="str">
        <f>HYPERLINK("http://dx.doi.org/10.1016/j.chemgeo.2010.01.004","http://dx.doi.org/10.1016/j.chemgeo.2010.01.004")</f>
        <v>http://dx.doi.org/10.1016/j.chemgeo.2010.01.004</v>
      </c>
      <c r="BG156" t="s">
        <v>74</v>
      </c>
      <c r="BH156" t="s">
        <v>74</v>
      </c>
      <c r="BI156">
        <v>9</v>
      </c>
      <c r="BJ156" t="s">
        <v>507</v>
      </c>
      <c r="BK156" t="s">
        <v>102</v>
      </c>
      <c r="BL156" t="s">
        <v>507</v>
      </c>
      <c r="BM156" t="s">
        <v>3098</v>
      </c>
      <c r="BN156" t="s">
        <v>74</v>
      </c>
      <c r="BO156" t="s">
        <v>74</v>
      </c>
      <c r="BP156" t="s">
        <v>74</v>
      </c>
      <c r="BQ156" t="s">
        <v>74</v>
      </c>
      <c r="BR156" t="s">
        <v>105</v>
      </c>
      <c r="BS156" t="s">
        <v>3099</v>
      </c>
      <c r="BT156" t="str">
        <f>HYPERLINK("https%3A%2F%2Fwww.webofscience.com%2Fwos%2Fwoscc%2Ffull-record%2FWOS:000276592800004","View Full Record in Web of Science")</f>
        <v>View Full Record in Web of Science</v>
      </c>
    </row>
    <row r="157" spans="1:72" x14ac:dyDescent="0.15">
      <c r="A157" t="s">
        <v>72</v>
      </c>
      <c r="B157" t="s">
        <v>3100</v>
      </c>
      <c r="C157" t="s">
        <v>74</v>
      </c>
      <c r="D157" t="s">
        <v>74</v>
      </c>
      <c r="E157" t="s">
        <v>74</v>
      </c>
      <c r="F157" t="s">
        <v>3101</v>
      </c>
      <c r="G157" t="s">
        <v>74</v>
      </c>
      <c r="H157" t="s">
        <v>74</v>
      </c>
      <c r="I157" t="s">
        <v>3102</v>
      </c>
      <c r="J157" t="s">
        <v>3103</v>
      </c>
      <c r="K157" t="s">
        <v>74</v>
      </c>
      <c r="L157" t="s">
        <v>74</v>
      </c>
      <c r="M157" t="s">
        <v>78</v>
      </c>
      <c r="N157" t="s">
        <v>79</v>
      </c>
      <c r="O157" t="s">
        <v>74</v>
      </c>
      <c r="P157" t="s">
        <v>74</v>
      </c>
      <c r="Q157" t="s">
        <v>74</v>
      </c>
      <c r="R157" t="s">
        <v>74</v>
      </c>
      <c r="S157" t="s">
        <v>74</v>
      </c>
      <c r="T157" t="s">
        <v>3104</v>
      </c>
      <c r="U157" t="s">
        <v>3105</v>
      </c>
      <c r="V157" t="s">
        <v>3106</v>
      </c>
      <c r="W157" t="s">
        <v>3107</v>
      </c>
      <c r="X157" t="s">
        <v>3108</v>
      </c>
      <c r="Y157" t="s">
        <v>3109</v>
      </c>
      <c r="Z157" t="s">
        <v>3110</v>
      </c>
      <c r="AA157" t="s">
        <v>3111</v>
      </c>
      <c r="AB157" t="s">
        <v>3112</v>
      </c>
      <c r="AC157" t="s">
        <v>3113</v>
      </c>
      <c r="AD157" t="s">
        <v>3114</v>
      </c>
      <c r="AE157" t="s">
        <v>3115</v>
      </c>
      <c r="AF157" t="s">
        <v>74</v>
      </c>
      <c r="AG157">
        <v>52</v>
      </c>
      <c r="AH157">
        <v>215</v>
      </c>
      <c r="AI157">
        <v>223</v>
      </c>
      <c r="AJ157">
        <v>2</v>
      </c>
      <c r="AK157">
        <v>45</v>
      </c>
      <c r="AL157" t="s">
        <v>991</v>
      </c>
      <c r="AM157" t="s">
        <v>992</v>
      </c>
      <c r="AN157" t="s">
        <v>993</v>
      </c>
      <c r="AO157" t="s">
        <v>3116</v>
      </c>
      <c r="AP157" t="s">
        <v>3117</v>
      </c>
      <c r="AQ157" t="s">
        <v>74</v>
      </c>
      <c r="AR157" t="s">
        <v>3118</v>
      </c>
      <c r="AS157" t="s">
        <v>3119</v>
      </c>
      <c r="AT157" t="s">
        <v>3073</v>
      </c>
      <c r="AU157">
        <v>2010</v>
      </c>
      <c r="AV157">
        <v>30</v>
      </c>
      <c r="AW157">
        <v>4</v>
      </c>
      <c r="AX157" t="s">
        <v>74</v>
      </c>
      <c r="AY157" t="s">
        <v>74</v>
      </c>
      <c r="AZ157" t="s">
        <v>74</v>
      </c>
      <c r="BA157" t="s">
        <v>74</v>
      </c>
      <c r="BB157">
        <v>475</v>
      </c>
      <c r="BC157">
        <v>491</v>
      </c>
      <c r="BD157" t="s">
        <v>74</v>
      </c>
      <c r="BE157" t="s">
        <v>3120</v>
      </c>
      <c r="BF157" t="str">
        <f>HYPERLINK("http://dx.doi.org/10.1002/joc.1900","http://dx.doi.org/10.1002/joc.1900")</f>
        <v>http://dx.doi.org/10.1002/joc.1900</v>
      </c>
      <c r="BG157" t="s">
        <v>74</v>
      </c>
      <c r="BH157" t="s">
        <v>74</v>
      </c>
      <c r="BI157">
        <v>17</v>
      </c>
      <c r="BJ157" t="s">
        <v>258</v>
      </c>
      <c r="BK157" t="s">
        <v>102</v>
      </c>
      <c r="BL157" t="s">
        <v>258</v>
      </c>
      <c r="BM157" t="s">
        <v>3121</v>
      </c>
      <c r="BN157" t="s">
        <v>74</v>
      </c>
      <c r="BO157" t="s">
        <v>74</v>
      </c>
      <c r="BP157" t="s">
        <v>74</v>
      </c>
      <c r="BQ157" t="s">
        <v>74</v>
      </c>
      <c r="BR157" t="s">
        <v>105</v>
      </c>
      <c r="BS157" t="s">
        <v>3122</v>
      </c>
      <c r="BT157" t="str">
        <f>HYPERLINK("https%3A%2F%2Fwww.webofscience.com%2Fwos%2Fwoscc%2Ffull-record%2FWOS:000276087500001","View Full Record in Web of Science")</f>
        <v>View Full Record in Web of Science</v>
      </c>
    </row>
    <row r="158" spans="1:72" x14ac:dyDescent="0.15">
      <c r="A158" t="s">
        <v>72</v>
      </c>
      <c r="B158" t="s">
        <v>3123</v>
      </c>
      <c r="C158" t="s">
        <v>74</v>
      </c>
      <c r="D158" t="s">
        <v>74</v>
      </c>
      <c r="E158" t="s">
        <v>74</v>
      </c>
      <c r="F158" t="s">
        <v>3124</v>
      </c>
      <c r="G158" t="s">
        <v>74</v>
      </c>
      <c r="H158" t="s">
        <v>74</v>
      </c>
      <c r="I158" t="s">
        <v>3125</v>
      </c>
      <c r="J158" t="s">
        <v>239</v>
      </c>
      <c r="K158" t="s">
        <v>74</v>
      </c>
      <c r="L158" t="s">
        <v>74</v>
      </c>
      <c r="M158" t="s">
        <v>78</v>
      </c>
      <c r="N158" t="s">
        <v>79</v>
      </c>
      <c r="O158" t="s">
        <v>74</v>
      </c>
      <c r="P158" t="s">
        <v>74</v>
      </c>
      <c r="Q158" t="s">
        <v>74</v>
      </c>
      <c r="R158" t="s">
        <v>74</v>
      </c>
      <c r="S158" t="s">
        <v>74</v>
      </c>
      <c r="T158" t="s">
        <v>74</v>
      </c>
      <c r="U158" t="s">
        <v>3126</v>
      </c>
      <c r="V158" t="s">
        <v>3127</v>
      </c>
      <c r="W158" t="s">
        <v>3128</v>
      </c>
      <c r="X158" t="s">
        <v>3129</v>
      </c>
      <c r="Y158" t="s">
        <v>3130</v>
      </c>
      <c r="Z158" t="s">
        <v>3131</v>
      </c>
      <c r="AA158" t="s">
        <v>74</v>
      </c>
      <c r="AB158" t="s">
        <v>3132</v>
      </c>
      <c r="AC158" t="s">
        <v>3133</v>
      </c>
      <c r="AD158" t="s">
        <v>3134</v>
      </c>
      <c r="AE158" t="s">
        <v>3135</v>
      </c>
      <c r="AF158" t="s">
        <v>74</v>
      </c>
      <c r="AG158">
        <v>68</v>
      </c>
      <c r="AH158">
        <v>39</v>
      </c>
      <c r="AI158">
        <v>44</v>
      </c>
      <c r="AJ158">
        <v>0</v>
      </c>
      <c r="AK158">
        <v>10</v>
      </c>
      <c r="AL158" t="s">
        <v>91</v>
      </c>
      <c r="AM158" t="s">
        <v>92</v>
      </c>
      <c r="AN158" t="s">
        <v>93</v>
      </c>
      <c r="AO158" t="s">
        <v>251</v>
      </c>
      <c r="AP158" t="s">
        <v>74</v>
      </c>
      <c r="AQ158" t="s">
        <v>74</v>
      </c>
      <c r="AR158" t="s">
        <v>253</v>
      </c>
      <c r="AS158" t="s">
        <v>254</v>
      </c>
      <c r="AT158" t="s">
        <v>3073</v>
      </c>
      <c r="AU158">
        <v>2010</v>
      </c>
      <c r="AV158">
        <v>115</v>
      </c>
      <c r="AW158" t="s">
        <v>74</v>
      </c>
      <c r="AX158" t="s">
        <v>74</v>
      </c>
      <c r="AY158" t="s">
        <v>74</v>
      </c>
      <c r="AZ158" t="s">
        <v>74</v>
      </c>
      <c r="BA158" t="s">
        <v>74</v>
      </c>
      <c r="BB158" t="s">
        <v>74</v>
      </c>
      <c r="BC158" t="s">
        <v>74</v>
      </c>
      <c r="BD158" t="s">
        <v>3136</v>
      </c>
      <c r="BE158" t="s">
        <v>3137</v>
      </c>
      <c r="BF158" t="str">
        <f>HYPERLINK("http://dx.doi.org/10.1029/2009JD012733","http://dx.doi.org/10.1029/2009JD012733")</f>
        <v>http://dx.doi.org/10.1029/2009JD012733</v>
      </c>
      <c r="BG158" t="s">
        <v>74</v>
      </c>
      <c r="BH158" t="s">
        <v>74</v>
      </c>
      <c r="BI158">
        <v>13</v>
      </c>
      <c r="BJ158" t="s">
        <v>258</v>
      </c>
      <c r="BK158" t="s">
        <v>102</v>
      </c>
      <c r="BL158" t="s">
        <v>258</v>
      </c>
      <c r="BM158" t="s">
        <v>3138</v>
      </c>
      <c r="BN158" t="s">
        <v>74</v>
      </c>
      <c r="BO158" t="s">
        <v>326</v>
      </c>
      <c r="BP158" t="s">
        <v>74</v>
      </c>
      <c r="BQ158" t="s">
        <v>74</v>
      </c>
      <c r="BR158" t="s">
        <v>105</v>
      </c>
      <c r="BS158" t="s">
        <v>3139</v>
      </c>
      <c r="BT158" t="str">
        <f>HYPERLINK("https%3A%2F%2Fwww.webofscience.com%2Fwos%2Fwoscc%2Ffull-record%2FWOS:000276315300003","View Full Record in Web of Science")</f>
        <v>View Full Record in Web of Science</v>
      </c>
    </row>
    <row r="159" spans="1:72" x14ac:dyDescent="0.15">
      <c r="A159" t="s">
        <v>72</v>
      </c>
      <c r="B159" t="s">
        <v>3140</v>
      </c>
      <c r="C159" t="s">
        <v>74</v>
      </c>
      <c r="D159" t="s">
        <v>74</v>
      </c>
      <c r="E159" t="s">
        <v>74</v>
      </c>
      <c r="F159" t="s">
        <v>3141</v>
      </c>
      <c r="G159" t="s">
        <v>74</v>
      </c>
      <c r="H159" t="s">
        <v>74</v>
      </c>
      <c r="I159" t="s">
        <v>3142</v>
      </c>
      <c r="J159" t="s">
        <v>77</v>
      </c>
      <c r="K159" t="s">
        <v>74</v>
      </c>
      <c r="L159" t="s">
        <v>74</v>
      </c>
      <c r="M159" t="s">
        <v>78</v>
      </c>
      <c r="N159" t="s">
        <v>79</v>
      </c>
      <c r="O159" t="s">
        <v>74</v>
      </c>
      <c r="P159" t="s">
        <v>74</v>
      </c>
      <c r="Q159" t="s">
        <v>74</v>
      </c>
      <c r="R159" t="s">
        <v>74</v>
      </c>
      <c r="S159" t="s">
        <v>74</v>
      </c>
      <c r="T159" t="s">
        <v>74</v>
      </c>
      <c r="U159" t="s">
        <v>3143</v>
      </c>
      <c r="V159" t="s">
        <v>3144</v>
      </c>
      <c r="W159" t="s">
        <v>3145</v>
      </c>
      <c r="X159" t="s">
        <v>3146</v>
      </c>
      <c r="Y159" t="s">
        <v>3147</v>
      </c>
      <c r="Z159" t="s">
        <v>3148</v>
      </c>
      <c r="AA159" t="s">
        <v>3149</v>
      </c>
      <c r="AB159" t="s">
        <v>3150</v>
      </c>
      <c r="AC159" t="s">
        <v>3151</v>
      </c>
      <c r="AD159" t="s">
        <v>3152</v>
      </c>
      <c r="AE159" t="s">
        <v>3153</v>
      </c>
      <c r="AF159" t="s">
        <v>74</v>
      </c>
      <c r="AG159">
        <v>54</v>
      </c>
      <c r="AH159">
        <v>22</v>
      </c>
      <c r="AI159">
        <v>23</v>
      </c>
      <c r="AJ159">
        <v>1</v>
      </c>
      <c r="AK159">
        <v>23</v>
      </c>
      <c r="AL159" t="s">
        <v>91</v>
      </c>
      <c r="AM159" t="s">
        <v>92</v>
      </c>
      <c r="AN159" t="s">
        <v>93</v>
      </c>
      <c r="AO159" t="s">
        <v>94</v>
      </c>
      <c r="AP159" t="s">
        <v>95</v>
      </c>
      <c r="AQ159" t="s">
        <v>74</v>
      </c>
      <c r="AR159" t="s">
        <v>96</v>
      </c>
      <c r="AS159" t="s">
        <v>97</v>
      </c>
      <c r="AT159" t="s">
        <v>3073</v>
      </c>
      <c r="AU159">
        <v>2010</v>
      </c>
      <c r="AV159">
        <v>115</v>
      </c>
      <c r="AW159" t="s">
        <v>74</v>
      </c>
      <c r="AX159" t="s">
        <v>74</v>
      </c>
      <c r="AY159" t="s">
        <v>74</v>
      </c>
      <c r="AZ159" t="s">
        <v>74</v>
      </c>
      <c r="BA159" t="s">
        <v>74</v>
      </c>
      <c r="BB159" t="s">
        <v>74</v>
      </c>
      <c r="BC159" t="s">
        <v>74</v>
      </c>
      <c r="BD159" t="s">
        <v>3154</v>
      </c>
      <c r="BE159" t="s">
        <v>3155</v>
      </c>
      <c r="BF159" t="str">
        <f>HYPERLINK("http://dx.doi.org/10.1029/2009JC005267","http://dx.doi.org/10.1029/2009JC005267")</f>
        <v>http://dx.doi.org/10.1029/2009JC005267</v>
      </c>
      <c r="BG159" t="s">
        <v>74</v>
      </c>
      <c r="BH159" t="s">
        <v>74</v>
      </c>
      <c r="BI159">
        <v>12</v>
      </c>
      <c r="BJ159" t="s">
        <v>101</v>
      </c>
      <c r="BK159" t="s">
        <v>102</v>
      </c>
      <c r="BL159" t="s">
        <v>101</v>
      </c>
      <c r="BM159" t="s">
        <v>3156</v>
      </c>
      <c r="BN159" t="s">
        <v>74</v>
      </c>
      <c r="BO159" t="s">
        <v>326</v>
      </c>
      <c r="BP159" t="s">
        <v>74</v>
      </c>
      <c r="BQ159" t="s">
        <v>74</v>
      </c>
      <c r="BR159" t="s">
        <v>105</v>
      </c>
      <c r="BS159" t="s">
        <v>3157</v>
      </c>
      <c r="BT159" t="str">
        <f>HYPERLINK("https%3A%2F%2Fwww.webofscience.com%2Fwos%2Fwoscc%2Ffull-record%2FWOS:000276316300002","View Full Record in Web of Science")</f>
        <v>View Full Record in Web of Science</v>
      </c>
    </row>
    <row r="160" spans="1:72" x14ac:dyDescent="0.15">
      <c r="A160" t="s">
        <v>72</v>
      </c>
      <c r="B160" t="s">
        <v>3158</v>
      </c>
      <c r="C160" t="s">
        <v>74</v>
      </c>
      <c r="D160" t="s">
        <v>74</v>
      </c>
      <c r="E160" t="s">
        <v>74</v>
      </c>
      <c r="F160" t="s">
        <v>3159</v>
      </c>
      <c r="G160" t="s">
        <v>74</v>
      </c>
      <c r="H160" t="s">
        <v>74</v>
      </c>
      <c r="I160" t="s">
        <v>3160</v>
      </c>
      <c r="J160" t="s">
        <v>77</v>
      </c>
      <c r="K160" t="s">
        <v>74</v>
      </c>
      <c r="L160" t="s">
        <v>74</v>
      </c>
      <c r="M160" t="s">
        <v>78</v>
      </c>
      <c r="N160" t="s">
        <v>79</v>
      </c>
      <c r="O160" t="s">
        <v>74</v>
      </c>
      <c r="P160" t="s">
        <v>74</v>
      </c>
      <c r="Q160" t="s">
        <v>74</v>
      </c>
      <c r="R160" t="s">
        <v>74</v>
      </c>
      <c r="S160" t="s">
        <v>74</v>
      </c>
      <c r="T160" t="s">
        <v>74</v>
      </c>
      <c r="U160" t="s">
        <v>3161</v>
      </c>
      <c r="V160" t="s">
        <v>3162</v>
      </c>
      <c r="W160" t="s">
        <v>3163</v>
      </c>
      <c r="X160" t="s">
        <v>3164</v>
      </c>
      <c r="Y160" t="s">
        <v>3165</v>
      </c>
      <c r="Z160" t="s">
        <v>3166</v>
      </c>
      <c r="AA160" t="s">
        <v>3167</v>
      </c>
      <c r="AB160" t="s">
        <v>74</v>
      </c>
      <c r="AC160" t="s">
        <v>3168</v>
      </c>
      <c r="AD160" t="s">
        <v>3169</v>
      </c>
      <c r="AE160" t="s">
        <v>3170</v>
      </c>
      <c r="AF160" t="s">
        <v>74</v>
      </c>
      <c r="AG160">
        <v>36</v>
      </c>
      <c r="AH160">
        <v>59</v>
      </c>
      <c r="AI160">
        <v>64</v>
      </c>
      <c r="AJ160">
        <v>0</v>
      </c>
      <c r="AK160">
        <v>27</v>
      </c>
      <c r="AL160" t="s">
        <v>91</v>
      </c>
      <c r="AM160" t="s">
        <v>92</v>
      </c>
      <c r="AN160" t="s">
        <v>93</v>
      </c>
      <c r="AO160" t="s">
        <v>94</v>
      </c>
      <c r="AP160" t="s">
        <v>95</v>
      </c>
      <c r="AQ160" t="s">
        <v>74</v>
      </c>
      <c r="AR160" t="s">
        <v>96</v>
      </c>
      <c r="AS160" t="s">
        <v>97</v>
      </c>
      <c r="AT160" t="s">
        <v>3073</v>
      </c>
      <c r="AU160">
        <v>2010</v>
      </c>
      <c r="AV160">
        <v>115</v>
      </c>
      <c r="AW160" t="s">
        <v>74</v>
      </c>
      <c r="AX160" t="s">
        <v>74</v>
      </c>
      <c r="AY160" t="s">
        <v>74</v>
      </c>
      <c r="AZ160" t="s">
        <v>74</v>
      </c>
      <c r="BA160" t="s">
        <v>74</v>
      </c>
      <c r="BB160" t="s">
        <v>74</v>
      </c>
      <c r="BC160" t="s">
        <v>74</v>
      </c>
      <c r="BD160" t="s">
        <v>3171</v>
      </c>
      <c r="BE160" t="s">
        <v>3172</v>
      </c>
      <c r="BF160" t="str">
        <f>HYPERLINK("http://dx.doi.org/10.1029/2008JC005255","http://dx.doi.org/10.1029/2008JC005255")</f>
        <v>http://dx.doi.org/10.1029/2008JC005255</v>
      </c>
      <c r="BG160" t="s">
        <v>74</v>
      </c>
      <c r="BH160" t="s">
        <v>74</v>
      </c>
      <c r="BI160">
        <v>10</v>
      </c>
      <c r="BJ160" t="s">
        <v>101</v>
      </c>
      <c r="BK160" t="s">
        <v>102</v>
      </c>
      <c r="BL160" t="s">
        <v>101</v>
      </c>
      <c r="BM160" t="s">
        <v>3156</v>
      </c>
      <c r="BN160" t="s">
        <v>74</v>
      </c>
      <c r="BO160" t="s">
        <v>104</v>
      </c>
      <c r="BP160" t="s">
        <v>74</v>
      </c>
      <c r="BQ160" t="s">
        <v>74</v>
      </c>
      <c r="BR160" t="s">
        <v>105</v>
      </c>
      <c r="BS160" t="s">
        <v>3173</v>
      </c>
      <c r="BT160" t="str">
        <f>HYPERLINK("https%3A%2F%2Fwww.webofscience.com%2Fwos%2Fwoscc%2Ffull-record%2FWOS:000276316300001","View Full Record in Web of Science")</f>
        <v>View Full Record in Web of Science</v>
      </c>
    </row>
    <row r="161" spans="1:72" x14ac:dyDescent="0.15">
      <c r="A161" t="s">
        <v>72</v>
      </c>
      <c r="B161" t="s">
        <v>3174</v>
      </c>
      <c r="C161" t="s">
        <v>74</v>
      </c>
      <c r="D161" t="s">
        <v>74</v>
      </c>
      <c r="E161" t="s">
        <v>74</v>
      </c>
      <c r="F161" t="s">
        <v>3175</v>
      </c>
      <c r="G161" t="s">
        <v>74</v>
      </c>
      <c r="H161" t="s">
        <v>74</v>
      </c>
      <c r="I161" t="s">
        <v>3176</v>
      </c>
      <c r="J161" t="s">
        <v>3177</v>
      </c>
      <c r="K161" t="s">
        <v>74</v>
      </c>
      <c r="L161" t="s">
        <v>74</v>
      </c>
      <c r="M161" t="s">
        <v>78</v>
      </c>
      <c r="N161" t="s">
        <v>79</v>
      </c>
      <c r="O161" t="s">
        <v>74</v>
      </c>
      <c r="P161" t="s">
        <v>74</v>
      </c>
      <c r="Q161" t="s">
        <v>74</v>
      </c>
      <c r="R161" t="s">
        <v>74</v>
      </c>
      <c r="S161" t="s">
        <v>74</v>
      </c>
      <c r="T161" t="s">
        <v>3178</v>
      </c>
      <c r="U161" t="s">
        <v>3179</v>
      </c>
      <c r="V161" t="s">
        <v>3180</v>
      </c>
      <c r="W161" t="s">
        <v>3181</v>
      </c>
      <c r="X161" t="s">
        <v>3182</v>
      </c>
      <c r="Y161" t="s">
        <v>3183</v>
      </c>
      <c r="Z161" t="s">
        <v>3184</v>
      </c>
      <c r="AA161" t="s">
        <v>3185</v>
      </c>
      <c r="AB161" t="s">
        <v>3186</v>
      </c>
      <c r="AC161" t="s">
        <v>3187</v>
      </c>
      <c r="AD161" t="s">
        <v>3188</v>
      </c>
      <c r="AE161" t="s">
        <v>3189</v>
      </c>
      <c r="AF161" t="s">
        <v>74</v>
      </c>
      <c r="AG161">
        <v>65</v>
      </c>
      <c r="AH161">
        <v>22</v>
      </c>
      <c r="AI161">
        <v>22</v>
      </c>
      <c r="AJ161">
        <v>0</v>
      </c>
      <c r="AK161">
        <v>20</v>
      </c>
      <c r="AL161" t="s">
        <v>91</v>
      </c>
      <c r="AM161" t="s">
        <v>92</v>
      </c>
      <c r="AN161" t="s">
        <v>93</v>
      </c>
      <c r="AO161" t="s">
        <v>3190</v>
      </c>
      <c r="AP161" t="s">
        <v>74</v>
      </c>
      <c r="AQ161" t="s">
        <v>74</v>
      </c>
      <c r="AR161" t="s">
        <v>3191</v>
      </c>
      <c r="AS161" t="s">
        <v>3192</v>
      </c>
      <c r="AT161" t="s">
        <v>3193</v>
      </c>
      <c r="AU161">
        <v>2010</v>
      </c>
      <c r="AV161">
        <v>11</v>
      </c>
      <c r="AW161" t="s">
        <v>74</v>
      </c>
      <c r="AX161" t="s">
        <v>74</v>
      </c>
      <c r="AY161" t="s">
        <v>74</v>
      </c>
      <c r="AZ161" t="s">
        <v>74</v>
      </c>
      <c r="BA161" t="s">
        <v>74</v>
      </c>
      <c r="BB161" t="s">
        <v>74</v>
      </c>
      <c r="BC161" t="s">
        <v>74</v>
      </c>
      <c r="BD161" t="s">
        <v>3194</v>
      </c>
      <c r="BE161" t="s">
        <v>3195</v>
      </c>
      <c r="BF161" t="str">
        <f>HYPERLINK("http://dx.doi.org/10.1029/2009GC002855","http://dx.doi.org/10.1029/2009GC002855")</f>
        <v>http://dx.doi.org/10.1029/2009GC002855</v>
      </c>
      <c r="BG161" t="s">
        <v>74</v>
      </c>
      <c r="BH161" t="s">
        <v>74</v>
      </c>
      <c r="BI161">
        <v>14</v>
      </c>
      <c r="BJ161" t="s">
        <v>507</v>
      </c>
      <c r="BK161" t="s">
        <v>102</v>
      </c>
      <c r="BL161" t="s">
        <v>507</v>
      </c>
      <c r="BM161" t="s">
        <v>3196</v>
      </c>
      <c r="BN161" t="s">
        <v>74</v>
      </c>
      <c r="BO161" t="s">
        <v>104</v>
      </c>
      <c r="BP161" t="s">
        <v>74</v>
      </c>
      <c r="BQ161" t="s">
        <v>74</v>
      </c>
      <c r="BR161" t="s">
        <v>105</v>
      </c>
      <c r="BS161" t="s">
        <v>3197</v>
      </c>
      <c r="BT161" t="str">
        <f>HYPERLINK("https%3A%2F%2Fwww.webofscience.com%2Fwos%2Fwoscc%2Ffull-record%2FWOS:000276024800001","View Full Record in Web of Science")</f>
        <v>View Full Record in Web of Science</v>
      </c>
    </row>
    <row r="162" spans="1:72" x14ac:dyDescent="0.15">
      <c r="A162" t="s">
        <v>72</v>
      </c>
      <c r="B162" t="s">
        <v>3198</v>
      </c>
      <c r="C162" t="s">
        <v>74</v>
      </c>
      <c r="D162" t="s">
        <v>74</v>
      </c>
      <c r="E162" t="s">
        <v>74</v>
      </c>
      <c r="F162" t="s">
        <v>3199</v>
      </c>
      <c r="G162" t="s">
        <v>74</v>
      </c>
      <c r="H162" t="s">
        <v>74</v>
      </c>
      <c r="I162" t="s">
        <v>3200</v>
      </c>
      <c r="J162" t="s">
        <v>3201</v>
      </c>
      <c r="K162" t="s">
        <v>74</v>
      </c>
      <c r="L162" t="s">
        <v>74</v>
      </c>
      <c r="M162" t="s">
        <v>78</v>
      </c>
      <c r="N162" t="s">
        <v>3202</v>
      </c>
      <c r="O162" t="s">
        <v>74</v>
      </c>
      <c r="P162" t="s">
        <v>74</v>
      </c>
      <c r="Q162" t="s">
        <v>74</v>
      </c>
      <c r="R162" t="s">
        <v>74</v>
      </c>
      <c r="S162" t="s">
        <v>74</v>
      </c>
      <c r="T162" t="s">
        <v>74</v>
      </c>
      <c r="U162" t="s">
        <v>74</v>
      </c>
      <c r="V162" t="s">
        <v>74</v>
      </c>
      <c r="W162" t="s">
        <v>74</v>
      </c>
      <c r="X162" t="s">
        <v>74</v>
      </c>
      <c r="Y162" t="s">
        <v>74</v>
      </c>
      <c r="Z162" t="s">
        <v>3203</v>
      </c>
      <c r="AA162" t="s">
        <v>74</v>
      </c>
      <c r="AB162" t="s">
        <v>74</v>
      </c>
      <c r="AC162" t="s">
        <v>74</v>
      </c>
      <c r="AD162" t="s">
        <v>74</v>
      </c>
      <c r="AE162" t="s">
        <v>74</v>
      </c>
      <c r="AF162" t="s">
        <v>74</v>
      </c>
      <c r="AG162">
        <v>6</v>
      </c>
      <c r="AH162">
        <v>0</v>
      </c>
      <c r="AI162">
        <v>0</v>
      </c>
      <c r="AJ162">
        <v>0</v>
      </c>
      <c r="AK162">
        <v>3</v>
      </c>
      <c r="AL162" t="s">
        <v>3204</v>
      </c>
      <c r="AM162" t="s">
        <v>3205</v>
      </c>
      <c r="AN162" t="s">
        <v>3206</v>
      </c>
      <c r="AO162" t="s">
        <v>3207</v>
      </c>
      <c r="AP162" t="s">
        <v>74</v>
      </c>
      <c r="AQ162" t="s">
        <v>74</v>
      </c>
      <c r="AR162" t="s">
        <v>3208</v>
      </c>
      <c r="AS162" t="s">
        <v>3209</v>
      </c>
      <c r="AT162" t="s">
        <v>3210</v>
      </c>
      <c r="AU162">
        <v>2010</v>
      </c>
      <c r="AV162">
        <v>98</v>
      </c>
      <c r="AW162">
        <v>6</v>
      </c>
      <c r="AX162" t="s">
        <v>74</v>
      </c>
      <c r="AY162" t="s">
        <v>74</v>
      </c>
      <c r="AZ162" t="s">
        <v>74</v>
      </c>
      <c r="BA162" t="s">
        <v>74</v>
      </c>
      <c r="BB162">
        <v>741</v>
      </c>
      <c r="BC162">
        <v>742</v>
      </c>
      <c r="BD162" t="s">
        <v>74</v>
      </c>
      <c r="BE162" t="s">
        <v>74</v>
      </c>
      <c r="BF162" t="s">
        <v>74</v>
      </c>
      <c r="BG162" t="s">
        <v>74</v>
      </c>
      <c r="BH162" t="s">
        <v>74</v>
      </c>
      <c r="BI162">
        <v>2</v>
      </c>
      <c r="BJ162" t="s">
        <v>323</v>
      </c>
      <c r="BK162" t="s">
        <v>102</v>
      </c>
      <c r="BL162" t="s">
        <v>324</v>
      </c>
      <c r="BM162" t="s">
        <v>3211</v>
      </c>
      <c r="BN162" t="s">
        <v>74</v>
      </c>
      <c r="BO162" t="s">
        <v>74</v>
      </c>
      <c r="BP162" t="s">
        <v>74</v>
      </c>
      <c r="BQ162" t="s">
        <v>74</v>
      </c>
      <c r="BR162" t="s">
        <v>105</v>
      </c>
      <c r="BS162" t="s">
        <v>3212</v>
      </c>
      <c r="BT162" t="str">
        <f>HYPERLINK("https%3A%2F%2Fwww.webofscience.com%2Fwos%2Fwoscc%2Ffull-record%2FWOS:000276642600009","View Full Record in Web of Science")</f>
        <v>View Full Record in Web of Science</v>
      </c>
    </row>
    <row r="163" spans="1:72" x14ac:dyDescent="0.15">
      <c r="A163" t="s">
        <v>72</v>
      </c>
      <c r="B163" t="s">
        <v>3213</v>
      </c>
      <c r="C163" t="s">
        <v>74</v>
      </c>
      <c r="D163" t="s">
        <v>74</v>
      </c>
      <c r="E163" t="s">
        <v>74</v>
      </c>
      <c r="F163" t="s">
        <v>3214</v>
      </c>
      <c r="G163" t="s">
        <v>74</v>
      </c>
      <c r="H163" t="s">
        <v>74</v>
      </c>
      <c r="I163" t="s">
        <v>3215</v>
      </c>
      <c r="J163" t="s">
        <v>3216</v>
      </c>
      <c r="K163" t="s">
        <v>74</v>
      </c>
      <c r="L163" t="s">
        <v>74</v>
      </c>
      <c r="M163" t="s">
        <v>78</v>
      </c>
      <c r="N163" t="s">
        <v>3202</v>
      </c>
      <c r="O163" t="s">
        <v>74</v>
      </c>
      <c r="P163" t="s">
        <v>74</v>
      </c>
      <c r="Q163" t="s">
        <v>74</v>
      </c>
      <c r="R163" t="s">
        <v>74</v>
      </c>
      <c r="S163" t="s">
        <v>74</v>
      </c>
      <c r="T163" t="s">
        <v>74</v>
      </c>
      <c r="U163" t="s">
        <v>74</v>
      </c>
      <c r="V163" t="s">
        <v>74</v>
      </c>
      <c r="W163" t="s">
        <v>74</v>
      </c>
      <c r="X163" t="s">
        <v>74</v>
      </c>
      <c r="Y163" t="s">
        <v>74</v>
      </c>
      <c r="Z163" t="s">
        <v>74</v>
      </c>
      <c r="AA163" t="s">
        <v>74</v>
      </c>
      <c r="AB163" t="s">
        <v>74</v>
      </c>
      <c r="AC163" t="s">
        <v>74</v>
      </c>
      <c r="AD163" t="s">
        <v>74</v>
      </c>
      <c r="AE163" t="s">
        <v>74</v>
      </c>
      <c r="AF163" t="s">
        <v>74</v>
      </c>
      <c r="AG163">
        <v>0</v>
      </c>
      <c r="AH163">
        <v>0</v>
      </c>
      <c r="AI163">
        <v>0</v>
      </c>
      <c r="AJ163">
        <v>0</v>
      </c>
      <c r="AK163">
        <v>1</v>
      </c>
      <c r="AL163" t="s">
        <v>2459</v>
      </c>
      <c r="AM163" t="s">
        <v>407</v>
      </c>
      <c r="AN163" t="s">
        <v>3217</v>
      </c>
      <c r="AO163" t="s">
        <v>3218</v>
      </c>
      <c r="AP163" t="s">
        <v>74</v>
      </c>
      <c r="AQ163" t="s">
        <v>74</v>
      </c>
      <c r="AR163" t="s">
        <v>3216</v>
      </c>
      <c r="AS163" t="s">
        <v>3219</v>
      </c>
      <c r="AT163" t="s">
        <v>3210</v>
      </c>
      <c r="AU163">
        <v>2010</v>
      </c>
      <c r="AV163">
        <v>464</v>
      </c>
      <c r="AW163">
        <v>7288</v>
      </c>
      <c r="AX163" t="s">
        <v>74</v>
      </c>
      <c r="AY163" t="s">
        <v>74</v>
      </c>
      <c r="AZ163" t="s">
        <v>74</v>
      </c>
      <c r="BA163" t="s">
        <v>74</v>
      </c>
      <c r="BB163">
        <v>472</v>
      </c>
      <c r="BC163">
        <v>473</v>
      </c>
      <c r="BD163" t="s">
        <v>74</v>
      </c>
      <c r="BE163" t="s">
        <v>3220</v>
      </c>
      <c r="BF163" t="str">
        <f>HYPERLINK("http://dx.doi.org/10.1038/464472b","http://dx.doi.org/10.1038/464472b")</f>
        <v>http://dx.doi.org/10.1038/464472b</v>
      </c>
      <c r="BG163" t="s">
        <v>74</v>
      </c>
      <c r="BH163" t="s">
        <v>74</v>
      </c>
      <c r="BI163">
        <v>2</v>
      </c>
      <c r="BJ163" t="s">
        <v>323</v>
      </c>
      <c r="BK163" t="s">
        <v>102</v>
      </c>
      <c r="BL163" t="s">
        <v>324</v>
      </c>
      <c r="BM163" t="s">
        <v>3221</v>
      </c>
      <c r="BN163">
        <v>20336100</v>
      </c>
      <c r="BO163" t="s">
        <v>104</v>
      </c>
      <c r="BP163" t="s">
        <v>74</v>
      </c>
      <c r="BQ163" t="s">
        <v>74</v>
      </c>
      <c r="BR163" t="s">
        <v>105</v>
      </c>
      <c r="BS163" t="s">
        <v>3222</v>
      </c>
      <c r="BT163" t="str">
        <f>HYPERLINK("https%3A%2F%2Fwww.webofscience.com%2Fwos%2Fwoscc%2Ffull-record%2FWOS:000275974200005","View Full Record in Web of Science")</f>
        <v>View Full Record in Web of Science</v>
      </c>
    </row>
    <row r="164" spans="1:72" x14ac:dyDescent="0.15">
      <c r="A164" t="s">
        <v>72</v>
      </c>
      <c r="B164" t="s">
        <v>3223</v>
      </c>
      <c r="C164" t="s">
        <v>74</v>
      </c>
      <c r="D164" t="s">
        <v>74</v>
      </c>
      <c r="E164" t="s">
        <v>74</v>
      </c>
      <c r="F164" t="s">
        <v>3224</v>
      </c>
      <c r="G164" t="s">
        <v>74</v>
      </c>
      <c r="H164" t="s">
        <v>74</v>
      </c>
      <c r="I164" t="s">
        <v>3225</v>
      </c>
      <c r="J164" t="s">
        <v>3226</v>
      </c>
      <c r="K164" t="s">
        <v>74</v>
      </c>
      <c r="L164" t="s">
        <v>74</v>
      </c>
      <c r="M164" t="s">
        <v>78</v>
      </c>
      <c r="N164" t="s">
        <v>79</v>
      </c>
      <c r="O164" t="s">
        <v>74</v>
      </c>
      <c r="P164" t="s">
        <v>74</v>
      </c>
      <c r="Q164" t="s">
        <v>74</v>
      </c>
      <c r="R164" t="s">
        <v>74</v>
      </c>
      <c r="S164" t="s">
        <v>74</v>
      </c>
      <c r="T164" t="s">
        <v>3227</v>
      </c>
      <c r="U164" t="s">
        <v>3228</v>
      </c>
      <c r="V164" t="s">
        <v>3229</v>
      </c>
      <c r="W164" t="s">
        <v>3230</v>
      </c>
      <c r="X164" t="s">
        <v>3231</v>
      </c>
      <c r="Y164" t="s">
        <v>3232</v>
      </c>
      <c r="Z164" t="s">
        <v>3233</v>
      </c>
      <c r="AA164" t="s">
        <v>3234</v>
      </c>
      <c r="AB164" t="s">
        <v>3235</v>
      </c>
      <c r="AC164" t="s">
        <v>3236</v>
      </c>
      <c r="AD164" t="s">
        <v>3237</v>
      </c>
      <c r="AE164" t="s">
        <v>3238</v>
      </c>
      <c r="AF164" t="s">
        <v>74</v>
      </c>
      <c r="AG164">
        <v>24</v>
      </c>
      <c r="AH164">
        <v>2</v>
      </c>
      <c r="AI164">
        <v>3</v>
      </c>
      <c r="AJ164">
        <v>0</v>
      </c>
      <c r="AK164">
        <v>12</v>
      </c>
      <c r="AL164" t="s">
        <v>121</v>
      </c>
      <c r="AM164" t="s">
        <v>92</v>
      </c>
      <c r="AN164" t="s">
        <v>122</v>
      </c>
      <c r="AO164" t="s">
        <v>3239</v>
      </c>
      <c r="AP164" t="s">
        <v>3240</v>
      </c>
      <c r="AQ164" t="s">
        <v>74</v>
      </c>
      <c r="AR164" t="s">
        <v>3241</v>
      </c>
      <c r="AS164" t="s">
        <v>3242</v>
      </c>
      <c r="AT164" t="s">
        <v>3243</v>
      </c>
      <c r="AU164">
        <v>2010</v>
      </c>
      <c r="AV164">
        <v>58</v>
      </c>
      <c r="AW164">
        <v>6</v>
      </c>
      <c r="AX164" t="s">
        <v>74</v>
      </c>
      <c r="AY164" t="s">
        <v>74</v>
      </c>
      <c r="AZ164" t="s">
        <v>74</v>
      </c>
      <c r="BA164" t="s">
        <v>74</v>
      </c>
      <c r="BB164">
        <v>3820</v>
      </c>
      <c r="BC164">
        <v>3824</v>
      </c>
      <c r="BD164" t="s">
        <v>74</v>
      </c>
      <c r="BE164" t="s">
        <v>3244</v>
      </c>
      <c r="BF164" t="str">
        <f>HYPERLINK("http://dx.doi.org/10.1021/jf9039952","http://dx.doi.org/10.1021/jf9039952")</f>
        <v>http://dx.doi.org/10.1021/jf9039952</v>
      </c>
      <c r="BG164" t="s">
        <v>74</v>
      </c>
      <c r="BH164" t="s">
        <v>74</v>
      </c>
      <c r="BI164">
        <v>5</v>
      </c>
      <c r="BJ164" t="s">
        <v>3245</v>
      </c>
      <c r="BK164" t="s">
        <v>102</v>
      </c>
      <c r="BL164" t="s">
        <v>3246</v>
      </c>
      <c r="BM164" t="s">
        <v>3247</v>
      </c>
      <c r="BN164">
        <v>20158206</v>
      </c>
      <c r="BO164" t="s">
        <v>74</v>
      </c>
      <c r="BP164" t="s">
        <v>74</v>
      </c>
      <c r="BQ164" t="s">
        <v>74</v>
      </c>
      <c r="BR164" t="s">
        <v>105</v>
      </c>
      <c r="BS164" t="s">
        <v>3248</v>
      </c>
      <c r="BT164" t="str">
        <f>HYPERLINK("https%3A%2F%2Fwww.webofscience.com%2Fwos%2Fwoscc%2Ffull-record%2FWOS:000275710700083","View Full Record in Web of Science")</f>
        <v>View Full Record in Web of Science</v>
      </c>
    </row>
    <row r="165" spans="1:72" x14ac:dyDescent="0.15">
      <c r="A165" t="s">
        <v>72</v>
      </c>
      <c r="B165" t="s">
        <v>3249</v>
      </c>
      <c r="C165" t="s">
        <v>74</v>
      </c>
      <c r="D165" t="s">
        <v>74</v>
      </c>
      <c r="E165" t="s">
        <v>74</v>
      </c>
      <c r="F165" t="s">
        <v>3250</v>
      </c>
      <c r="G165" t="s">
        <v>74</v>
      </c>
      <c r="H165" t="s">
        <v>74</v>
      </c>
      <c r="I165" t="s">
        <v>3251</v>
      </c>
      <c r="J165" t="s">
        <v>3252</v>
      </c>
      <c r="K165" t="s">
        <v>74</v>
      </c>
      <c r="L165" t="s">
        <v>74</v>
      </c>
      <c r="M165" t="s">
        <v>78</v>
      </c>
      <c r="N165" t="s">
        <v>79</v>
      </c>
      <c r="O165" t="s">
        <v>74</v>
      </c>
      <c r="P165" t="s">
        <v>74</v>
      </c>
      <c r="Q165" t="s">
        <v>74</v>
      </c>
      <c r="R165" t="s">
        <v>74</v>
      </c>
      <c r="S165" t="s">
        <v>74</v>
      </c>
      <c r="T165" t="s">
        <v>74</v>
      </c>
      <c r="U165" t="s">
        <v>3253</v>
      </c>
      <c r="V165" t="s">
        <v>3254</v>
      </c>
      <c r="W165" t="s">
        <v>3255</v>
      </c>
      <c r="X165" t="s">
        <v>3256</v>
      </c>
      <c r="Y165" t="s">
        <v>3257</v>
      </c>
      <c r="Z165" t="s">
        <v>3258</v>
      </c>
      <c r="AA165" t="s">
        <v>3259</v>
      </c>
      <c r="AB165" t="s">
        <v>3260</v>
      </c>
      <c r="AC165" t="s">
        <v>3261</v>
      </c>
      <c r="AD165" t="s">
        <v>3262</v>
      </c>
      <c r="AE165" t="s">
        <v>3263</v>
      </c>
      <c r="AF165" t="s">
        <v>74</v>
      </c>
      <c r="AG165">
        <v>33</v>
      </c>
      <c r="AH165">
        <v>12</v>
      </c>
      <c r="AI165">
        <v>12</v>
      </c>
      <c r="AJ165">
        <v>0</v>
      </c>
      <c r="AK165">
        <v>6</v>
      </c>
      <c r="AL165" t="s">
        <v>3264</v>
      </c>
      <c r="AM165" t="s">
        <v>407</v>
      </c>
      <c r="AN165" t="s">
        <v>3265</v>
      </c>
      <c r="AO165" t="s">
        <v>3266</v>
      </c>
      <c r="AP165" t="s">
        <v>74</v>
      </c>
      <c r="AQ165" t="s">
        <v>74</v>
      </c>
      <c r="AR165" t="s">
        <v>3267</v>
      </c>
      <c r="AS165" t="s">
        <v>3268</v>
      </c>
      <c r="AT165" t="s">
        <v>3243</v>
      </c>
      <c r="AU165">
        <v>2010</v>
      </c>
      <c r="AV165">
        <v>9</v>
      </c>
      <c r="AW165" t="s">
        <v>74</v>
      </c>
      <c r="AX165" t="s">
        <v>74</v>
      </c>
      <c r="AY165" t="s">
        <v>74</v>
      </c>
      <c r="AZ165" t="s">
        <v>74</v>
      </c>
      <c r="BA165" t="s">
        <v>74</v>
      </c>
      <c r="BB165" t="s">
        <v>74</v>
      </c>
      <c r="BC165" t="s">
        <v>74</v>
      </c>
      <c r="BD165">
        <v>19</v>
      </c>
      <c r="BE165" t="s">
        <v>3269</v>
      </c>
      <c r="BF165" t="str">
        <f>HYPERLINK("http://dx.doi.org/10.1186/1475-2859-9-19","http://dx.doi.org/10.1186/1475-2859-9-19")</f>
        <v>http://dx.doi.org/10.1186/1475-2859-9-19</v>
      </c>
      <c r="BG165" t="s">
        <v>74</v>
      </c>
      <c r="BH165" t="s">
        <v>74</v>
      </c>
      <c r="BI165">
        <v>10</v>
      </c>
      <c r="BJ165" t="s">
        <v>867</v>
      </c>
      <c r="BK165" t="s">
        <v>102</v>
      </c>
      <c r="BL165" t="s">
        <v>867</v>
      </c>
      <c r="BM165" t="s">
        <v>3270</v>
      </c>
      <c r="BN165">
        <v>20334669</v>
      </c>
      <c r="BO165" t="s">
        <v>3271</v>
      </c>
      <c r="BP165" t="s">
        <v>74</v>
      </c>
      <c r="BQ165" t="s">
        <v>74</v>
      </c>
      <c r="BR165" t="s">
        <v>105</v>
      </c>
      <c r="BS165" t="s">
        <v>3272</v>
      </c>
      <c r="BT165" t="str">
        <f>HYPERLINK("https%3A%2F%2Fwww.webofscience.com%2Fwos%2Fwoscc%2Ffull-record%2FWOS:000276879900001","View Full Record in Web of Science")</f>
        <v>View Full Record in Web of Science</v>
      </c>
    </row>
    <row r="166" spans="1:72" x14ac:dyDescent="0.15">
      <c r="A166" t="s">
        <v>72</v>
      </c>
      <c r="B166" t="s">
        <v>3273</v>
      </c>
      <c r="C166" t="s">
        <v>74</v>
      </c>
      <c r="D166" t="s">
        <v>74</v>
      </c>
      <c r="E166" t="s">
        <v>74</v>
      </c>
      <c r="F166" t="s">
        <v>3274</v>
      </c>
      <c r="G166" t="s">
        <v>74</v>
      </c>
      <c r="H166" t="s">
        <v>74</v>
      </c>
      <c r="I166" t="s">
        <v>3275</v>
      </c>
      <c r="J166" t="s">
        <v>3276</v>
      </c>
      <c r="K166" t="s">
        <v>74</v>
      </c>
      <c r="L166" t="s">
        <v>74</v>
      </c>
      <c r="M166" t="s">
        <v>78</v>
      </c>
      <c r="N166" t="s">
        <v>52</v>
      </c>
      <c r="O166" t="s">
        <v>74</v>
      </c>
      <c r="P166" t="s">
        <v>74</v>
      </c>
      <c r="Q166" t="s">
        <v>74</v>
      </c>
      <c r="R166" t="s">
        <v>74</v>
      </c>
      <c r="S166" t="s">
        <v>74</v>
      </c>
      <c r="T166" t="s">
        <v>74</v>
      </c>
      <c r="U166" t="s">
        <v>74</v>
      </c>
      <c r="V166" t="s">
        <v>74</v>
      </c>
      <c r="W166" t="s">
        <v>3277</v>
      </c>
      <c r="X166" t="s">
        <v>3278</v>
      </c>
      <c r="Y166" t="s">
        <v>74</v>
      </c>
      <c r="Z166" t="s">
        <v>74</v>
      </c>
      <c r="AA166" t="s">
        <v>3279</v>
      </c>
      <c r="AB166" t="s">
        <v>3280</v>
      </c>
      <c r="AC166" t="s">
        <v>74</v>
      </c>
      <c r="AD166" t="s">
        <v>74</v>
      </c>
      <c r="AE166" t="s">
        <v>74</v>
      </c>
      <c r="AF166" t="s">
        <v>74</v>
      </c>
      <c r="AG166">
        <v>0</v>
      </c>
      <c r="AH166">
        <v>0</v>
      </c>
      <c r="AI166">
        <v>0</v>
      </c>
      <c r="AJ166">
        <v>0</v>
      </c>
      <c r="AK166">
        <v>7</v>
      </c>
      <c r="AL166" t="s">
        <v>121</v>
      </c>
      <c r="AM166" t="s">
        <v>92</v>
      </c>
      <c r="AN166" t="s">
        <v>122</v>
      </c>
      <c r="AO166" t="s">
        <v>3281</v>
      </c>
      <c r="AP166" t="s">
        <v>74</v>
      </c>
      <c r="AQ166" t="s">
        <v>74</v>
      </c>
      <c r="AR166" t="s">
        <v>3282</v>
      </c>
      <c r="AS166" t="s">
        <v>3283</v>
      </c>
      <c r="AT166" t="s">
        <v>3284</v>
      </c>
      <c r="AU166">
        <v>2010</v>
      </c>
      <c r="AV166">
        <v>239</v>
      </c>
      <c r="AW166" t="s">
        <v>74</v>
      </c>
      <c r="AX166" t="s">
        <v>74</v>
      </c>
      <c r="AY166" t="s">
        <v>74</v>
      </c>
      <c r="AZ166" t="s">
        <v>74</v>
      </c>
      <c r="BA166" t="s">
        <v>3285</v>
      </c>
      <c r="BB166" t="s">
        <v>74</v>
      </c>
      <c r="BC166" t="s">
        <v>74</v>
      </c>
      <c r="BD166" t="s">
        <v>74</v>
      </c>
      <c r="BE166" t="s">
        <v>74</v>
      </c>
      <c r="BF166" t="s">
        <v>74</v>
      </c>
      <c r="BG166" t="s">
        <v>74</v>
      </c>
      <c r="BH166" t="s">
        <v>74</v>
      </c>
      <c r="BI166">
        <v>1</v>
      </c>
      <c r="BJ166" t="s">
        <v>3286</v>
      </c>
      <c r="BK166" t="s">
        <v>102</v>
      </c>
      <c r="BL166" t="s">
        <v>2921</v>
      </c>
      <c r="BM166" t="s">
        <v>3287</v>
      </c>
      <c r="BN166" t="s">
        <v>74</v>
      </c>
      <c r="BO166" t="s">
        <v>74</v>
      </c>
      <c r="BP166" t="s">
        <v>74</v>
      </c>
      <c r="BQ166" t="s">
        <v>74</v>
      </c>
      <c r="BR166" t="s">
        <v>105</v>
      </c>
      <c r="BS166" t="s">
        <v>3288</v>
      </c>
      <c r="BT166" t="str">
        <f>HYPERLINK("https%3A%2F%2Fwww.webofscience.com%2Fwos%2Fwoscc%2Ffull-record%2FWOS:000208189302646","View Full Record in Web of Science")</f>
        <v>View Full Record in Web of Science</v>
      </c>
    </row>
    <row r="167" spans="1:72" x14ac:dyDescent="0.15">
      <c r="A167" t="s">
        <v>72</v>
      </c>
      <c r="B167" t="s">
        <v>3289</v>
      </c>
      <c r="C167" t="s">
        <v>74</v>
      </c>
      <c r="D167" t="s">
        <v>74</v>
      </c>
      <c r="E167" t="s">
        <v>74</v>
      </c>
      <c r="F167" t="s">
        <v>3290</v>
      </c>
      <c r="G167" t="s">
        <v>74</v>
      </c>
      <c r="H167" t="s">
        <v>74</v>
      </c>
      <c r="I167" t="s">
        <v>3291</v>
      </c>
      <c r="J167" t="s">
        <v>3292</v>
      </c>
      <c r="K167" t="s">
        <v>74</v>
      </c>
      <c r="L167" t="s">
        <v>74</v>
      </c>
      <c r="M167" t="s">
        <v>78</v>
      </c>
      <c r="N167" t="s">
        <v>79</v>
      </c>
      <c r="O167" t="s">
        <v>74</v>
      </c>
      <c r="P167" t="s">
        <v>74</v>
      </c>
      <c r="Q167" t="s">
        <v>74</v>
      </c>
      <c r="R167" t="s">
        <v>74</v>
      </c>
      <c r="S167" t="s">
        <v>74</v>
      </c>
      <c r="T167" t="s">
        <v>3293</v>
      </c>
      <c r="U167" t="s">
        <v>3294</v>
      </c>
      <c r="V167" t="s">
        <v>3295</v>
      </c>
      <c r="W167" t="s">
        <v>3296</v>
      </c>
      <c r="X167" t="s">
        <v>3297</v>
      </c>
      <c r="Y167" t="s">
        <v>3298</v>
      </c>
      <c r="Z167" t="s">
        <v>3299</v>
      </c>
      <c r="AA167" t="s">
        <v>3300</v>
      </c>
      <c r="AB167" t="s">
        <v>3301</v>
      </c>
      <c r="AC167" t="s">
        <v>3302</v>
      </c>
      <c r="AD167" t="s">
        <v>3303</v>
      </c>
      <c r="AE167" t="s">
        <v>3304</v>
      </c>
      <c r="AF167" t="s">
        <v>74</v>
      </c>
      <c r="AG167">
        <v>52</v>
      </c>
      <c r="AH167">
        <v>18</v>
      </c>
      <c r="AI167">
        <v>20</v>
      </c>
      <c r="AJ167">
        <v>1</v>
      </c>
      <c r="AK167">
        <v>21</v>
      </c>
      <c r="AL167" t="s">
        <v>573</v>
      </c>
      <c r="AM167" t="s">
        <v>407</v>
      </c>
      <c r="AN167" t="s">
        <v>574</v>
      </c>
      <c r="AO167" t="s">
        <v>3305</v>
      </c>
      <c r="AP167" t="s">
        <v>74</v>
      </c>
      <c r="AQ167" t="s">
        <v>74</v>
      </c>
      <c r="AR167" t="s">
        <v>3306</v>
      </c>
      <c r="AS167" t="s">
        <v>3307</v>
      </c>
      <c r="AT167" t="s">
        <v>3308</v>
      </c>
      <c r="AU167">
        <v>2010</v>
      </c>
      <c r="AV167">
        <v>87</v>
      </c>
      <c r="AW167">
        <v>1</v>
      </c>
      <c r="AX167" t="s">
        <v>74</v>
      </c>
      <c r="AY167" t="s">
        <v>74</v>
      </c>
      <c r="AZ167" t="s">
        <v>74</v>
      </c>
      <c r="BA167" t="s">
        <v>74</v>
      </c>
      <c r="BB167">
        <v>103</v>
      </c>
      <c r="BC167">
        <v>112</v>
      </c>
      <c r="BD167" t="s">
        <v>74</v>
      </c>
      <c r="BE167" t="s">
        <v>3309</v>
      </c>
      <c r="BF167" t="str">
        <f>HYPERLINK("http://dx.doi.org/10.1016/j.ecss.2009.12.017","http://dx.doi.org/10.1016/j.ecss.2009.12.017")</f>
        <v>http://dx.doi.org/10.1016/j.ecss.2009.12.017</v>
      </c>
      <c r="BG167" t="s">
        <v>74</v>
      </c>
      <c r="BH167" t="s">
        <v>74</v>
      </c>
      <c r="BI167">
        <v>10</v>
      </c>
      <c r="BJ167" t="s">
        <v>3310</v>
      </c>
      <c r="BK167" t="s">
        <v>102</v>
      </c>
      <c r="BL167" t="s">
        <v>3310</v>
      </c>
      <c r="BM167" t="s">
        <v>3311</v>
      </c>
      <c r="BN167" t="s">
        <v>74</v>
      </c>
      <c r="BO167" t="s">
        <v>555</v>
      </c>
      <c r="BP167" t="s">
        <v>74</v>
      </c>
      <c r="BQ167" t="s">
        <v>74</v>
      </c>
      <c r="BR167" t="s">
        <v>105</v>
      </c>
      <c r="BS167" t="s">
        <v>3312</v>
      </c>
      <c r="BT167" t="str">
        <f>HYPERLINK("https%3A%2F%2Fwww.webofscience.com%2Fwos%2Fwoscc%2Ffull-record%2FWOS:000275538600011","View Full Record in Web of Science")</f>
        <v>View Full Record in Web of Science</v>
      </c>
    </row>
    <row r="168" spans="1:72" x14ac:dyDescent="0.15">
      <c r="A168" t="s">
        <v>72</v>
      </c>
      <c r="B168" t="s">
        <v>3313</v>
      </c>
      <c r="C168" t="s">
        <v>74</v>
      </c>
      <c r="D168" t="s">
        <v>74</v>
      </c>
      <c r="E168" t="s">
        <v>74</v>
      </c>
      <c r="F168" t="s">
        <v>3314</v>
      </c>
      <c r="G168" t="s">
        <v>74</v>
      </c>
      <c r="H168" t="s">
        <v>74</v>
      </c>
      <c r="I168" t="s">
        <v>3315</v>
      </c>
      <c r="J168" t="s">
        <v>3177</v>
      </c>
      <c r="K168" t="s">
        <v>74</v>
      </c>
      <c r="L168" t="s">
        <v>74</v>
      </c>
      <c r="M168" t="s">
        <v>78</v>
      </c>
      <c r="N168" t="s">
        <v>79</v>
      </c>
      <c r="O168" t="s">
        <v>74</v>
      </c>
      <c r="P168" t="s">
        <v>74</v>
      </c>
      <c r="Q168" t="s">
        <v>74</v>
      </c>
      <c r="R168" t="s">
        <v>74</v>
      </c>
      <c r="S168" t="s">
        <v>74</v>
      </c>
      <c r="T168" t="s">
        <v>3316</v>
      </c>
      <c r="U168" t="s">
        <v>3317</v>
      </c>
      <c r="V168" t="s">
        <v>3318</v>
      </c>
      <c r="W168" t="s">
        <v>3319</v>
      </c>
      <c r="X168" t="s">
        <v>3320</v>
      </c>
      <c r="Y168" t="s">
        <v>3321</v>
      </c>
      <c r="Z168" t="s">
        <v>3322</v>
      </c>
      <c r="AA168" t="s">
        <v>3323</v>
      </c>
      <c r="AB168" t="s">
        <v>3324</v>
      </c>
      <c r="AC168" t="s">
        <v>3325</v>
      </c>
      <c r="AD168" t="s">
        <v>3326</v>
      </c>
      <c r="AE168" t="s">
        <v>3327</v>
      </c>
      <c r="AF168" t="s">
        <v>74</v>
      </c>
      <c r="AG168">
        <v>36</v>
      </c>
      <c r="AH168">
        <v>29</v>
      </c>
      <c r="AI168">
        <v>32</v>
      </c>
      <c r="AJ168">
        <v>3</v>
      </c>
      <c r="AK168">
        <v>16</v>
      </c>
      <c r="AL168" t="s">
        <v>91</v>
      </c>
      <c r="AM168" t="s">
        <v>92</v>
      </c>
      <c r="AN168" t="s">
        <v>93</v>
      </c>
      <c r="AO168" t="s">
        <v>74</v>
      </c>
      <c r="AP168" t="s">
        <v>3190</v>
      </c>
      <c r="AQ168" t="s">
        <v>74</v>
      </c>
      <c r="AR168" t="s">
        <v>3191</v>
      </c>
      <c r="AS168" t="s">
        <v>3192</v>
      </c>
      <c r="AT168" t="s">
        <v>3328</v>
      </c>
      <c r="AU168">
        <v>2010</v>
      </c>
      <c r="AV168">
        <v>11</v>
      </c>
      <c r="AW168" t="s">
        <v>74</v>
      </c>
      <c r="AX168" t="s">
        <v>74</v>
      </c>
      <c r="AY168" t="s">
        <v>74</v>
      </c>
      <c r="AZ168" t="s">
        <v>74</v>
      </c>
      <c r="BA168" t="s">
        <v>74</v>
      </c>
      <c r="BB168" t="s">
        <v>74</v>
      </c>
      <c r="BC168" t="s">
        <v>74</v>
      </c>
      <c r="BD168" t="s">
        <v>3329</v>
      </c>
      <c r="BE168" t="s">
        <v>3330</v>
      </c>
      <c r="BF168" t="str">
        <f>HYPERLINK("http://dx.doi.org/10.1029/2009GC002611","http://dx.doi.org/10.1029/2009GC002611")</f>
        <v>http://dx.doi.org/10.1029/2009GC002611</v>
      </c>
      <c r="BG168" t="s">
        <v>74</v>
      </c>
      <c r="BH168" t="s">
        <v>74</v>
      </c>
      <c r="BI168">
        <v>18</v>
      </c>
      <c r="BJ168" t="s">
        <v>507</v>
      </c>
      <c r="BK168" t="s">
        <v>102</v>
      </c>
      <c r="BL168" t="s">
        <v>507</v>
      </c>
      <c r="BM168" t="s">
        <v>3331</v>
      </c>
      <c r="BN168" t="s">
        <v>74</v>
      </c>
      <c r="BO168" t="s">
        <v>326</v>
      </c>
      <c r="BP168" t="s">
        <v>74</v>
      </c>
      <c r="BQ168" t="s">
        <v>74</v>
      </c>
      <c r="BR168" t="s">
        <v>105</v>
      </c>
      <c r="BS168" t="s">
        <v>3332</v>
      </c>
      <c r="BT168" t="str">
        <f>HYPERLINK("https%3A%2F%2Fwww.webofscience.com%2Fwos%2Fwoscc%2Ffull-record%2FWOS:000275856300001","View Full Record in Web of Science")</f>
        <v>View Full Record in Web of Science</v>
      </c>
    </row>
    <row r="169" spans="1:72" x14ac:dyDescent="0.15">
      <c r="A169" t="s">
        <v>72</v>
      </c>
      <c r="B169" t="s">
        <v>3333</v>
      </c>
      <c r="C169" t="s">
        <v>74</v>
      </c>
      <c r="D169" t="s">
        <v>74</v>
      </c>
      <c r="E169" t="s">
        <v>74</v>
      </c>
      <c r="F169" t="s">
        <v>3334</v>
      </c>
      <c r="G169" t="s">
        <v>74</v>
      </c>
      <c r="H169" t="s">
        <v>74</v>
      </c>
      <c r="I169" t="s">
        <v>3335</v>
      </c>
      <c r="J169" t="s">
        <v>3336</v>
      </c>
      <c r="K169" t="s">
        <v>74</v>
      </c>
      <c r="L169" t="s">
        <v>74</v>
      </c>
      <c r="M169" t="s">
        <v>78</v>
      </c>
      <c r="N169" t="s">
        <v>79</v>
      </c>
      <c r="O169" t="s">
        <v>74</v>
      </c>
      <c r="P169" t="s">
        <v>74</v>
      </c>
      <c r="Q169" t="s">
        <v>74</v>
      </c>
      <c r="R169" t="s">
        <v>74</v>
      </c>
      <c r="S169" t="s">
        <v>74</v>
      </c>
      <c r="T169" t="s">
        <v>74</v>
      </c>
      <c r="U169" t="s">
        <v>3337</v>
      </c>
      <c r="V169" t="s">
        <v>3338</v>
      </c>
      <c r="W169" t="s">
        <v>3339</v>
      </c>
      <c r="X169" t="s">
        <v>3340</v>
      </c>
      <c r="Y169" t="s">
        <v>3341</v>
      </c>
      <c r="Z169" t="s">
        <v>3342</v>
      </c>
      <c r="AA169" t="s">
        <v>3343</v>
      </c>
      <c r="AB169" t="s">
        <v>74</v>
      </c>
      <c r="AC169" t="s">
        <v>3344</v>
      </c>
      <c r="AD169" t="s">
        <v>3345</v>
      </c>
      <c r="AE169" t="s">
        <v>3346</v>
      </c>
      <c r="AF169" t="s">
        <v>74</v>
      </c>
      <c r="AG169">
        <v>52</v>
      </c>
      <c r="AH169">
        <v>94</v>
      </c>
      <c r="AI169">
        <v>104</v>
      </c>
      <c r="AJ169">
        <v>0</v>
      </c>
      <c r="AK169">
        <v>26</v>
      </c>
      <c r="AL169" t="s">
        <v>91</v>
      </c>
      <c r="AM169" t="s">
        <v>92</v>
      </c>
      <c r="AN169" t="s">
        <v>93</v>
      </c>
      <c r="AO169" t="s">
        <v>3347</v>
      </c>
      <c r="AP169" t="s">
        <v>74</v>
      </c>
      <c r="AQ169" t="s">
        <v>74</v>
      </c>
      <c r="AR169" t="s">
        <v>3336</v>
      </c>
      <c r="AS169" t="s">
        <v>3348</v>
      </c>
      <c r="AT169" t="s">
        <v>3349</v>
      </c>
      <c r="AU169">
        <v>2010</v>
      </c>
      <c r="AV169">
        <v>25</v>
      </c>
      <c r="AW169" t="s">
        <v>74</v>
      </c>
      <c r="AX169" t="s">
        <v>74</v>
      </c>
      <c r="AY169" t="s">
        <v>74</v>
      </c>
      <c r="AZ169" t="s">
        <v>74</v>
      </c>
      <c r="BA169" t="s">
        <v>74</v>
      </c>
      <c r="BB169" t="s">
        <v>74</v>
      </c>
      <c r="BC169" t="s">
        <v>74</v>
      </c>
      <c r="BD169" t="s">
        <v>3350</v>
      </c>
      <c r="BE169" t="s">
        <v>3351</v>
      </c>
      <c r="BF169" t="str">
        <f>HYPERLINK("http://dx.doi.org/10.1029/2008PA001687","http://dx.doi.org/10.1029/2008PA001687")</f>
        <v>http://dx.doi.org/10.1029/2008PA001687</v>
      </c>
      <c r="BG169" t="s">
        <v>74</v>
      </c>
      <c r="BH169" t="s">
        <v>74</v>
      </c>
      <c r="BI169">
        <v>11</v>
      </c>
      <c r="BJ169" t="s">
        <v>3352</v>
      </c>
      <c r="BK169" t="s">
        <v>102</v>
      </c>
      <c r="BL169" t="s">
        <v>3353</v>
      </c>
      <c r="BM169" t="s">
        <v>3354</v>
      </c>
      <c r="BN169" t="s">
        <v>74</v>
      </c>
      <c r="BO169" t="s">
        <v>104</v>
      </c>
      <c r="BP169" t="s">
        <v>74</v>
      </c>
      <c r="BQ169" t="s">
        <v>74</v>
      </c>
      <c r="BR169" t="s">
        <v>105</v>
      </c>
      <c r="BS169" t="s">
        <v>3355</v>
      </c>
      <c r="BT169" t="str">
        <f>HYPERLINK("https%3A%2F%2Fwww.webofscience.com%2Fwos%2Fwoscc%2Ffull-record%2FWOS:000275861200001","View Full Record in Web of Science")</f>
        <v>View Full Record in Web of Science</v>
      </c>
    </row>
    <row r="170" spans="1:72" x14ac:dyDescent="0.15">
      <c r="A170" t="s">
        <v>72</v>
      </c>
      <c r="B170" t="s">
        <v>3356</v>
      </c>
      <c r="C170" t="s">
        <v>74</v>
      </c>
      <c r="D170" t="s">
        <v>74</v>
      </c>
      <c r="E170" t="s">
        <v>74</v>
      </c>
      <c r="F170" t="s">
        <v>3357</v>
      </c>
      <c r="G170" t="s">
        <v>74</v>
      </c>
      <c r="H170" t="s">
        <v>74</v>
      </c>
      <c r="I170" t="s">
        <v>3358</v>
      </c>
      <c r="J170" t="s">
        <v>3359</v>
      </c>
      <c r="K170" t="s">
        <v>74</v>
      </c>
      <c r="L170" t="s">
        <v>74</v>
      </c>
      <c r="M170" t="s">
        <v>78</v>
      </c>
      <c r="N170" t="s">
        <v>79</v>
      </c>
      <c r="O170" t="s">
        <v>74</v>
      </c>
      <c r="P170" t="s">
        <v>74</v>
      </c>
      <c r="Q170" t="s">
        <v>74</v>
      </c>
      <c r="R170" t="s">
        <v>74</v>
      </c>
      <c r="S170" t="s">
        <v>74</v>
      </c>
      <c r="T170" t="s">
        <v>74</v>
      </c>
      <c r="U170" t="s">
        <v>3360</v>
      </c>
      <c r="V170" t="s">
        <v>3361</v>
      </c>
      <c r="W170" t="s">
        <v>3362</v>
      </c>
      <c r="X170" t="s">
        <v>3363</v>
      </c>
      <c r="Y170" t="s">
        <v>3364</v>
      </c>
      <c r="Z170" t="s">
        <v>3365</v>
      </c>
      <c r="AA170" t="s">
        <v>3366</v>
      </c>
      <c r="AB170" t="s">
        <v>74</v>
      </c>
      <c r="AC170" t="s">
        <v>3367</v>
      </c>
      <c r="AD170" t="s">
        <v>3368</v>
      </c>
      <c r="AE170" t="s">
        <v>3369</v>
      </c>
      <c r="AF170" t="s">
        <v>74</v>
      </c>
      <c r="AG170">
        <v>69</v>
      </c>
      <c r="AH170">
        <v>19</v>
      </c>
      <c r="AI170">
        <v>20</v>
      </c>
      <c r="AJ170">
        <v>0</v>
      </c>
      <c r="AK170">
        <v>7</v>
      </c>
      <c r="AL170" t="s">
        <v>91</v>
      </c>
      <c r="AM170" t="s">
        <v>92</v>
      </c>
      <c r="AN170" t="s">
        <v>93</v>
      </c>
      <c r="AO170" t="s">
        <v>3370</v>
      </c>
      <c r="AP170" t="s">
        <v>3371</v>
      </c>
      <c r="AQ170" t="s">
        <v>74</v>
      </c>
      <c r="AR170" t="s">
        <v>3372</v>
      </c>
      <c r="AS170" t="s">
        <v>3373</v>
      </c>
      <c r="AT170" t="s">
        <v>3374</v>
      </c>
      <c r="AU170">
        <v>2010</v>
      </c>
      <c r="AV170">
        <v>115</v>
      </c>
      <c r="AW170" t="s">
        <v>74</v>
      </c>
      <c r="AX170" t="s">
        <v>74</v>
      </c>
      <c r="AY170" t="s">
        <v>74</v>
      </c>
      <c r="AZ170" t="s">
        <v>74</v>
      </c>
      <c r="BA170" t="s">
        <v>74</v>
      </c>
      <c r="BB170" t="s">
        <v>74</v>
      </c>
      <c r="BC170" t="s">
        <v>74</v>
      </c>
      <c r="BD170" t="s">
        <v>3375</v>
      </c>
      <c r="BE170" t="s">
        <v>3376</v>
      </c>
      <c r="BF170" t="str">
        <f>HYPERLINK("http://dx.doi.org/10.1029/2009JF001325","http://dx.doi.org/10.1029/2009JF001325")</f>
        <v>http://dx.doi.org/10.1029/2009JF001325</v>
      </c>
      <c r="BG170" t="s">
        <v>74</v>
      </c>
      <c r="BH170" t="s">
        <v>74</v>
      </c>
      <c r="BI170">
        <v>15</v>
      </c>
      <c r="BJ170" t="s">
        <v>913</v>
      </c>
      <c r="BK170" t="s">
        <v>102</v>
      </c>
      <c r="BL170" t="s">
        <v>914</v>
      </c>
      <c r="BM170" t="s">
        <v>3377</v>
      </c>
      <c r="BN170" t="s">
        <v>74</v>
      </c>
      <c r="BO170" t="s">
        <v>104</v>
      </c>
      <c r="BP170" t="s">
        <v>74</v>
      </c>
      <c r="BQ170" t="s">
        <v>74</v>
      </c>
      <c r="BR170" t="s">
        <v>105</v>
      </c>
      <c r="BS170" t="s">
        <v>3378</v>
      </c>
      <c r="BT170" t="str">
        <f>HYPERLINK("https%3A%2F%2Fwww.webofscience.com%2Fwos%2Fwoscc%2Ffull-record%2FWOS:000275858800001","View Full Record in Web of Science")</f>
        <v>View Full Record in Web of Science</v>
      </c>
    </row>
    <row r="171" spans="1:72" x14ac:dyDescent="0.15">
      <c r="A171" t="s">
        <v>72</v>
      </c>
      <c r="B171" t="s">
        <v>3379</v>
      </c>
      <c r="C171" t="s">
        <v>74</v>
      </c>
      <c r="D171" t="s">
        <v>74</v>
      </c>
      <c r="E171" t="s">
        <v>74</v>
      </c>
      <c r="F171" t="s">
        <v>3380</v>
      </c>
      <c r="G171" t="s">
        <v>74</v>
      </c>
      <c r="H171" t="s">
        <v>74</v>
      </c>
      <c r="I171" t="s">
        <v>3381</v>
      </c>
      <c r="J171" t="s">
        <v>3382</v>
      </c>
      <c r="K171" t="s">
        <v>74</v>
      </c>
      <c r="L171" t="s">
        <v>74</v>
      </c>
      <c r="M171" t="s">
        <v>78</v>
      </c>
      <c r="N171" t="s">
        <v>79</v>
      </c>
      <c r="O171" t="s">
        <v>74</v>
      </c>
      <c r="P171" t="s">
        <v>74</v>
      </c>
      <c r="Q171" t="s">
        <v>74</v>
      </c>
      <c r="R171" t="s">
        <v>74</v>
      </c>
      <c r="S171" t="s">
        <v>74</v>
      </c>
      <c r="T171" t="s">
        <v>3383</v>
      </c>
      <c r="U171" t="s">
        <v>3384</v>
      </c>
      <c r="V171" t="s">
        <v>3385</v>
      </c>
      <c r="W171" t="s">
        <v>3386</v>
      </c>
      <c r="X171" t="s">
        <v>2278</v>
      </c>
      <c r="Y171" t="s">
        <v>3387</v>
      </c>
      <c r="Z171" t="s">
        <v>3388</v>
      </c>
      <c r="AA171" t="s">
        <v>3389</v>
      </c>
      <c r="AB171" t="s">
        <v>3390</v>
      </c>
      <c r="AC171" t="s">
        <v>3391</v>
      </c>
      <c r="AD171" t="s">
        <v>3392</v>
      </c>
      <c r="AE171" t="s">
        <v>3393</v>
      </c>
      <c r="AF171" t="s">
        <v>74</v>
      </c>
      <c r="AG171">
        <v>109</v>
      </c>
      <c r="AH171">
        <v>1029</v>
      </c>
      <c r="AI171">
        <v>1145</v>
      </c>
      <c r="AJ171">
        <v>5</v>
      </c>
      <c r="AK171">
        <v>341</v>
      </c>
      <c r="AL171" t="s">
        <v>3394</v>
      </c>
      <c r="AM171" t="s">
        <v>1896</v>
      </c>
      <c r="AN171" t="s">
        <v>3395</v>
      </c>
      <c r="AO171" t="s">
        <v>3396</v>
      </c>
      <c r="AP171" t="s">
        <v>3397</v>
      </c>
      <c r="AQ171" t="s">
        <v>74</v>
      </c>
      <c r="AR171" t="s">
        <v>3398</v>
      </c>
      <c r="AS171" t="s">
        <v>3399</v>
      </c>
      <c r="AT171" t="s">
        <v>3400</v>
      </c>
      <c r="AU171">
        <v>2010</v>
      </c>
      <c r="AV171">
        <v>213</v>
      </c>
      <c r="AW171">
        <v>6</v>
      </c>
      <c r="AX171" t="s">
        <v>74</v>
      </c>
      <c r="AY171" t="s">
        <v>74</v>
      </c>
      <c r="AZ171" t="s">
        <v>74</v>
      </c>
      <c r="BA171" t="s">
        <v>74</v>
      </c>
      <c r="BB171">
        <v>881</v>
      </c>
      <c r="BC171">
        <v>893</v>
      </c>
      <c r="BD171" t="s">
        <v>74</v>
      </c>
      <c r="BE171" t="s">
        <v>3401</v>
      </c>
      <c r="BF171" t="str">
        <f>HYPERLINK("http://dx.doi.org/10.1242/jeb.037523","http://dx.doi.org/10.1242/jeb.037523")</f>
        <v>http://dx.doi.org/10.1242/jeb.037523</v>
      </c>
      <c r="BG171" t="s">
        <v>74</v>
      </c>
      <c r="BH171" t="s">
        <v>74</v>
      </c>
      <c r="BI171">
        <v>13</v>
      </c>
      <c r="BJ171" t="s">
        <v>3402</v>
      </c>
      <c r="BK171" t="s">
        <v>102</v>
      </c>
      <c r="BL171" t="s">
        <v>3403</v>
      </c>
      <c r="BM171" t="s">
        <v>3404</v>
      </c>
      <c r="BN171">
        <v>20190113</v>
      </c>
      <c r="BO171" t="s">
        <v>104</v>
      </c>
      <c r="BP171" t="s">
        <v>74</v>
      </c>
      <c r="BQ171" t="s">
        <v>74</v>
      </c>
      <c r="BR171" t="s">
        <v>105</v>
      </c>
      <c r="BS171" t="s">
        <v>3405</v>
      </c>
      <c r="BT171" t="str">
        <f>HYPERLINK("https%3A%2F%2Fwww.webofscience.com%2Fwos%2Fwoscc%2Ffull-record%2FWOS:000275002600010","View Full Record in Web of Science")</f>
        <v>View Full Record in Web of Science</v>
      </c>
    </row>
    <row r="172" spans="1:72" x14ac:dyDescent="0.15">
      <c r="A172" t="s">
        <v>72</v>
      </c>
      <c r="B172" t="s">
        <v>3406</v>
      </c>
      <c r="C172" t="s">
        <v>74</v>
      </c>
      <c r="D172" t="s">
        <v>74</v>
      </c>
      <c r="E172" t="s">
        <v>74</v>
      </c>
      <c r="F172" t="s">
        <v>3407</v>
      </c>
      <c r="G172" t="s">
        <v>74</v>
      </c>
      <c r="H172" t="s">
        <v>74</v>
      </c>
      <c r="I172" t="s">
        <v>3408</v>
      </c>
      <c r="J172" t="s">
        <v>3382</v>
      </c>
      <c r="K172" t="s">
        <v>74</v>
      </c>
      <c r="L172" t="s">
        <v>74</v>
      </c>
      <c r="M172" t="s">
        <v>78</v>
      </c>
      <c r="N172" t="s">
        <v>79</v>
      </c>
      <c r="O172" t="s">
        <v>74</v>
      </c>
      <c r="P172" t="s">
        <v>74</v>
      </c>
      <c r="Q172" t="s">
        <v>74</v>
      </c>
      <c r="R172" t="s">
        <v>74</v>
      </c>
      <c r="S172" t="s">
        <v>74</v>
      </c>
      <c r="T172" t="s">
        <v>3409</v>
      </c>
      <c r="U172" t="s">
        <v>3410</v>
      </c>
      <c r="V172" t="s">
        <v>3411</v>
      </c>
      <c r="W172" t="s">
        <v>3412</v>
      </c>
      <c r="X172" t="s">
        <v>3413</v>
      </c>
      <c r="Y172" t="s">
        <v>3414</v>
      </c>
      <c r="Z172" t="s">
        <v>3415</v>
      </c>
      <c r="AA172" t="s">
        <v>3416</v>
      </c>
      <c r="AB172" t="s">
        <v>3417</v>
      </c>
      <c r="AC172" t="s">
        <v>3418</v>
      </c>
      <c r="AD172" t="s">
        <v>3419</v>
      </c>
      <c r="AE172" t="s">
        <v>3420</v>
      </c>
      <c r="AF172" t="s">
        <v>74</v>
      </c>
      <c r="AG172">
        <v>63</v>
      </c>
      <c r="AH172">
        <v>1276</v>
      </c>
      <c r="AI172">
        <v>1474</v>
      </c>
      <c r="AJ172">
        <v>20</v>
      </c>
      <c r="AK172">
        <v>762</v>
      </c>
      <c r="AL172" t="s">
        <v>3394</v>
      </c>
      <c r="AM172" t="s">
        <v>1896</v>
      </c>
      <c r="AN172" t="s">
        <v>3395</v>
      </c>
      <c r="AO172" t="s">
        <v>3396</v>
      </c>
      <c r="AP172" t="s">
        <v>3397</v>
      </c>
      <c r="AQ172" t="s">
        <v>74</v>
      </c>
      <c r="AR172" t="s">
        <v>3398</v>
      </c>
      <c r="AS172" t="s">
        <v>3399</v>
      </c>
      <c r="AT172" t="s">
        <v>3400</v>
      </c>
      <c r="AU172">
        <v>2010</v>
      </c>
      <c r="AV172">
        <v>213</v>
      </c>
      <c r="AW172">
        <v>6</v>
      </c>
      <c r="AX172" t="s">
        <v>74</v>
      </c>
      <c r="AY172" t="s">
        <v>74</v>
      </c>
      <c r="AZ172" t="s">
        <v>74</v>
      </c>
      <c r="BA172" t="s">
        <v>74</v>
      </c>
      <c r="BB172">
        <v>912</v>
      </c>
      <c r="BC172">
        <v>920</v>
      </c>
      <c r="BD172" t="s">
        <v>74</v>
      </c>
      <c r="BE172" t="s">
        <v>3421</v>
      </c>
      <c r="BF172" t="str">
        <f>HYPERLINK("http://dx.doi.org/10.1242/jeb.037473","http://dx.doi.org/10.1242/jeb.037473")</f>
        <v>http://dx.doi.org/10.1242/jeb.037473</v>
      </c>
      <c r="BG172" t="s">
        <v>74</v>
      </c>
      <c r="BH172" t="s">
        <v>74</v>
      </c>
      <c r="BI172">
        <v>9</v>
      </c>
      <c r="BJ172" t="s">
        <v>3402</v>
      </c>
      <c r="BK172" t="s">
        <v>102</v>
      </c>
      <c r="BL172" t="s">
        <v>3403</v>
      </c>
      <c r="BM172" t="s">
        <v>3404</v>
      </c>
      <c r="BN172">
        <v>20190116</v>
      </c>
      <c r="BO172" t="s">
        <v>74</v>
      </c>
      <c r="BP172" t="s">
        <v>74</v>
      </c>
      <c r="BQ172" t="s">
        <v>74</v>
      </c>
      <c r="BR172" t="s">
        <v>105</v>
      </c>
      <c r="BS172" t="s">
        <v>3422</v>
      </c>
      <c r="BT172" t="str">
        <f>HYPERLINK("https%3A%2F%2Fwww.webofscience.com%2Fwos%2Fwoscc%2Ffull-record%2FWOS:000275002600013","View Full Record in Web of Science")</f>
        <v>View Full Record in Web of Science</v>
      </c>
    </row>
    <row r="173" spans="1:72" x14ac:dyDescent="0.15">
      <c r="A173" t="s">
        <v>72</v>
      </c>
      <c r="B173" t="s">
        <v>3423</v>
      </c>
      <c r="C173" t="s">
        <v>74</v>
      </c>
      <c r="D173" t="s">
        <v>74</v>
      </c>
      <c r="E173" t="s">
        <v>74</v>
      </c>
      <c r="F173" t="s">
        <v>3424</v>
      </c>
      <c r="G173" t="s">
        <v>74</v>
      </c>
      <c r="H173" t="s">
        <v>74</v>
      </c>
      <c r="I173" t="s">
        <v>3425</v>
      </c>
      <c r="J173" t="s">
        <v>3382</v>
      </c>
      <c r="K173" t="s">
        <v>74</v>
      </c>
      <c r="L173" t="s">
        <v>74</v>
      </c>
      <c r="M173" t="s">
        <v>78</v>
      </c>
      <c r="N173" t="s">
        <v>79</v>
      </c>
      <c r="O173" t="s">
        <v>74</v>
      </c>
      <c r="P173" t="s">
        <v>74</v>
      </c>
      <c r="Q173" t="s">
        <v>74</v>
      </c>
      <c r="R173" t="s">
        <v>74</v>
      </c>
      <c r="S173" t="s">
        <v>74</v>
      </c>
      <c r="T173" t="s">
        <v>3426</v>
      </c>
      <c r="U173" t="s">
        <v>3427</v>
      </c>
      <c r="V173" t="s">
        <v>3428</v>
      </c>
      <c r="W173" t="s">
        <v>3429</v>
      </c>
      <c r="X173" t="s">
        <v>3430</v>
      </c>
      <c r="Y173" t="s">
        <v>3431</v>
      </c>
      <c r="Z173" t="s">
        <v>3432</v>
      </c>
      <c r="AA173" t="s">
        <v>74</v>
      </c>
      <c r="AB173" t="s">
        <v>74</v>
      </c>
      <c r="AC173" t="s">
        <v>3433</v>
      </c>
      <c r="AD173" t="s">
        <v>989</v>
      </c>
      <c r="AE173" t="s">
        <v>3434</v>
      </c>
      <c r="AF173" t="s">
        <v>74</v>
      </c>
      <c r="AG173">
        <v>81</v>
      </c>
      <c r="AH173">
        <v>318</v>
      </c>
      <c r="AI173">
        <v>367</v>
      </c>
      <c r="AJ173">
        <v>5</v>
      </c>
      <c r="AK173">
        <v>136</v>
      </c>
      <c r="AL173" t="s">
        <v>3394</v>
      </c>
      <c r="AM173" t="s">
        <v>1896</v>
      </c>
      <c r="AN173" t="s">
        <v>3395</v>
      </c>
      <c r="AO173" t="s">
        <v>3396</v>
      </c>
      <c r="AP173" t="s">
        <v>3397</v>
      </c>
      <c r="AQ173" t="s">
        <v>74</v>
      </c>
      <c r="AR173" t="s">
        <v>3398</v>
      </c>
      <c r="AS173" t="s">
        <v>3399</v>
      </c>
      <c r="AT173" t="s">
        <v>3400</v>
      </c>
      <c r="AU173">
        <v>2010</v>
      </c>
      <c r="AV173">
        <v>213</v>
      </c>
      <c r="AW173">
        <v>6</v>
      </c>
      <c r="AX173" t="s">
        <v>74</v>
      </c>
      <c r="AY173" t="s">
        <v>74</v>
      </c>
      <c r="AZ173" t="s">
        <v>74</v>
      </c>
      <c r="BA173" t="s">
        <v>74</v>
      </c>
      <c r="BB173">
        <v>971</v>
      </c>
      <c r="BC173">
        <v>979</v>
      </c>
      <c r="BD173" t="s">
        <v>74</v>
      </c>
      <c r="BE173" t="s">
        <v>3435</v>
      </c>
      <c r="BF173" t="str">
        <f>HYPERLINK("http://dx.doi.org/10.1242/jeb.038034","http://dx.doi.org/10.1242/jeb.038034")</f>
        <v>http://dx.doi.org/10.1242/jeb.038034</v>
      </c>
      <c r="BG173" t="s">
        <v>74</v>
      </c>
      <c r="BH173" t="s">
        <v>74</v>
      </c>
      <c r="BI173">
        <v>9</v>
      </c>
      <c r="BJ173" t="s">
        <v>3402</v>
      </c>
      <c r="BK173" t="s">
        <v>102</v>
      </c>
      <c r="BL173" t="s">
        <v>3403</v>
      </c>
      <c r="BM173" t="s">
        <v>3404</v>
      </c>
      <c r="BN173">
        <v>20190122</v>
      </c>
      <c r="BO173" t="s">
        <v>326</v>
      </c>
      <c r="BP173" t="s">
        <v>74</v>
      </c>
      <c r="BQ173" t="s">
        <v>74</v>
      </c>
      <c r="BR173" t="s">
        <v>105</v>
      </c>
      <c r="BS173" t="s">
        <v>3436</v>
      </c>
      <c r="BT173" t="str">
        <f>HYPERLINK("https%3A%2F%2Fwww.webofscience.com%2Fwos%2Fwoscc%2Ffull-record%2FWOS:000275002600019","View Full Record in Web of Science")</f>
        <v>View Full Record in Web of Science</v>
      </c>
    </row>
    <row r="174" spans="1:72" x14ac:dyDescent="0.15">
      <c r="A174" t="s">
        <v>72</v>
      </c>
      <c r="B174" t="s">
        <v>3437</v>
      </c>
      <c r="C174" t="s">
        <v>74</v>
      </c>
      <c r="D174" t="s">
        <v>74</v>
      </c>
      <c r="E174" t="s">
        <v>74</v>
      </c>
      <c r="F174" t="s">
        <v>3438</v>
      </c>
      <c r="G174" t="s">
        <v>74</v>
      </c>
      <c r="H174" t="s">
        <v>74</v>
      </c>
      <c r="I174" t="s">
        <v>3439</v>
      </c>
      <c r="J174" t="s">
        <v>370</v>
      </c>
      <c r="K174" t="s">
        <v>74</v>
      </c>
      <c r="L174" t="s">
        <v>74</v>
      </c>
      <c r="M174" t="s">
        <v>78</v>
      </c>
      <c r="N174" t="s">
        <v>79</v>
      </c>
      <c r="O174" t="s">
        <v>74</v>
      </c>
      <c r="P174" t="s">
        <v>74</v>
      </c>
      <c r="Q174" t="s">
        <v>74</v>
      </c>
      <c r="R174" t="s">
        <v>74</v>
      </c>
      <c r="S174" t="s">
        <v>74</v>
      </c>
      <c r="T174" t="s">
        <v>74</v>
      </c>
      <c r="U174" t="s">
        <v>3440</v>
      </c>
      <c r="V174" t="s">
        <v>3441</v>
      </c>
      <c r="W174" t="s">
        <v>3442</v>
      </c>
      <c r="X174" t="s">
        <v>3443</v>
      </c>
      <c r="Y174" t="s">
        <v>3444</v>
      </c>
      <c r="Z174" t="s">
        <v>3445</v>
      </c>
      <c r="AA174" t="s">
        <v>3446</v>
      </c>
      <c r="AB174" t="s">
        <v>3447</v>
      </c>
      <c r="AC174" t="s">
        <v>3448</v>
      </c>
      <c r="AD174" t="s">
        <v>3448</v>
      </c>
      <c r="AE174" t="s">
        <v>3449</v>
      </c>
      <c r="AF174" t="s">
        <v>74</v>
      </c>
      <c r="AG174">
        <v>53</v>
      </c>
      <c r="AH174">
        <v>5</v>
      </c>
      <c r="AI174">
        <v>7</v>
      </c>
      <c r="AJ174">
        <v>0</v>
      </c>
      <c r="AK174">
        <v>12</v>
      </c>
      <c r="AL174" t="s">
        <v>381</v>
      </c>
      <c r="AM174" t="s">
        <v>382</v>
      </c>
      <c r="AN174" t="s">
        <v>383</v>
      </c>
      <c r="AO174" t="s">
        <v>384</v>
      </c>
      <c r="AP174" t="s">
        <v>74</v>
      </c>
      <c r="AQ174" t="s">
        <v>74</v>
      </c>
      <c r="AR174" t="s">
        <v>370</v>
      </c>
      <c r="AS174" t="s">
        <v>385</v>
      </c>
      <c r="AT174" t="s">
        <v>3400</v>
      </c>
      <c r="AU174">
        <v>2010</v>
      </c>
      <c r="AV174">
        <v>5</v>
      </c>
      <c r="AW174">
        <v>3</v>
      </c>
      <c r="AX174" t="s">
        <v>74</v>
      </c>
      <c r="AY174" t="s">
        <v>74</v>
      </c>
      <c r="AZ174" t="s">
        <v>74</v>
      </c>
      <c r="BA174" t="s">
        <v>74</v>
      </c>
      <c r="BB174" t="s">
        <v>74</v>
      </c>
      <c r="BC174" t="s">
        <v>74</v>
      </c>
      <c r="BD174" t="s">
        <v>3450</v>
      </c>
      <c r="BE174" t="s">
        <v>3451</v>
      </c>
      <c r="BF174" t="str">
        <f>HYPERLINK("http://dx.doi.org/10.1371/journal.pone.0009686","http://dx.doi.org/10.1371/journal.pone.0009686")</f>
        <v>http://dx.doi.org/10.1371/journal.pone.0009686</v>
      </c>
      <c r="BG174" t="s">
        <v>74</v>
      </c>
      <c r="BH174" t="s">
        <v>74</v>
      </c>
      <c r="BI174">
        <v>9</v>
      </c>
      <c r="BJ174" t="s">
        <v>323</v>
      </c>
      <c r="BK174" t="s">
        <v>102</v>
      </c>
      <c r="BL174" t="s">
        <v>324</v>
      </c>
      <c r="BM174" t="s">
        <v>3452</v>
      </c>
      <c r="BN174">
        <v>20300626</v>
      </c>
      <c r="BO174" t="s">
        <v>3453</v>
      </c>
      <c r="BP174" t="s">
        <v>74</v>
      </c>
      <c r="BQ174" t="s">
        <v>74</v>
      </c>
      <c r="BR174" t="s">
        <v>105</v>
      </c>
      <c r="BS174" t="s">
        <v>3454</v>
      </c>
      <c r="BT174" t="str">
        <f>HYPERLINK("https%3A%2F%2Fwww.webofscience.com%2Fwos%2Fwoscc%2Ffull-record%2FWOS:000275621000006","View Full Record in Web of Science")</f>
        <v>View Full Record in Web of Science</v>
      </c>
    </row>
    <row r="175" spans="1:72" x14ac:dyDescent="0.15">
      <c r="A175" t="s">
        <v>72</v>
      </c>
      <c r="B175" t="s">
        <v>3455</v>
      </c>
      <c r="C175" t="s">
        <v>74</v>
      </c>
      <c r="D175" t="s">
        <v>74</v>
      </c>
      <c r="E175" t="s">
        <v>74</v>
      </c>
      <c r="F175" t="s">
        <v>3456</v>
      </c>
      <c r="G175" t="s">
        <v>74</v>
      </c>
      <c r="H175" t="s">
        <v>74</v>
      </c>
      <c r="I175" t="s">
        <v>3457</v>
      </c>
      <c r="J175" t="s">
        <v>239</v>
      </c>
      <c r="K175" t="s">
        <v>74</v>
      </c>
      <c r="L175" t="s">
        <v>74</v>
      </c>
      <c r="M175" t="s">
        <v>78</v>
      </c>
      <c r="N175" t="s">
        <v>79</v>
      </c>
      <c r="O175" t="s">
        <v>74</v>
      </c>
      <c r="P175" t="s">
        <v>74</v>
      </c>
      <c r="Q175" t="s">
        <v>74</v>
      </c>
      <c r="R175" t="s">
        <v>74</v>
      </c>
      <c r="S175" t="s">
        <v>74</v>
      </c>
      <c r="T175" t="s">
        <v>74</v>
      </c>
      <c r="U175" t="s">
        <v>3458</v>
      </c>
      <c r="V175" t="s">
        <v>3459</v>
      </c>
      <c r="W175" t="s">
        <v>3460</v>
      </c>
      <c r="X175" t="s">
        <v>3461</v>
      </c>
      <c r="Y175" t="s">
        <v>3462</v>
      </c>
      <c r="Z175" t="s">
        <v>3463</v>
      </c>
      <c r="AA175" t="s">
        <v>3464</v>
      </c>
      <c r="AB175" t="s">
        <v>3465</v>
      </c>
      <c r="AC175" t="s">
        <v>3466</v>
      </c>
      <c r="AD175" t="s">
        <v>3467</v>
      </c>
      <c r="AE175" t="s">
        <v>3468</v>
      </c>
      <c r="AF175" t="s">
        <v>74</v>
      </c>
      <c r="AG175">
        <v>45</v>
      </c>
      <c r="AH175">
        <v>31</v>
      </c>
      <c r="AI175">
        <v>32</v>
      </c>
      <c r="AJ175">
        <v>0</v>
      </c>
      <c r="AK175">
        <v>4</v>
      </c>
      <c r="AL175" t="s">
        <v>91</v>
      </c>
      <c r="AM175" t="s">
        <v>92</v>
      </c>
      <c r="AN175" t="s">
        <v>93</v>
      </c>
      <c r="AO175" t="s">
        <v>251</v>
      </c>
      <c r="AP175" t="s">
        <v>252</v>
      </c>
      <c r="AQ175" t="s">
        <v>74</v>
      </c>
      <c r="AR175" t="s">
        <v>253</v>
      </c>
      <c r="AS175" t="s">
        <v>254</v>
      </c>
      <c r="AT175" t="s">
        <v>3469</v>
      </c>
      <c r="AU175">
        <v>2010</v>
      </c>
      <c r="AV175">
        <v>115</v>
      </c>
      <c r="AW175" t="s">
        <v>74</v>
      </c>
      <c r="AX175" t="s">
        <v>74</v>
      </c>
      <c r="AY175" t="s">
        <v>74</v>
      </c>
      <c r="AZ175" t="s">
        <v>74</v>
      </c>
      <c r="BA175" t="s">
        <v>74</v>
      </c>
      <c r="BB175" t="s">
        <v>74</v>
      </c>
      <c r="BC175" t="s">
        <v>74</v>
      </c>
      <c r="BD175" t="s">
        <v>3470</v>
      </c>
      <c r="BE175" t="s">
        <v>3471</v>
      </c>
      <c r="BF175" t="str">
        <f>HYPERLINK("http://dx.doi.org/10.1029/2009JD012569","http://dx.doi.org/10.1029/2009JD012569")</f>
        <v>http://dx.doi.org/10.1029/2009JD012569</v>
      </c>
      <c r="BG175" t="s">
        <v>74</v>
      </c>
      <c r="BH175" t="s">
        <v>74</v>
      </c>
      <c r="BI175">
        <v>12</v>
      </c>
      <c r="BJ175" t="s">
        <v>258</v>
      </c>
      <c r="BK175" t="s">
        <v>102</v>
      </c>
      <c r="BL175" t="s">
        <v>258</v>
      </c>
      <c r="BM175" t="s">
        <v>3472</v>
      </c>
      <c r="BN175" t="s">
        <v>74</v>
      </c>
      <c r="BO175" t="s">
        <v>74</v>
      </c>
      <c r="BP175" t="s">
        <v>74</v>
      </c>
      <c r="BQ175" t="s">
        <v>74</v>
      </c>
      <c r="BR175" t="s">
        <v>105</v>
      </c>
      <c r="BS175" t="s">
        <v>3473</v>
      </c>
      <c r="BT175" t="str">
        <f>HYPERLINK("https%3A%2F%2Fwww.webofscience.com%2Fwos%2Fwoscc%2Ffull-record%2FWOS:000275496200004","View Full Record in Web of Science")</f>
        <v>View Full Record in Web of Science</v>
      </c>
    </row>
    <row r="176" spans="1:72" x14ac:dyDescent="0.15">
      <c r="A176" t="s">
        <v>72</v>
      </c>
      <c r="B176" t="s">
        <v>3474</v>
      </c>
      <c r="C176" t="s">
        <v>74</v>
      </c>
      <c r="D176" t="s">
        <v>74</v>
      </c>
      <c r="E176" t="s">
        <v>74</v>
      </c>
      <c r="F176" t="s">
        <v>3475</v>
      </c>
      <c r="G176" t="s">
        <v>74</v>
      </c>
      <c r="H176" t="s">
        <v>74</v>
      </c>
      <c r="I176" t="s">
        <v>3476</v>
      </c>
      <c r="J176" t="s">
        <v>3477</v>
      </c>
      <c r="K176" t="s">
        <v>74</v>
      </c>
      <c r="L176" t="s">
        <v>74</v>
      </c>
      <c r="M176" t="s">
        <v>78</v>
      </c>
      <c r="N176" t="s">
        <v>79</v>
      </c>
      <c r="O176" t="s">
        <v>74</v>
      </c>
      <c r="P176" t="s">
        <v>74</v>
      </c>
      <c r="Q176" t="s">
        <v>74</v>
      </c>
      <c r="R176" t="s">
        <v>74</v>
      </c>
      <c r="S176" t="s">
        <v>74</v>
      </c>
      <c r="T176" t="s">
        <v>3478</v>
      </c>
      <c r="U176" t="s">
        <v>3479</v>
      </c>
      <c r="V176" t="s">
        <v>3480</v>
      </c>
      <c r="W176" t="s">
        <v>3481</v>
      </c>
      <c r="X176" t="s">
        <v>3482</v>
      </c>
      <c r="Y176" t="s">
        <v>3483</v>
      </c>
      <c r="Z176" t="s">
        <v>3484</v>
      </c>
      <c r="AA176" t="s">
        <v>3485</v>
      </c>
      <c r="AB176" t="s">
        <v>3486</v>
      </c>
      <c r="AC176" t="s">
        <v>74</v>
      </c>
      <c r="AD176" t="s">
        <v>74</v>
      </c>
      <c r="AE176" t="s">
        <v>74</v>
      </c>
      <c r="AF176" t="s">
        <v>74</v>
      </c>
      <c r="AG176">
        <v>24</v>
      </c>
      <c r="AH176">
        <v>21</v>
      </c>
      <c r="AI176">
        <v>24</v>
      </c>
      <c r="AJ176">
        <v>0</v>
      </c>
      <c r="AK176">
        <v>8</v>
      </c>
      <c r="AL176" t="s">
        <v>3487</v>
      </c>
      <c r="AM176" t="s">
        <v>3488</v>
      </c>
      <c r="AN176" t="s">
        <v>3489</v>
      </c>
      <c r="AO176" t="s">
        <v>3490</v>
      </c>
      <c r="AP176" t="s">
        <v>3491</v>
      </c>
      <c r="AQ176" t="s">
        <v>74</v>
      </c>
      <c r="AR176" t="s">
        <v>3492</v>
      </c>
      <c r="AS176" t="s">
        <v>3493</v>
      </c>
      <c r="AT176" t="s">
        <v>3494</v>
      </c>
      <c r="AU176">
        <v>2010</v>
      </c>
      <c r="AV176">
        <v>472</v>
      </c>
      <c r="AW176">
        <v>1</v>
      </c>
      <c r="AX176" t="s">
        <v>74</v>
      </c>
      <c r="AY176" t="s">
        <v>74</v>
      </c>
      <c r="AZ176" t="s">
        <v>74</v>
      </c>
      <c r="BA176" t="s">
        <v>74</v>
      </c>
      <c r="BB176">
        <v>65</v>
      </c>
      <c r="BC176">
        <v>67</v>
      </c>
      <c r="BD176" t="s">
        <v>74</v>
      </c>
      <c r="BE176" t="s">
        <v>3495</v>
      </c>
      <c r="BF176" t="str">
        <f>HYPERLINK("http://dx.doi.org/10.1016/j.neulet.2010.01.059","http://dx.doi.org/10.1016/j.neulet.2010.01.059")</f>
        <v>http://dx.doi.org/10.1016/j.neulet.2010.01.059</v>
      </c>
      <c r="BG176" t="s">
        <v>74</v>
      </c>
      <c r="BH176" t="s">
        <v>74</v>
      </c>
      <c r="BI176">
        <v>3</v>
      </c>
      <c r="BJ176" t="s">
        <v>3496</v>
      </c>
      <c r="BK176" t="s">
        <v>102</v>
      </c>
      <c r="BL176" t="s">
        <v>3497</v>
      </c>
      <c r="BM176" t="s">
        <v>3498</v>
      </c>
      <c r="BN176">
        <v>20122993</v>
      </c>
      <c r="BO176" t="s">
        <v>74</v>
      </c>
      <c r="BP176" t="s">
        <v>74</v>
      </c>
      <c r="BQ176" t="s">
        <v>74</v>
      </c>
      <c r="BR176" t="s">
        <v>105</v>
      </c>
      <c r="BS176" t="s">
        <v>3499</v>
      </c>
      <c r="BT176" t="str">
        <f>HYPERLINK("https%3A%2F%2Fwww.webofscience.com%2Fwos%2Fwoscc%2Ffull-record%2FWOS:000275932900015","View Full Record in Web of Science")</f>
        <v>View Full Record in Web of Science</v>
      </c>
    </row>
    <row r="177" spans="1:72" x14ac:dyDescent="0.15">
      <c r="A177" t="s">
        <v>72</v>
      </c>
      <c r="B177" t="s">
        <v>3500</v>
      </c>
      <c r="C177" t="s">
        <v>74</v>
      </c>
      <c r="D177" t="s">
        <v>74</v>
      </c>
      <c r="E177" t="s">
        <v>74</v>
      </c>
      <c r="F177" t="s">
        <v>3501</v>
      </c>
      <c r="G177" t="s">
        <v>74</v>
      </c>
      <c r="H177" t="s">
        <v>74</v>
      </c>
      <c r="I177" t="s">
        <v>3502</v>
      </c>
      <c r="J177" t="s">
        <v>3336</v>
      </c>
      <c r="K177" t="s">
        <v>74</v>
      </c>
      <c r="L177" t="s">
        <v>74</v>
      </c>
      <c r="M177" t="s">
        <v>78</v>
      </c>
      <c r="N177" t="s">
        <v>79</v>
      </c>
      <c r="O177" t="s">
        <v>74</v>
      </c>
      <c r="P177" t="s">
        <v>74</v>
      </c>
      <c r="Q177" t="s">
        <v>74</v>
      </c>
      <c r="R177" t="s">
        <v>74</v>
      </c>
      <c r="S177" t="s">
        <v>74</v>
      </c>
      <c r="T177" t="s">
        <v>74</v>
      </c>
      <c r="U177" t="s">
        <v>3503</v>
      </c>
      <c r="V177" t="s">
        <v>3504</v>
      </c>
      <c r="W177" t="s">
        <v>3505</v>
      </c>
      <c r="X177" t="s">
        <v>3506</v>
      </c>
      <c r="Y177" t="s">
        <v>3507</v>
      </c>
      <c r="Z177" t="s">
        <v>3508</v>
      </c>
      <c r="AA177" t="s">
        <v>3509</v>
      </c>
      <c r="AB177" t="s">
        <v>3510</v>
      </c>
      <c r="AC177" t="s">
        <v>3511</v>
      </c>
      <c r="AD177" t="s">
        <v>3512</v>
      </c>
      <c r="AE177" t="s">
        <v>3513</v>
      </c>
      <c r="AF177" t="s">
        <v>74</v>
      </c>
      <c r="AG177">
        <v>99</v>
      </c>
      <c r="AH177">
        <v>50</v>
      </c>
      <c r="AI177">
        <v>53</v>
      </c>
      <c r="AJ177">
        <v>0</v>
      </c>
      <c r="AK177">
        <v>32</v>
      </c>
      <c r="AL177" t="s">
        <v>91</v>
      </c>
      <c r="AM177" t="s">
        <v>92</v>
      </c>
      <c r="AN177" t="s">
        <v>93</v>
      </c>
      <c r="AO177" t="s">
        <v>3347</v>
      </c>
      <c r="AP177" t="s">
        <v>3514</v>
      </c>
      <c r="AQ177" t="s">
        <v>74</v>
      </c>
      <c r="AR177" t="s">
        <v>3336</v>
      </c>
      <c r="AS177" t="s">
        <v>3348</v>
      </c>
      <c r="AT177" t="s">
        <v>3494</v>
      </c>
      <c r="AU177">
        <v>2010</v>
      </c>
      <c r="AV177">
        <v>25</v>
      </c>
      <c r="AW177" t="s">
        <v>74</v>
      </c>
      <c r="AX177" t="s">
        <v>74</v>
      </c>
      <c r="AY177" t="s">
        <v>74</v>
      </c>
      <c r="AZ177" t="s">
        <v>74</v>
      </c>
      <c r="BA177" t="s">
        <v>74</v>
      </c>
      <c r="BB177" t="s">
        <v>74</v>
      </c>
      <c r="BC177" t="s">
        <v>74</v>
      </c>
      <c r="BD177" t="s">
        <v>3515</v>
      </c>
      <c r="BE177" t="s">
        <v>3516</v>
      </c>
      <c r="BF177" t="str">
        <f>HYPERLINK("http://dx.doi.org/10.1029/2009PA001762","http://dx.doi.org/10.1029/2009PA001762")</f>
        <v>http://dx.doi.org/10.1029/2009PA001762</v>
      </c>
      <c r="BG177" t="s">
        <v>74</v>
      </c>
      <c r="BH177" t="s">
        <v>74</v>
      </c>
      <c r="BI177">
        <v>15</v>
      </c>
      <c r="BJ177" t="s">
        <v>3352</v>
      </c>
      <c r="BK177" t="s">
        <v>102</v>
      </c>
      <c r="BL177" t="s">
        <v>3353</v>
      </c>
      <c r="BM177" t="s">
        <v>3517</v>
      </c>
      <c r="BN177" t="s">
        <v>74</v>
      </c>
      <c r="BO177" t="s">
        <v>104</v>
      </c>
      <c r="BP177" t="s">
        <v>74</v>
      </c>
      <c r="BQ177" t="s">
        <v>74</v>
      </c>
      <c r="BR177" t="s">
        <v>105</v>
      </c>
      <c r="BS177" t="s">
        <v>3518</v>
      </c>
      <c r="BT177" t="str">
        <f>HYPERLINK("https%3A%2F%2Fwww.webofscience.com%2Fwos%2Fwoscc%2Ffull-record%2FWOS:000275499400001","View Full Record in Web of Science")</f>
        <v>View Full Record in Web of Science</v>
      </c>
    </row>
    <row r="178" spans="1:72" x14ac:dyDescent="0.15">
      <c r="A178" t="s">
        <v>72</v>
      </c>
      <c r="B178" t="s">
        <v>3519</v>
      </c>
      <c r="C178" t="s">
        <v>74</v>
      </c>
      <c r="D178" t="s">
        <v>74</v>
      </c>
      <c r="E178" t="s">
        <v>74</v>
      </c>
      <c r="F178" t="s">
        <v>3520</v>
      </c>
      <c r="G178" t="s">
        <v>74</v>
      </c>
      <c r="H178" t="s">
        <v>74</v>
      </c>
      <c r="I178" t="s">
        <v>3521</v>
      </c>
      <c r="J178" t="s">
        <v>265</v>
      </c>
      <c r="K178" t="s">
        <v>74</v>
      </c>
      <c r="L178" t="s">
        <v>74</v>
      </c>
      <c r="M178" t="s">
        <v>78</v>
      </c>
      <c r="N178" t="s">
        <v>79</v>
      </c>
      <c r="O178" t="s">
        <v>74</v>
      </c>
      <c r="P178" t="s">
        <v>74</v>
      </c>
      <c r="Q178" t="s">
        <v>74</v>
      </c>
      <c r="R178" t="s">
        <v>74</v>
      </c>
      <c r="S178" t="s">
        <v>74</v>
      </c>
      <c r="T178" t="s">
        <v>3522</v>
      </c>
      <c r="U178" t="s">
        <v>3523</v>
      </c>
      <c r="V178" t="s">
        <v>3524</v>
      </c>
      <c r="W178" t="s">
        <v>3525</v>
      </c>
      <c r="X178" t="s">
        <v>3526</v>
      </c>
      <c r="Y178" t="s">
        <v>3527</v>
      </c>
      <c r="Z178" t="s">
        <v>3528</v>
      </c>
      <c r="AA178" t="s">
        <v>3529</v>
      </c>
      <c r="AB178" t="s">
        <v>3530</v>
      </c>
      <c r="AC178" t="s">
        <v>74</v>
      </c>
      <c r="AD178" t="s">
        <v>74</v>
      </c>
      <c r="AE178" t="s">
        <v>74</v>
      </c>
      <c r="AF178" t="s">
        <v>74</v>
      </c>
      <c r="AG178">
        <v>82</v>
      </c>
      <c r="AH178">
        <v>14</v>
      </c>
      <c r="AI178">
        <v>18</v>
      </c>
      <c r="AJ178">
        <v>0</v>
      </c>
      <c r="AK178">
        <v>7</v>
      </c>
      <c r="AL178" t="s">
        <v>275</v>
      </c>
      <c r="AM178" t="s">
        <v>276</v>
      </c>
      <c r="AN178" t="s">
        <v>277</v>
      </c>
      <c r="AO178" t="s">
        <v>278</v>
      </c>
      <c r="AP178" t="s">
        <v>279</v>
      </c>
      <c r="AQ178" t="s">
        <v>74</v>
      </c>
      <c r="AR178" t="s">
        <v>265</v>
      </c>
      <c r="AS178" t="s">
        <v>280</v>
      </c>
      <c r="AT178" t="s">
        <v>3531</v>
      </c>
      <c r="AU178">
        <v>2010</v>
      </c>
      <c r="AV178" t="s">
        <v>74</v>
      </c>
      <c r="AW178">
        <v>2395</v>
      </c>
      <c r="AX178" t="s">
        <v>74</v>
      </c>
      <c r="AY178" t="s">
        <v>74</v>
      </c>
      <c r="AZ178" t="s">
        <v>74</v>
      </c>
      <c r="BA178" t="s">
        <v>74</v>
      </c>
      <c r="BB178">
        <v>45</v>
      </c>
      <c r="BC178">
        <v>56</v>
      </c>
      <c r="BD178" t="s">
        <v>74</v>
      </c>
      <c r="BE178" t="s">
        <v>3532</v>
      </c>
      <c r="BF178" t="str">
        <f>HYPERLINK("http://dx.doi.org/10.11646/zootaxa.2395.1.4","http://dx.doi.org/10.11646/zootaxa.2395.1.4")</f>
        <v>http://dx.doi.org/10.11646/zootaxa.2395.1.4</v>
      </c>
      <c r="BG178" t="s">
        <v>74</v>
      </c>
      <c r="BH178" t="s">
        <v>74</v>
      </c>
      <c r="BI178">
        <v>12</v>
      </c>
      <c r="BJ178" t="s">
        <v>281</v>
      </c>
      <c r="BK178" t="s">
        <v>102</v>
      </c>
      <c r="BL178" t="s">
        <v>281</v>
      </c>
      <c r="BM178" t="s">
        <v>3533</v>
      </c>
      <c r="BN178" t="s">
        <v>74</v>
      </c>
      <c r="BO178" t="s">
        <v>74</v>
      </c>
      <c r="BP178" t="s">
        <v>74</v>
      </c>
      <c r="BQ178" t="s">
        <v>74</v>
      </c>
      <c r="BR178" t="s">
        <v>105</v>
      </c>
      <c r="BS178" t="s">
        <v>3534</v>
      </c>
      <c r="BT178" t="str">
        <f>HYPERLINK("https%3A%2F%2Fwww.webofscience.com%2Fwos%2Fwoscc%2Ffull-record%2FWOS:000275370100004","View Full Record in Web of Science")</f>
        <v>View Full Record in Web of Science</v>
      </c>
    </row>
    <row r="179" spans="1:72" x14ac:dyDescent="0.15">
      <c r="A179" t="s">
        <v>72</v>
      </c>
      <c r="B179" t="s">
        <v>3535</v>
      </c>
      <c r="C179" t="s">
        <v>74</v>
      </c>
      <c r="D179" t="s">
        <v>74</v>
      </c>
      <c r="E179" t="s">
        <v>74</v>
      </c>
      <c r="F179" t="s">
        <v>3536</v>
      </c>
      <c r="G179" t="s">
        <v>74</v>
      </c>
      <c r="H179" t="s">
        <v>74</v>
      </c>
      <c r="I179" t="s">
        <v>3537</v>
      </c>
      <c r="J179" t="s">
        <v>3177</v>
      </c>
      <c r="K179" t="s">
        <v>74</v>
      </c>
      <c r="L179" t="s">
        <v>74</v>
      </c>
      <c r="M179" t="s">
        <v>78</v>
      </c>
      <c r="N179" t="s">
        <v>79</v>
      </c>
      <c r="O179" t="s">
        <v>74</v>
      </c>
      <c r="P179" t="s">
        <v>74</v>
      </c>
      <c r="Q179" t="s">
        <v>74</v>
      </c>
      <c r="R179" t="s">
        <v>74</v>
      </c>
      <c r="S179" t="s">
        <v>74</v>
      </c>
      <c r="T179" t="s">
        <v>3538</v>
      </c>
      <c r="U179" t="s">
        <v>3539</v>
      </c>
      <c r="V179" t="s">
        <v>3540</v>
      </c>
      <c r="W179" t="s">
        <v>3541</v>
      </c>
      <c r="X179" t="s">
        <v>3542</v>
      </c>
      <c r="Y179" t="s">
        <v>3543</v>
      </c>
      <c r="Z179" t="s">
        <v>3544</v>
      </c>
      <c r="AA179" t="s">
        <v>3545</v>
      </c>
      <c r="AB179" t="s">
        <v>3546</v>
      </c>
      <c r="AC179" t="s">
        <v>3547</v>
      </c>
      <c r="AD179" t="s">
        <v>3548</v>
      </c>
      <c r="AE179" t="s">
        <v>3549</v>
      </c>
      <c r="AF179" t="s">
        <v>74</v>
      </c>
      <c r="AG179">
        <v>63</v>
      </c>
      <c r="AH179">
        <v>30</v>
      </c>
      <c r="AI179">
        <v>36</v>
      </c>
      <c r="AJ179">
        <v>0</v>
      </c>
      <c r="AK179">
        <v>14</v>
      </c>
      <c r="AL179" t="s">
        <v>91</v>
      </c>
      <c r="AM179" t="s">
        <v>92</v>
      </c>
      <c r="AN179" t="s">
        <v>93</v>
      </c>
      <c r="AO179" t="s">
        <v>74</v>
      </c>
      <c r="AP179" t="s">
        <v>3190</v>
      </c>
      <c r="AQ179" t="s">
        <v>74</v>
      </c>
      <c r="AR179" t="s">
        <v>3191</v>
      </c>
      <c r="AS179" t="s">
        <v>3192</v>
      </c>
      <c r="AT179" t="s">
        <v>3550</v>
      </c>
      <c r="AU179">
        <v>2010</v>
      </c>
      <c r="AV179">
        <v>11</v>
      </c>
      <c r="AW179" t="s">
        <v>74</v>
      </c>
      <c r="AX179" t="s">
        <v>74</v>
      </c>
      <c r="AY179" t="s">
        <v>74</v>
      </c>
      <c r="AZ179" t="s">
        <v>74</v>
      </c>
      <c r="BA179" t="s">
        <v>74</v>
      </c>
      <c r="BB179" t="s">
        <v>74</v>
      </c>
      <c r="BC179" t="s">
        <v>74</v>
      </c>
      <c r="BD179" t="s">
        <v>3551</v>
      </c>
      <c r="BE179" t="s">
        <v>3552</v>
      </c>
      <c r="BF179" t="str">
        <f>HYPERLINK("http://dx.doi.org/10.1029/2009GC002765","http://dx.doi.org/10.1029/2009GC002765")</f>
        <v>http://dx.doi.org/10.1029/2009GC002765</v>
      </c>
      <c r="BG179" t="s">
        <v>74</v>
      </c>
      <c r="BH179" t="s">
        <v>74</v>
      </c>
      <c r="BI179">
        <v>13</v>
      </c>
      <c r="BJ179" t="s">
        <v>507</v>
      </c>
      <c r="BK179" t="s">
        <v>102</v>
      </c>
      <c r="BL179" t="s">
        <v>507</v>
      </c>
      <c r="BM179" t="s">
        <v>3553</v>
      </c>
      <c r="BN179" t="s">
        <v>74</v>
      </c>
      <c r="BO179" t="s">
        <v>455</v>
      </c>
      <c r="BP179" t="s">
        <v>74</v>
      </c>
      <c r="BQ179" t="s">
        <v>74</v>
      </c>
      <c r="BR179" t="s">
        <v>105</v>
      </c>
      <c r="BS179" t="s">
        <v>3554</v>
      </c>
      <c r="BT179" t="str">
        <f>HYPERLINK("https%3A%2F%2Fwww.webofscience.com%2Fwos%2Fwoscc%2Ffull-record%2FWOS:000275302200001","View Full Record in Web of Science")</f>
        <v>View Full Record in Web of Science</v>
      </c>
    </row>
    <row r="180" spans="1:72" x14ac:dyDescent="0.15">
      <c r="A180" t="s">
        <v>72</v>
      </c>
      <c r="B180" t="s">
        <v>3555</v>
      </c>
      <c r="C180" t="s">
        <v>74</v>
      </c>
      <c r="D180" t="s">
        <v>74</v>
      </c>
      <c r="E180" t="s">
        <v>74</v>
      </c>
      <c r="F180" t="s">
        <v>3556</v>
      </c>
      <c r="G180" t="s">
        <v>74</v>
      </c>
      <c r="H180" t="s">
        <v>74</v>
      </c>
      <c r="I180" t="s">
        <v>3557</v>
      </c>
      <c r="J180" t="s">
        <v>460</v>
      </c>
      <c r="K180" t="s">
        <v>74</v>
      </c>
      <c r="L180" t="s">
        <v>74</v>
      </c>
      <c r="M180" t="s">
        <v>78</v>
      </c>
      <c r="N180" t="s">
        <v>79</v>
      </c>
      <c r="O180" t="s">
        <v>74</v>
      </c>
      <c r="P180" t="s">
        <v>74</v>
      </c>
      <c r="Q180" t="s">
        <v>74</v>
      </c>
      <c r="R180" t="s">
        <v>74</v>
      </c>
      <c r="S180" t="s">
        <v>74</v>
      </c>
      <c r="T180" t="s">
        <v>74</v>
      </c>
      <c r="U180" t="s">
        <v>3558</v>
      </c>
      <c r="V180" t="s">
        <v>3559</v>
      </c>
      <c r="W180" t="s">
        <v>3560</v>
      </c>
      <c r="X180" t="s">
        <v>3561</v>
      </c>
      <c r="Y180" t="s">
        <v>3562</v>
      </c>
      <c r="Z180" t="s">
        <v>3563</v>
      </c>
      <c r="AA180" t="s">
        <v>3564</v>
      </c>
      <c r="AB180" t="s">
        <v>3565</v>
      </c>
      <c r="AC180" t="s">
        <v>3566</v>
      </c>
      <c r="AD180" t="s">
        <v>3567</v>
      </c>
      <c r="AE180" t="s">
        <v>3568</v>
      </c>
      <c r="AF180" t="s">
        <v>74</v>
      </c>
      <c r="AG180">
        <v>60</v>
      </c>
      <c r="AH180">
        <v>25</v>
      </c>
      <c r="AI180">
        <v>26</v>
      </c>
      <c r="AJ180">
        <v>0</v>
      </c>
      <c r="AK180">
        <v>3</v>
      </c>
      <c r="AL180" t="s">
        <v>91</v>
      </c>
      <c r="AM180" t="s">
        <v>92</v>
      </c>
      <c r="AN180" t="s">
        <v>93</v>
      </c>
      <c r="AO180" t="s">
        <v>471</v>
      </c>
      <c r="AP180" t="s">
        <v>472</v>
      </c>
      <c r="AQ180" t="s">
        <v>74</v>
      </c>
      <c r="AR180" t="s">
        <v>473</v>
      </c>
      <c r="AS180" t="s">
        <v>474</v>
      </c>
      <c r="AT180" t="s">
        <v>3550</v>
      </c>
      <c r="AU180">
        <v>2010</v>
      </c>
      <c r="AV180">
        <v>115</v>
      </c>
      <c r="AW180" t="s">
        <v>74</v>
      </c>
      <c r="AX180" t="s">
        <v>74</v>
      </c>
      <c r="AY180" t="s">
        <v>74</v>
      </c>
      <c r="AZ180" t="s">
        <v>74</v>
      </c>
      <c r="BA180" t="s">
        <v>74</v>
      </c>
      <c r="BB180" t="s">
        <v>74</v>
      </c>
      <c r="BC180" t="s">
        <v>74</v>
      </c>
      <c r="BD180" t="s">
        <v>3569</v>
      </c>
      <c r="BE180" t="s">
        <v>3570</v>
      </c>
      <c r="BF180" t="str">
        <f>HYPERLINK("http://dx.doi.org/10.1029/2009JA014191","http://dx.doi.org/10.1029/2009JA014191")</f>
        <v>http://dx.doi.org/10.1029/2009JA014191</v>
      </c>
      <c r="BG180" t="s">
        <v>74</v>
      </c>
      <c r="BH180" t="s">
        <v>74</v>
      </c>
      <c r="BI180">
        <v>16</v>
      </c>
      <c r="BJ180" t="s">
        <v>478</v>
      </c>
      <c r="BK180" t="s">
        <v>102</v>
      </c>
      <c r="BL180" t="s">
        <v>478</v>
      </c>
      <c r="BM180" t="s">
        <v>3571</v>
      </c>
      <c r="BN180" t="s">
        <v>74</v>
      </c>
      <c r="BO180" t="s">
        <v>74</v>
      </c>
      <c r="BP180" t="s">
        <v>74</v>
      </c>
      <c r="BQ180" t="s">
        <v>74</v>
      </c>
      <c r="BR180" t="s">
        <v>105</v>
      </c>
      <c r="BS180" t="s">
        <v>3572</v>
      </c>
      <c r="BT180" t="str">
        <f>HYPERLINK("https%3A%2F%2Fwww.webofscience.com%2Fwos%2Fwoscc%2Ffull-record%2FWOS:000275321200001","View Full Record in Web of Science")</f>
        <v>View Full Record in Web of Science</v>
      </c>
    </row>
    <row r="181" spans="1:72" x14ac:dyDescent="0.15">
      <c r="A181" t="s">
        <v>72</v>
      </c>
      <c r="B181" t="s">
        <v>3573</v>
      </c>
      <c r="C181" t="s">
        <v>74</v>
      </c>
      <c r="D181" t="s">
        <v>74</v>
      </c>
      <c r="E181" t="s">
        <v>74</v>
      </c>
      <c r="F181" t="s">
        <v>3574</v>
      </c>
      <c r="G181" t="s">
        <v>74</v>
      </c>
      <c r="H181" t="s">
        <v>74</v>
      </c>
      <c r="I181" t="s">
        <v>3575</v>
      </c>
      <c r="J181" t="s">
        <v>239</v>
      </c>
      <c r="K181" t="s">
        <v>74</v>
      </c>
      <c r="L181" t="s">
        <v>74</v>
      </c>
      <c r="M181" t="s">
        <v>78</v>
      </c>
      <c r="N181" t="s">
        <v>79</v>
      </c>
      <c r="O181" t="s">
        <v>74</v>
      </c>
      <c r="P181" t="s">
        <v>74</v>
      </c>
      <c r="Q181" t="s">
        <v>74</v>
      </c>
      <c r="R181" t="s">
        <v>74</v>
      </c>
      <c r="S181" t="s">
        <v>74</v>
      </c>
      <c r="T181" t="s">
        <v>74</v>
      </c>
      <c r="U181" t="s">
        <v>3576</v>
      </c>
      <c r="V181" t="s">
        <v>3577</v>
      </c>
      <c r="W181" t="s">
        <v>3578</v>
      </c>
      <c r="X181" t="s">
        <v>3579</v>
      </c>
      <c r="Y181" t="s">
        <v>3580</v>
      </c>
      <c r="Z181" t="s">
        <v>3581</v>
      </c>
      <c r="AA181" t="s">
        <v>3582</v>
      </c>
      <c r="AB181" t="s">
        <v>3583</v>
      </c>
      <c r="AC181" t="s">
        <v>3584</v>
      </c>
      <c r="AD181" t="s">
        <v>3584</v>
      </c>
      <c r="AE181" t="s">
        <v>3585</v>
      </c>
      <c r="AF181" t="s">
        <v>74</v>
      </c>
      <c r="AG181">
        <v>43</v>
      </c>
      <c r="AH181">
        <v>64</v>
      </c>
      <c r="AI181">
        <v>70</v>
      </c>
      <c r="AJ181">
        <v>0</v>
      </c>
      <c r="AK181">
        <v>27</v>
      </c>
      <c r="AL181" t="s">
        <v>91</v>
      </c>
      <c r="AM181" t="s">
        <v>92</v>
      </c>
      <c r="AN181" t="s">
        <v>93</v>
      </c>
      <c r="AO181" t="s">
        <v>251</v>
      </c>
      <c r="AP181" t="s">
        <v>252</v>
      </c>
      <c r="AQ181" t="s">
        <v>74</v>
      </c>
      <c r="AR181" t="s">
        <v>253</v>
      </c>
      <c r="AS181" t="s">
        <v>254</v>
      </c>
      <c r="AT181" t="s">
        <v>3586</v>
      </c>
      <c r="AU181">
        <v>2010</v>
      </c>
      <c r="AV181">
        <v>115</v>
      </c>
      <c r="AW181" t="s">
        <v>74</v>
      </c>
      <c r="AX181" t="s">
        <v>74</v>
      </c>
      <c r="AY181" t="s">
        <v>74</v>
      </c>
      <c r="AZ181" t="s">
        <v>74</v>
      </c>
      <c r="BA181" t="s">
        <v>74</v>
      </c>
      <c r="BB181" t="s">
        <v>74</v>
      </c>
      <c r="BC181" t="s">
        <v>74</v>
      </c>
      <c r="BD181" t="s">
        <v>3587</v>
      </c>
      <c r="BE181" t="s">
        <v>3588</v>
      </c>
      <c r="BF181" t="str">
        <f>HYPERLINK("http://dx.doi.org/10.1029/2009JD012741","http://dx.doi.org/10.1029/2009JD012741")</f>
        <v>http://dx.doi.org/10.1029/2009JD012741</v>
      </c>
      <c r="BG181" t="s">
        <v>74</v>
      </c>
      <c r="BH181" t="s">
        <v>74</v>
      </c>
      <c r="BI181">
        <v>12</v>
      </c>
      <c r="BJ181" t="s">
        <v>258</v>
      </c>
      <c r="BK181" t="s">
        <v>102</v>
      </c>
      <c r="BL181" t="s">
        <v>258</v>
      </c>
      <c r="BM181" t="s">
        <v>3589</v>
      </c>
      <c r="BN181" t="s">
        <v>74</v>
      </c>
      <c r="BO181" t="s">
        <v>326</v>
      </c>
      <c r="BP181" t="s">
        <v>74</v>
      </c>
      <c r="BQ181" t="s">
        <v>74</v>
      </c>
      <c r="BR181" t="s">
        <v>105</v>
      </c>
      <c r="BS181" t="s">
        <v>3590</v>
      </c>
      <c r="BT181" t="str">
        <f>HYPERLINK("https%3A%2F%2Fwww.webofscience.com%2Fwos%2Fwoscc%2Ffull-record%2FWOS:000275304900002","View Full Record in Web of Science")</f>
        <v>View Full Record in Web of Science</v>
      </c>
    </row>
    <row r="182" spans="1:72" x14ac:dyDescent="0.15">
      <c r="A182" t="s">
        <v>72</v>
      </c>
      <c r="B182" t="s">
        <v>3591</v>
      </c>
      <c r="C182" t="s">
        <v>74</v>
      </c>
      <c r="D182" t="s">
        <v>74</v>
      </c>
      <c r="E182" t="s">
        <v>74</v>
      </c>
      <c r="F182" t="s">
        <v>3592</v>
      </c>
      <c r="G182" t="s">
        <v>74</v>
      </c>
      <c r="H182" t="s">
        <v>74</v>
      </c>
      <c r="I182" t="s">
        <v>3593</v>
      </c>
      <c r="J182" t="s">
        <v>370</v>
      </c>
      <c r="K182" t="s">
        <v>74</v>
      </c>
      <c r="L182" t="s">
        <v>74</v>
      </c>
      <c r="M182" t="s">
        <v>78</v>
      </c>
      <c r="N182" t="s">
        <v>79</v>
      </c>
      <c r="O182" t="s">
        <v>74</v>
      </c>
      <c r="P182" t="s">
        <v>74</v>
      </c>
      <c r="Q182" t="s">
        <v>74</v>
      </c>
      <c r="R182" t="s">
        <v>74</v>
      </c>
      <c r="S182" t="s">
        <v>74</v>
      </c>
      <c r="T182" t="s">
        <v>74</v>
      </c>
      <c r="U182" t="s">
        <v>3594</v>
      </c>
      <c r="V182" t="s">
        <v>3595</v>
      </c>
      <c r="W182" t="s">
        <v>3596</v>
      </c>
      <c r="X182" t="s">
        <v>3597</v>
      </c>
      <c r="Y182" t="s">
        <v>3598</v>
      </c>
      <c r="Z182" t="s">
        <v>3599</v>
      </c>
      <c r="AA182" t="s">
        <v>3600</v>
      </c>
      <c r="AB182" t="s">
        <v>3601</v>
      </c>
      <c r="AC182" t="s">
        <v>3602</v>
      </c>
      <c r="AD182" t="s">
        <v>3603</v>
      </c>
      <c r="AE182" t="s">
        <v>3604</v>
      </c>
      <c r="AF182" t="s">
        <v>74</v>
      </c>
      <c r="AG182">
        <v>20</v>
      </c>
      <c r="AH182">
        <v>132</v>
      </c>
      <c r="AI182">
        <v>150</v>
      </c>
      <c r="AJ182">
        <v>1</v>
      </c>
      <c r="AK182">
        <v>65</v>
      </c>
      <c r="AL182" t="s">
        <v>381</v>
      </c>
      <c r="AM182" t="s">
        <v>382</v>
      </c>
      <c r="AN182" t="s">
        <v>3605</v>
      </c>
      <c r="AO182" t="s">
        <v>384</v>
      </c>
      <c r="AP182" t="s">
        <v>74</v>
      </c>
      <c r="AQ182" t="s">
        <v>74</v>
      </c>
      <c r="AR182" t="s">
        <v>370</v>
      </c>
      <c r="AS182" t="s">
        <v>385</v>
      </c>
      <c r="AT182" t="s">
        <v>3586</v>
      </c>
      <c r="AU182">
        <v>2010</v>
      </c>
      <c r="AV182">
        <v>5</v>
      </c>
      <c r="AW182">
        <v>3</v>
      </c>
      <c r="AX182" t="s">
        <v>74</v>
      </c>
      <c r="AY182" t="s">
        <v>74</v>
      </c>
      <c r="AZ182" t="s">
        <v>74</v>
      </c>
      <c r="BA182" t="s">
        <v>74</v>
      </c>
      <c r="BB182" t="s">
        <v>74</v>
      </c>
      <c r="BC182" t="s">
        <v>74</v>
      </c>
      <c r="BD182" t="s">
        <v>3606</v>
      </c>
      <c r="BE182" t="s">
        <v>3607</v>
      </c>
      <c r="BF182" t="str">
        <f>HYPERLINK("http://dx.doi.org/10.1371/journal.pone.0009566","http://dx.doi.org/10.1371/journal.pone.0009566")</f>
        <v>http://dx.doi.org/10.1371/journal.pone.0009566</v>
      </c>
      <c r="BG182" t="s">
        <v>74</v>
      </c>
      <c r="BH182" t="s">
        <v>74</v>
      </c>
      <c r="BI182">
        <v>4</v>
      </c>
      <c r="BJ182" t="s">
        <v>323</v>
      </c>
      <c r="BK182" t="s">
        <v>102</v>
      </c>
      <c r="BL182" t="s">
        <v>324</v>
      </c>
      <c r="BM182" t="s">
        <v>3608</v>
      </c>
      <c r="BN182">
        <v>20221266</v>
      </c>
      <c r="BO182" t="s">
        <v>3271</v>
      </c>
      <c r="BP182" t="s">
        <v>74</v>
      </c>
      <c r="BQ182" t="s">
        <v>74</v>
      </c>
      <c r="BR182" t="s">
        <v>105</v>
      </c>
      <c r="BS182" t="s">
        <v>3609</v>
      </c>
      <c r="BT182" t="str">
        <f>HYPERLINK("https%3A%2F%2Fwww.webofscience.com%2Fwos%2Fwoscc%2Ffull-record%2FWOS:000275197200015","View Full Record in Web of Science")</f>
        <v>View Full Record in Web of Science</v>
      </c>
    </row>
    <row r="183" spans="1:72" x14ac:dyDescent="0.15">
      <c r="A183" t="s">
        <v>72</v>
      </c>
      <c r="B183" t="s">
        <v>3610</v>
      </c>
      <c r="C183" t="s">
        <v>74</v>
      </c>
      <c r="D183" t="s">
        <v>74</v>
      </c>
      <c r="E183" t="s">
        <v>74</v>
      </c>
      <c r="F183" t="s">
        <v>3611</v>
      </c>
      <c r="G183" t="s">
        <v>74</v>
      </c>
      <c r="H183" t="s">
        <v>74</v>
      </c>
      <c r="I183" t="s">
        <v>3612</v>
      </c>
      <c r="J183" t="s">
        <v>3613</v>
      </c>
      <c r="K183" t="s">
        <v>74</v>
      </c>
      <c r="L183" t="s">
        <v>74</v>
      </c>
      <c r="M183" t="s">
        <v>78</v>
      </c>
      <c r="N183" t="s">
        <v>79</v>
      </c>
      <c r="O183" t="s">
        <v>74</v>
      </c>
      <c r="P183" t="s">
        <v>74</v>
      </c>
      <c r="Q183" t="s">
        <v>74</v>
      </c>
      <c r="R183" t="s">
        <v>74</v>
      </c>
      <c r="S183" t="s">
        <v>74</v>
      </c>
      <c r="T183" t="s">
        <v>74</v>
      </c>
      <c r="U183" t="s">
        <v>3614</v>
      </c>
      <c r="V183" t="s">
        <v>3615</v>
      </c>
      <c r="W183" t="s">
        <v>3616</v>
      </c>
      <c r="X183" t="s">
        <v>3617</v>
      </c>
      <c r="Y183" t="s">
        <v>3618</v>
      </c>
      <c r="Z183" t="s">
        <v>3619</v>
      </c>
      <c r="AA183" t="s">
        <v>3620</v>
      </c>
      <c r="AB183" t="s">
        <v>3621</v>
      </c>
      <c r="AC183" t="s">
        <v>3622</v>
      </c>
      <c r="AD183" t="s">
        <v>3623</v>
      </c>
      <c r="AE183" t="s">
        <v>3624</v>
      </c>
      <c r="AF183" t="s">
        <v>74</v>
      </c>
      <c r="AG183">
        <v>35</v>
      </c>
      <c r="AH183">
        <v>269</v>
      </c>
      <c r="AI183">
        <v>293</v>
      </c>
      <c r="AJ183">
        <v>2</v>
      </c>
      <c r="AK183">
        <v>88</v>
      </c>
      <c r="AL183" t="s">
        <v>3625</v>
      </c>
      <c r="AM183" t="s">
        <v>92</v>
      </c>
      <c r="AN183" t="s">
        <v>3626</v>
      </c>
      <c r="AO183" t="s">
        <v>3627</v>
      </c>
      <c r="AP183" t="s">
        <v>3628</v>
      </c>
      <c r="AQ183" t="s">
        <v>74</v>
      </c>
      <c r="AR183" t="s">
        <v>3613</v>
      </c>
      <c r="AS183" t="s">
        <v>3629</v>
      </c>
      <c r="AT183" t="s">
        <v>3586</v>
      </c>
      <c r="AU183">
        <v>2010</v>
      </c>
      <c r="AV183">
        <v>327</v>
      </c>
      <c r="AW183">
        <v>5970</v>
      </c>
      <c r="AX183" t="s">
        <v>74</v>
      </c>
      <c r="AY183" t="s">
        <v>74</v>
      </c>
      <c r="AZ183" t="s">
        <v>74</v>
      </c>
      <c r="BA183" t="s">
        <v>74</v>
      </c>
      <c r="BB183">
        <v>1235</v>
      </c>
      <c r="BC183">
        <v>1237</v>
      </c>
      <c r="BD183" t="s">
        <v>74</v>
      </c>
      <c r="BE183" t="s">
        <v>3630</v>
      </c>
      <c r="BF183" t="str">
        <f>HYPERLINK("http://dx.doi.org/10.1126/science.1180557","http://dx.doi.org/10.1126/science.1180557")</f>
        <v>http://dx.doi.org/10.1126/science.1180557</v>
      </c>
      <c r="BG183" t="s">
        <v>74</v>
      </c>
      <c r="BH183" t="s">
        <v>74</v>
      </c>
      <c r="BI183">
        <v>3</v>
      </c>
      <c r="BJ183" t="s">
        <v>323</v>
      </c>
      <c r="BK183" t="s">
        <v>102</v>
      </c>
      <c r="BL183" t="s">
        <v>324</v>
      </c>
      <c r="BM183" t="s">
        <v>3631</v>
      </c>
      <c r="BN183">
        <v>20075212</v>
      </c>
      <c r="BO183" t="s">
        <v>104</v>
      </c>
      <c r="BP183" t="s">
        <v>74</v>
      </c>
      <c r="BQ183" t="s">
        <v>74</v>
      </c>
      <c r="BR183" t="s">
        <v>105</v>
      </c>
      <c r="BS183" t="s">
        <v>3632</v>
      </c>
      <c r="BT183" t="str">
        <f>HYPERLINK("https%3A%2F%2Fwww.webofscience.com%2Fwos%2Fwoscc%2Ffull-record%2FWOS:000275162100033","View Full Record in Web of Science")</f>
        <v>View Full Record in Web of Science</v>
      </c>
    </row>
    <row r="184" spans="1:72" x14ac:dyDescent="0.15">
      <c r="A184" t="s">
        <v>72</v>
      </c>
      <c r="B184" t="s">
        <v>3633</v>
      </c>
      <c r="C184" t="s">
        <v>74</v>
      </c>
      <c r="D184" t="s">
        <v>74</v>
      </c>
      <c r="E184" t="s">
        <v>74</v>
      </c>
      <c r="F184" t="s">
        <v>3634</v>
      </c>
      <c r="G184" t="s">
        <v>74</v>
      </c>
      <c r="H184" t="s">
        <v>74</v>
      </c>
      <c r="I184" t="s">
        <v>3635</v>
      </c>
      <c r="J184" t="s">
        <v>3636</v>
      </c>
      <c r="K184" t="s">
        <v>74</v>
      </c>
      <c r="L184" t="s">
        <v>74</v>
      </c>
      <c r="M184" t="s">
        <v>78</v>
      </c>
      <c r="N184" t="s">
        <v>79</v>
      </c>
      <c r="O184" t="s">
        <v>74</v>
      </c>
      <c r="P184" t="s">
        <v>74</v>
      </c>
      <c r="Q184" t="s">
        <v>74</v>
      </c>
      <c r="R184" t="s">
        <v>74</v>
      </c>
      <c r="S184" t="s">
        <v>74</v>
      </c>
      <c r="T184" t="s">
        <v>3637</v>
      </c>
      <c r="U184" t="s">
        <v>3638</v>
      </c>
      <c r="V184" t="s">
        <v>3639</v>
      </c>
      <c r="W184" t="s">
        <v>3640</v>
      </c>
      <c r="X184" t="s">
        <v>2060</v>
      </c>
      <c r="Y184" t="s">
        <v>3641</v>
      </c>
      <c r="Z184" t="s">
        <v>3642</v>
      </c>
      <c r="AA184" t="s">
        <v>74</v>
      </c>
      <c r="AB184" t="s">
        <v>3643</v>
      </c>
      <c r="AC184" t="s">
        <v>3644</v>
      </c>
      <c r="AD184" t="s">
        <v>3645</v>
      </c>
      <c r="AE184" t="s">
        <v>3646</v>
      </c>
      <c r="AF184" t="s">
        <v>74</v>
      </c>
      <c r="AG184">
        <v>27</v>
      </c>
      <c r="AH184">
        <v>13</v>
      </c>
      <c r="AI184">
        <v>17</v>
      </c>
      <c r="AJ184">
        <v>0</v>
      </c>
      <c r="AK184">
        <v>28</v>
      </c>
      <c r="AL184" t="s">
        <v>173</v>
      </c>
      <c r="AM184" t="s">
        <v>145</v>
      </c>
      <c r="AN184" t="s">
        <v>174</v>
      </c>
      <c r="AO184" t="s">
        <v>3647</v>
      </c>
      <c r="AP184" t="s">
        <v>3648</v>
      </c>
      <c r="AQ184" t="s">
        <v>74</v>
      </c>
      <c r="AR184" t="s">
        <v>3649</v>
      </c>
      <c r="AS184" t="s">
        <v>3650</v>
      </c>
      <c r="AT184" t="s">
        <v>3651</v>
      </c>
      <c r="AU184">
        <v>2010</v>
      </c>
      <c r="AV184">
        <v>662</v>
      </c>
      <c r="AW184">
        <v>1</v>
      </c>
      <c r="AX184" t="s">
        <v>74</v>
      </c>
      <c r="AY184" t="s">
        <v>74</v>
      </c>
      <c r="AZ184" t="s">
        <v>74</v>
      </c>
      <c r="BA184" t="s">
        <v>74</v>
      </c>
      <c r="BB184">
        <v>44</v>
      </c>
      <c r="BC184">
        <v>50</v>
      </c>
      <c r="BD184" t="s">
        <v>74</v>
      </c>
      <c r="BE184" t="s">
        <v>3652</v>
      </c>
      <c r="BF184" t="str">
        <f>HYPERLINK("http://dx.doi.org/10.1016/j.aca.2009.12.041","http://dx.doi.org/10.1016/j.aca.2009.12.041")</f>
        <v>http://dx.doi.org/10.1016/j.aca.2009.12.041</v>
      </c>
      <c r="BG184" t="s">
        <v>74</v>
      </c>
      <c r="BH184" t="s">
        <v>74</v>
      </c>
      <c r="BI184">
        <v>7</v>
      </c>
      <c r="BJ184" t="s">
        <v>3653</v>
      </c>
      <c r="BK184" t="s">
        <v>102</v>
      </c>
      <c r="BL184" t="s">
        <v>2921</v>
      </c>
      <c r="BM184" t="s">
        <v>3654</v>
      </c>
      <c r="BN184">
        <v>20152264</v>
      </c>
      <c r="BO184" t="s">
        <v>74</v>
      </c>
      <c r="BP184" t="s">
        <v>74</v>
      </c>
      <c r="BQ184" t="s">
        <v>74</v>
      </c>
      <c r="BR184" t="s">
        <v>105</v>
      </c>
      <c r="BS184" t="s">
        <v>3655</v>
      </c>
      <c r="BT184" t="str">
        <f>HYPERLINK("https%3A%2F%2Fwww.webofscience.com%2Fwos%2Fwoscc%2Ffull-record%2FWOS:000275236200007","View Full Record in Web of Science")</f>
        <v>View Full Record in Web of Science</v>
      </c>
    </row>
    <row r="185" spans="1:72" x14ac:dyDescent="0.15">
      <c r="A185" t="s">
        <v>72</v>
      </c>
      <c r="B185" t="s">
        <v>3656</v>
      </c>
      <c r="C185" t="s">
        <v>74</v>
      </c>
      <c r="D185" t="s">
        <v>74</v>
      </c>
      <c r="E185" t="s">
        <v>74</v>
      </c>
      <c r="F185" t="s">
        <v>3657</v>
      </c>
      <c r="G185" t="s">
        <v>74</v>
      </c>
      <c r="H185" t="s">
        <v>74</v>
      </c>
      <c r="I185" t="s">
        <v>3658</v>
      </c>
      <c r="J185" t="s">
        <v>3659</v>
      </c>
      <c r="K185" t="s">
        <v>74</v>
      </c>
      <c r="L185" t="s">
        <v>74</v>
      </c>
      <c r="M185" t="s">
        <v>78</v>
      </c>
      <c r="N185" t="s">
        <v>79</v>
      </c>
      <c r="O185" t="s">
        <v>74</v>
      </c>
      <c r="P185" t="s">
        <v>74</v>
      </c>
      <c r="Q185" t="s">
        <v>74</v>
      </c>
      <c r="R185" t="s">
        <v>74</v>
      </c>
      <c r="S185" t="s">
        <v>74</v>
      </c>
      <c r="T185" t="s">
        <v>74</v>
      </c>
      <c r="U185" t="s">
        <v>3660</v>
      </c>
      <c r="V185" t="s">
        <v>3661</v>
      </c>
      <c r="W185" t="s">
        <v>3662</v>
      </c>
      <c r="X185" t="s">
        <v>3663</v>
      </c>
      <c r="Y185" t="s">
        <v>3664</v>
      </c>
      <c r="Z185" t="s">
        <v>3665</v>
      </c>
      <c r="AA185" t="s">
        <v>3666</v>
      </c>
      <c r="AB185" t="s">
        <v>3667</v>
      </c>
      <c r="AC185" t="s">
        <v>3668</v>
      </c>
      <c r="AD185" t="s">
        <v>3669</v>
      </c>
      <c r="AE185" t="s">
        <v>3670</v>
      </c>
      <c r="AF185" t="s">
        <v>74</v>
      </c>
      <c r="AG185">
        <v>29</v>
      </c>
      <c r="AH185">
        <v>14</v>
      </c>
      <c r="AI185">
        <v>16</v>
      </c>
      <c r="AJ185">
        <v>0</v>
      </c>
      <c r="AK185">
        <v>15</v>
      </c>
      <c r="AL185" t="s">
        <v>91</v>
      </c>
      <c r="AM185" t="s">
        <v>92</v>
      </c>
      <c r="AN185" t="s">
        <v>93</v>
      </c>
      <c r="AO185" t="s">
        <v>3671</v>
      </c>
      <c r="AP185" t="s">
        <v>74</v>
      </c>
      <c r="AQ185" t="s">
        <v>74</v>
      </c>
      <c r="AR185" t="s">
        <v>3672</v>
      </c>
      <c r="AS185" t="s">
        <v>3673</v>
      </c>
      <c r="AT185" t="s">
        <v>3674</v>
      </c>
      <c r="AU185">
        <v>2010</v>
      </c>
      <c r="AV185">
        <v>37</v>
      </c>
      <c r="AW185" t="s">
        <v>74</v>
      </c>
      <c r="AX185" t="s">
        <v>74</v>
      </c>
      <c r="AY185" t="s">
        <v>74</v>
      </c>
      <c r="AZ185" t="s">
        <v>74</v>
      </c>
      <c r="BA185" t="s">
        <v>74</v>
      </c>
      <c r="BB185" t="s">
        <v>74</v>
      </c>
      <c r="BC185" t="s">
        <v>74</v>
      </c>
      <c r="BD185" t="s">
        <v>3675</v>
      </c>
      <c r="BE185" t="s">
        <v>3676</v>
      </c>
      <c r="BF185" t="str">
        <f>HYPERLINK("http://dx.doi.org/10.1029/2009GL042093","http://dx.doi.org/10.1029/2009GL042093")</f>
        <v>http://dx.doi.org/10.1029/2009GL042093</v>
      </c>
      <c r="BG185" t="s">
        <v>74</v>
      </c>
      <c r="BH185" t="s">
        <v>74</v>
      </c>
      <c r="BI185">
        <v>5</v>
      </c>
      <c r="BJ185" t="s">
        <v>913</v>
      </c>
      <c r="BK185" t="s">
        <v>102</v>
      </c>
      <c r="BL185" t="s">
        <v>914</v>
      </c>
      <c r="BM185" t="s">
        <v>3677</v>
      </c>
      <c r="BN185" t="s">
        <v>74</v>
      </c>
      <c r="BO185" t="s">
        <v>104</v>
      </c>
      <c r="BP185" t="s">
        <v>74</v>
      </c>
      <c r="BQ185" t="s">
        <v>74</v>
      </c>
      <c r="BR185" t="s">
        <v>105</v>
      </c>
      <c r="BS185" t="s">
        <v>3678</v>
      </c>
      <c r="BT185" t="str">
        <f>HYPERLINK("https%3A%2F%2Fwww.webofscience.com%2Fwos%2Fwoscc%2Ffull-record%2FWOS:000275302500003","View Full Record in Web of Science")</f>
        <v>View Full Record in Web of Science</v>
      </c>
    </row>
    <row r="186" spans="1:72" x14ac:dyDescent="0.15">
      <c r="A186" t="s">
        <v>72</v>
      </c>
      <c r="B186" t="s">
        <v>3679</v>
      </c>
      <c r="C186" t="s">
        <v>74</v>
      </c>
      <c r="D186" t="s">
        <v>74</v>
      </c>
      <c r="E186" t="s">
        <v>74</v>
      </c>
      <c r="F186" t="s">
        <v>3680</v>
      </c>
      <c r="G186" t="s">
        <v>74</v>
      </c>
      <c r="H186" t="s">
        <v>74</v>
      </c>
      <c r="I186" t="s">
        <v>3681</v>
      </c>
      <c r="J186" t="s">
        <v>77</v>
      </c>
      <c r="K186" t="s">
        <v>74</v>
      </c>
      <c r="L186" t="s">
        <v>74</v>
      </c>
      <c r="M186" t="s">
        <v>78</v>
      </c>
      <c r="N186" t="s">
        <v>79</v>
      </c>
      <c r="O186" t="s">
        <v>74</v>
      </c>
      <c r="P186" t="s">
        <v>74</v>
      </c>
      <c r="Q186" t="s">
        <v>74</v>
      </c>
      <c r="R186" t="s">
        <v>74</v>
      </c>
      <c r="S186" t="s">
        <v>74</v>
      </c>
      <c r="T186" t="s">
        <v>74</v>
      </c>
      <c r="U186" t="s">
        <v>3682</v>
      </c>
      <c r="V186" t="s">
        <v>3683</v>
      </c>
      <c r="W186" t="s">
        <v>3684</v>
      </c>
      <c r="X186" t="s">
        <v>3685</v>
      </c>
      <c r="Y186" t="s">
        <v>3686</v>
      </c>
      <c r="Z186" t="s">
        <v>3687</v>
      </c>
      <c r="AA186" t="s">
        <v>3688</v>
      </c>
      <c r="AB186" t="s">
        <v>3689</v>
      </c>
      <c r="AC186" t="s">
        <v>3690</v>
      </c>
      <c r="AD186" t="s">
        <v>3691</v>
      </c>
      <c r="AE186" t="s">
        <v>3692</v>
      </c>
      <c r="AF186" t="s">
        <v>74</v>
      </c>
      <c r="AG186">
        <v>67</v>
      </c>
      <c r="AH186">
        <v>26</v>
      </c>
      <c r="AI186">
        <v>35</v>
      </c>
      <c r="AJ186">
        <v>0</v>
      </c>
      <c r="AK186">
        <v>19</v>
      </c>
      <c r="AL186" t="s">
        <v>91</v>
      </c>
      <c r="AM186" t="s">
        <v>92</v>
      </c>
      <c r="AN186" t="s">
        <v>93</v>
      </c>
      <c r="AO186" t="s">
        <v>94</v>
      </c>
      <c r="AP186" t="s">
        <v>95</v>
      </c>
      <c r="AQ186" t="s">
        <v>74</v>
      </c>
      <c r="AR186" t="s">
        <v>96</v>
      </c>
      <c r="AS186" t="s">
        <v>97</v>
      </c>
      <c r="AT186" t="s">
        <v>3674</v>
      </c>
      <c r="AU186">
        <v>2010</v>
      </c>
      <c r="AV186">
        <v>115</v>
      </c>
      <c r="AW186" t="s">
        <v>74</v>
      </c>
      <c r="AX186" t="s">
        <v>74</v>
      </c>
      <c r="AY186" t="s">
        <v>74</v>
      </c>
      <c r="AZ186" t="s">
        <v>74</v>
      </c>
      <c r="BA186" t="s">
        <v>74</v>
      </c>
      <c r="BB186" t="s">
        <v>74</v>
      </c>
      <c r="BC186" t="s">
        <v>74</v>
      </c>
      <c r="BD186" t="s">
        <v>3693</v>
      </c>
      <c r="BE186" t="s">
        <v>3694</v>
      </c>
      <c r="BF186" t="str">
        <f>HYPERLINK("http://dx.doi.org/10.1029/2009JC005479","http://dx.doi.org/10.1029/2009JC005479")</f>
        <v>http://dx.doi.org/10.1029/2009JC005479</v>
      </c>
      <c r="BG186" t="s">
        <v>74</v>
      </c>
      <c r="BH186" t="s">
        <v>74</v>
      </c>
      <c r="BI186">
        <v>14</v>
      </c>
      <c r="BJ186" t="s">
        <v>101</v>
      </c>
      <c r="BK186" t="s">
        <v>102</v>
      </c>
      <c r="BL186" t="s">
        <v>101</v>
      </c>
      <c r="BM186" t="s">
        <v>3695</v>
      </c>
      <c r="BN186" t="s">
        <v>74</v>
      </c>
      <c r="BO186" t="s">
        <v>104</v>
      </c>
      <c r="BP186" t="s">
        <v>74</v>
      </c>
      <c r="BQ186" t="s">
        <v>74</v>
      </c>
      <c r="BR186" t="s">
        <v>105</v>
      </c>
      <c r="BS186" t="s">
        <v>3696</v>
      </c>
      <c r="BT186" t="str">
        <f>HYPERLINK("https%3A%2F%2Fwww.webofscience.com%2Fwos%2Fwoscc%2Ffull-record%2FWOS:000275320000004","View Full Record in Web of Science")</f>
        <v>View Full Record in Web of Science</v>
      </c>
    </row>
    <row r="187" spans="1:72" x14ac:dyDescent="0.15">
      <c r="A187" t="s">
        <v>72</v>
      </c>
      <c r="B187" t="s">
        <v>3697</v>
      </c>
      <c r="C187" t="s">
        <v>74</v>
      </c>
      <c r="D187" t="s">
        <v>74</v>
      </c>
      <c r="E187" t="s">
        <v>74</v>
      </c>
      <c r="F187" t="s">
        <v>3698</v>
      </c>
      <c r="G187" t="s">
        <v>74</v>
      </c>
      <c r="H187" t="s">
        <v>74</v>
      </c>
      <c r="I187" t="s">
        <v>3699</v>
      </c>
      <c r="J187" t="s">
        <v>77</v>
      </c>
      <c r="K187" t="s">
        <v>74</v>
      </c>
      <c r="L187" t="s">
        <v>74</v>
      </c>
      <c r="M187" t="s">
        <v>78</v>
      </c>
      <c r="N187" t="s">
        <v>79</v>
      </c>
      <c r="O187" t="s">
        <v>74</v>
      </c>
      <c r="P187" t="s">
        <v>74</v>
      </c>
      <c r="Q187" t="s">
        <v>74</v>
      </c>
      <c r="R187" t="s">
        <v>74</v>
      </c>
      <c r="S187" t="s">
        <v>74</v>
      </c>
      <c r="T187" t="s">
        <v>74</v>
      </c>
      <c r="U187" t="s">
        <v>3700</v>
      </c>
      <c r="V187" t="s">
        <v>3701</v>
      </c>
      <c r="W187" t="s">
        <v>3702</v>
      </c>
      <c r="X187" t="s">
        <v>3703</v>
      </c>
      <c r="Y187" t="s">
        <v>3704</v>
      </c>
      <c r="Z187" t="s">
        <v>3705</v>
      </c>
      <c r="AA187" t="s">
        <v>3706</v>
      </c>
      <c r="AB187" t="s">
        <v>3707</v>
      </c>
      <c r="AC187" t="s">
        <v>3708</v>
      </c>
      <c r="AD187" t="s">
        <v>3708</v>
      </c>
      <c r="AE187" t="s">
        <v>3709</v>
      </c>
      <c r="AF187" t="s">
        <v>74</v>
      </c>
      <c r="AG187">
        <v>74</v>
      </c>
      <c r="AH187">
        <v>6</v>
      </c>
      <c r="AI187">
        <v>9</v>
      </c>
      <c r="AJ187">
        <v>1</v>
      </c>
      <c r="AK187">
        <v>8</v>
      </c>
      <c r="AL187" t="s">
        <v>91</v>
      </c>
      <c r="AM187" t="s">
        <v>92</v>
      </c>
      <c r="AN187" t="s">
        <v>93</v>
      </c>
      <c r="AO187" t="s">
        <v>94</v>
      </c>
      <c r="AP187" t="s">
        <v>95</v>
      </c>
      <c r="AQ187" t="s">
        <v>74</v>
      </c>
      <c r="AR187" t="s">
        <v>96</v>
      </c>
      <c r="AS187" t="s">
        <v>97</v>
      </c>
      <c r="AT187" t="s">
        <v>3674</v>
      </c>
      <c r="AU187">
        <v>2010</v>
      </c>
      <c r="AV187">
        <v>115</v>
      </c>
      <c r="AW187" t="s">
        <v>74</v>
      </c>
      <c r="AX187" t="s">
        <v>74</v>
      </c>
      <c r="AY187" t="s">
        <v>74</v>
      </c>
      <c r="AZ187" t="s">
        <v>74</v>
      </c>
      <c r="BA187" t="s">
        <v>74</v>
      </c>
      <c r="BB187" t="s">
        <v>74</v>
      </c>
      <c r="BC187" t="s">
        <v>74</v>
      </c>
      <c r="BD187" t="s">
        <v>3710</v>
      </c>
      <c r="BE187" t="s">
        <v>3711</v>
      </c>
      <c r="BF187" t="str">
        <f>HYPERLINK("http://dx.doi.org/10.1029/2009JC005300","http://dx.doi.org/10.1029/2009JC005300")</f>
        <v>http://dx.doi.org/10.1029/2009JC005300</v>
      </c>
      <c r="BG187" t="s">
        <v>74</v>
      </c>
      <c r="BH187" t="s">
        <v>74</v>
      </c>
      <c r="BI187">
        <v>22</v>
      </c>
      <c r="BJ187" t="s">
        <v>101</v>
      </c>
      <c r="BK187" t="s">
        <v>102</v>
      </c>
      <c r="BL187" t="s">
        <v>101</v>
      </c>
      <c r="BM187" t="s">
        <v>3695</v>
      </c>
      <c r="BN187" t="s">
        <v>74</v>
      </c>
      <c r="BO187" t="s">
        <v>455</v>
      </c>
      <c r="BP187" t="s">
        <v>74</v>
      </c>
      <c r="BQ187" t="s">
        <v>74</v>
      </c>
      <c r="BR187" t="s">
        <v>105</v>
      </c>
      <c r="BS187" t="s">
        <v>3712</v>
      </c>
      <c r="BT187" t="str">
        <f>HYPERLINK("https%3A%2F%2Fwww.webofscience.com%2Fwos%2Fwoscc%2Ffull-record%2FWOS:000275320000002","View Full Record in Web of Science")</f>
        <v>View Full Record in Web of Science</v>
      </c>
    </row>
    <row r="188" spans="1:72" x14ac:dyDescent="0.15">
      <c r="A188" t="s">
        <v>72</v>
      </c>
      <c r="B188" t="s">
        <v>3713</v>
      </c>
      <c r="C188" t="s">
        <v>74</v>
      </c>
      <c r="D188" t="s">
        <v>74</v>
      </c>
      <c r="E188" t="s">
        <v>74</v>
      </c>
      <c r="F188" t="s">
        <v>3714</v>
      </c>
      <c r="G188" t="s">
        <v>74</v>
      </c>
      <c r="H188" t="s">
        <v>74</v>
      </c>
      <c r="I188" t="s">
        <v>3715</v>
      </c>
      <c r="J188" t="s">
        <v>77</v>
      </c>
      <c r="K188" t="s">
        <v>74</v>
      </c>
      <c r="L188" t="s">
        <v>74</v>
      </c>
      <c r="M188" t="s">
        <v>78</v>
      </c>
      <c r="N188" t="s">
        <v>79</v>
      </c>
      <c r="O188" t="s">
        <v>74</v>
      </c>
      <c r="P188" t="s">
        <v>74</v>
      </c>
      <c r="Q188" t="s">
        <v>74</v>
      </c>
      <c r="R188" t="s">
        <v>74</v>
      </c>
      <c r="S188" t="s">
        <v>74</v>
      </c>
      <c r="T188" t="s">
        <v>74</v>
      </c>
      <c r="U188" t="s">
        <v>3716</v>
      </c>
      <c r="V188" t="s">
        <v>3717</v>
      </c>
      <c r="W188" t="s">
        <v>3718</v>
      </c>
      <c r="X188" t="s">
        <v>3719</v>
      </c>
      <c r="Y188" t="s">
        <v>3704</v>
      </c>
      <c r="Z188" t="s">
        <v>3705</v>
      </c>
      <c r="AA188" t="s">
        <v>3720</v>
      </c>
      <c r="AB188" t="s">
        <v>3721</v>
      </c>
      <c r="AC188" t="s">
        <v>3722</v>
      </c>
      <c r="AD188" t="s">
        <v>3723</v>
      </c>
      <c r="AE188" t="s">
        <v>3724</v>
      </c>
      <c r="AF188" t="s">
        <v>74</v>
      </c>
      <c r="AG188">
        <v>51</v>
      </c>
      <c r="AH188">
        <v>88</v>
      </c>
      <c r="AI188">
        <v>90</v>
      </c>
      <c r="AJ188">
        <v>0</v>
      </c>
      <c r="AK188">
        <v>4</v>
      </c>
      <c r="AL188" t="s">
        <v>91</v>
      </c>
      <c r="AM188" t="s">
        <v>92</v>
      </c>
      <c r="AN188" t="s">
        <v>93</v>
      </c>
      <c r="AO188" t="s">
        <v>94</v>
      </c>
      <c r="AP188" t="s">
        <v>95</v>
      </c>
      <c r="AQ188" t="s">
        <v>74</v>
      </c>
      <c r="AR188" t="s">
        <v>96</v>
      </c>
      <c r="AS188" t="s">
        <v>97</v>
      </c>
      <c r="AT188" t="s">
        <v>3674</v>
      </c>
      <c r="AU188">
        <v>2010</v>
      </c>
      <c r="AV188">
        <v>115</v>
      </c>
      <c r="AW188" t="s">
        <v>74</v>
      </c>
      <c r="AX188" t="s">
        <v>74</v>
      </c>
      <c r="AY188" t="s">
        <v>74</v>
      </c>
      <c r="AZ188" t="s">
        <v>74</v>
      </c>
      <c r="BA188" t="s">
        <v>74</v>
      </c>
      <c r="BB188" t="s">
        <v>74</v>
      </c>
      <c r="BC188" t="s">
        <v>74</v>
      </c>
      <c r="BD188" t="s">
        <v>3725</v>
      </c>
      <c r="BE188" t="s">
        <v>3726</v>
      </c>
      <c r="BF188" t="str">
        <f>HYPERLINK("http://dx.doi.org/10.1029/2009JC005299","http://dx.doi.org/10.1029/2009JC005299")</f>
        <v>http://dx.doi.org/10.1029/2009JC005299</v>
      </c>
      <c r="BG188" t="s">
        <v>74</v>
      </c>
      <c r="BH188" t="s">
        <v>74</v>
      </c>
      <c r="BI188">
        <v>19</v>
      </c>
      <c r="BJ188" t="s">
        <v>101</v>
      </c>
      <c r="BK188" t="s">
        <v>102</v>
      </c>
      <c r="BL188" t="s">
        <v>101</v>
      </c>
      <c r="BM188" t="s">
        <v>3695</v>
      </c>
      <c r="BN188" t="s">
        <v>74</v>
      </c>
      <c r="BO188" t="s">
        <v>326</v>
      </c>
      <c r="BP188" t="s">
        <v>74</v>
      </c>
      <c r="BQ188" t="s">
        <v>74</v>
      </c>
      <c r="BR188" t="s">
        <v>105</v>
      </c>
      <c r="BS188" t="s">
        <v>3727</v>
      </c>
      <c r="BT188" t="str">
        <f>HYPERLINK("https%3A%2F%2Fwww.webofscience.com%2Fwos%2Fwoscc%2Ffull-record%2FWOS:000275320000001","View Full Record in Web of Science")</f>
        <v>View Full Record in Web of Science</v>
      </c>
    </row>
    <row r="189" spans="1:72" x14ac:dyDescent="0.15">
      <c r="A189" t="s">
        <v>72</v>
      </c>
      <c r="B189" t="s">
        <v>3728</v>
      </c>
      <c r="C189" t="s">
        <v>74</v>
      </c>
      <c r="D189" t="s">
        <v>74</v>
      </c>
      <c r="E189" t="s">
        <v>74</v>
      </c>
      <c r="F189" t="s">
        <v>3729</v>
      </c>
      <c r="G189" t="s">
        <v>74</v>
      </c>
      <c r="H189" t="s">
        <v>74</v>
      </c>
      <c r="I189" t="s">
        <v>3730</v>
      </c>
      <c r="J189" t="s">
        <v>3731</v>
      </c>
      <c r="K189" t="s">
        <v>74</v>
      </c>
      <c r="L189" t="s">
        <v>74</v>
      </c>
      <c r="M189" t="s">
        <v>78</v>
      </c>
      <c r="N189" t="s">
        <v>79</v>
      </c>
      <c r="O189" t="s">
        <v>74</v>
      </c>
      <c r="P189" t="s">
        <v>74</v>
      </c>
      <c r="Q189" t="s">
        <v>74</v>
      </c>
      <c r="R189" t="s">
        <v>74</v>
      </c>
      <c r="S189" t="s">
        <v>74</v>
      </c>
      <c r="T189" t="s">
        <v>3732</v>
      </c>
      <c r="U189" t="s">
        <v>74</v>
      </c>
      <c r="V189" t="s">
        <v>3733</v>
      </c>
      <c r="W189" t="s">
        <v>74</v>
      </c>
      <c r="X189" t="s">
        <v>74</v>
      </c>
      <c r="Y189" t="s">
        <v>74</v>
      </c>
      <c r="Z189" t="s">
        <v>3734</v>
      </c>
      <c r="AA189" t="s">
        <v>74</v>
      </c>
      <c r="AB189" t="s">
        <v>74</v>
      </c>
      <c r="AC189" t="s">
        <v>74</v>
      </c>
      <c r="AD189" t="s">
        <v>74</v>
      </c>
      <c r="AE189" t="s">
        <v>74</v>
      </c>
      <c r="AF189" t="s">
        <v>74</v>
      </c>
      <c r="AG189">
        <v>3</v>
      </c>
      <c r="AH189">
        <v>2</v>
      </c>
      <c r="AI189">
        <v>2</v>
      </c>
      <c r="AJ189">
        <v>0</v>
      </c>
      <c r="AK189">
        <v>0</v>
      </c>
      <c r="AL189" t="s">
        <v>1063</v>
      </c>
      <c r="AM189" t="s">
        <v>1064</v>
      </c>
      <c r="AN189" t="s">
        <v>1065</v>
      </c>
      <c r="AO189" t="s">
        <v>3735</v>
      </c>
      <c r="AP189" t="s">
        <v>74</v>
      </c>
      <c r="AQ189" t="s">
        <v>74</v>
      </c>
      <c r="AR189" t="s">
        <v>3736</v>
      </c>
      <c r="AS189" t="s">
        <v>3737</v>
      </c>
      <c r="AT189" t="s">
        <v>3738</v>
      </c>
      <c r="AU189">
        <v>2010</v>
      </c>
      <c r="AV189">
        <v>66</v>
      </c>
      <c r="AW189" t="s">
        <v>1691</v>
      </c>
      <c r="AX189" t="s">
        <v>74</v>
      </c>
      <c r="AY189" t="s">
        <v>74</v>
      </c>
      <c r="AZ189" t="s">
        <v>74</v>
      </c>
      <c r="BA189" t="s">
        <v>74</v>
      </c>
      <c r="BB189">
        <v>688</v>
      </c>
      <c r="BC189">
        <v>692</v>
      </c>
      <c r="BD189" t="s">
        <v>74</v>
      </c>
      <c r="BE189" t="s">
        <v>3739</v>
      </c>
      <c r="BF189" t="str">
        <f>HYPERLINK("http://dx.doi.org/10.1016/j.actaastro.2009.08.003","http://dx.doi.org/10.1016/j.actaastro.2009.08.003")</f>
        <v>http://dx.doi.org/10.1016/j.actaastro.2009.08.003</v>
      </c>
      <c r="BG189" t="s">
        <v>74</v>
      </c>
      <c r="BH189" t="s">
        <v>74</v>
      </c>
      <c r="BI189">
        <v>5</v>
      </c>
      <c r="BJ189" t="s">
        <v>3740</v>
      </c>
      <c r="BK189" t="s">
        <v>102</v>
      </c>
      <c r="BL189" t="s">
        <v>3741</v>
      </c>
      <c r="BM189" t="s">
        <v>3742</v>
      </c>
      <c r="BN189" t="s">
        <v>74</v>
      </c>
      <c r="BO189" t="s">
        <v>74</v>
      </c>
      <c r="BP189" t="s">
        <v>74</v>
      </c>
      <c r="BQ189" t="s">
        <v>74</v>
      </c>
      <c r="BR189" t="s">
        <v>105</v>
      </c>
      <c r="BS189" t="s">
        <v>3743</v>
      </c>
      <c r="BT189" t="str">
        <f>HYPERLINK("https%3A%2F%2Fwww.webofscience.com%2Fwos%2Fwoscc%2Ffull-record%2FWOS:000273916300008","View Full Record in Web of Science")</f>
        <v>View Full Record in Web of Science</v>
      </c>
    </row>
    <row r="190" spans="1:72" x14ac:dyDescent="0.15">
      <c r="A190" t="s">
        <v>72</v>
      </c>
      <c r="B190" t="s">
        <v>3744</v>
      </c>
      <c r="C190" t="s">
        <v>74</v>
      </c>
      <c r="D190" t="s">
        <v>74</v>
      </c>
      <c r="E190" t="s">
        <v>74</v>
      </c>
      <c r="F190" t="s">
        <v>3745</v>
      </c>
      <c r="G190" t="s">
        <v>74</v>
      </c>
      <c r="H190" t="s">
        <v>74</v>
      </c>
      <c r="I190" t="s">
        <v>3746</v>
      </c>
      <c r="J190" t="s">
        <v>3747</v>
      </c>
      <c r="K190" t="s">
        <v>74</v>
      </c>
      <c r="L190" t="s">
        <v>74</v>
      </c>
      <c r="M190" t="s">
        <v>78</v>
      </c>
      <c r="N190" t="s">
        <v>79</v>
      </c>
      <c r="O190" t="s">
        <v>74</v>
      </c>
      <c r="P190" t="s">
        <v>74</v>
      </c>
      <c r="Q190" t="s">
        <v>74</v>
      </c>
      <c r="R190" t="s">
        <v>74</v>
      </c>
      <c r="S190" t="s">
        <v>74</v>
      </c>
      <c r="T190" t="s">
        <v>3748</v>
      </c>
      <c r="U190" t="s">
        <v>3749</v>
      </c>
      <c r="V190" t="s">
        <v>3750</v>
      </c>
      <c r="W190" t="s">
        <v>3751</v>
      </c>
      <c r="X190" t="s">
        <v>3752</v>
      </c>
      <c r="Y190" t="s">
        <v>3753</v>
      </c>
      <c r="Z190" t="s">
        <v>3754</v>
      </c>
      <c r="AA190" t="s">
        <v>3755</v>
      </c>
      <c r="AB190" t="s">
        <v>74</v>
      </c>
      <c r="AC190" t="s">
        <v>3756</v>
      </c>
      <c r="AD190" t="s">
        <v>3757</v>
      </c>
      <c r="AE190" t="s">
        <v>3758</v>
      </c>
      <c r="AF190" t="s">
        <v>74</v>
      </c>
      <c r="AG190">
        <v>28</v>
      </c>
      <c r="AH190">
        <v>16</v>
      </c>
      <c r="AI190">
        <v>17</v>
      </c>
      <c r="AJ190">
        <v>0</v>
      </c>
      <c r="AK190">
        <v>12</v>
      </c>
      <c r="AL190" t="s">
        <v>933</v>
      </c>
      <c r="AM190" t="s">
        <v>934</v>
      </c>
      <c r="AN190" t="s">
        <v>935</v>
      </c>
      <c r="AO190" t="s">
        <v>3759</v>
      </c>
      <c r="AP190" t="s">
        <v>74</v>
      </c>
      <c r="AQ190" t="s">
        <v>74</v>
      </c>
      <c r="AR190" t="s">
        <v>3760</v>
      </c>
      <c r="AS190" t="s">
        <v>3761</v>
      </c>
      <c r="AT190" t="s">
        <v>3762</v>
      </c>
      <c r="AU190">
        <v>2010</v>
      </c>
      <c r="AV190">
        <v>27</v>
      </c>
      <c r="AW190">
        <v>2</v>
      </c>
      <c r="AX190" t="s">
        <v>74</v>
      </c>
      <c r="AY190" t="s">
        <v>74</v>
      </c>
      <c r="AZ190" t="s">
        <v>74</v>
      </c>
      <c r="BA190" t="s">
        <v>74</v>
      </c>
      <c r="BB190">
        <v>265</v>
      </c>
      <c r="BC190">
        <v>273</v>
      </c>
      <c r="BD190" t="s">
        <v>74</v>
      </c>
      <c r="BE190" t="s">
        <v>3763</v>
      </c>
      <c r="BF190" t="str">
        <f>HYPERLINK("http://dx.doi.org/10.1007/s00376-009-8141-4","http://dx.doi.org/10.1007/s00376-009-8141-4")</f>
        <v>http://dx.doi.org/10.1007/s00376-009-8141-4</v>
      </c>
      <c r="BG190" t="s">
        <v>74</v>
      </c>
      <c r="BH190" t="s">
        <v>74</v>
      </c>
      <c r="BI190">
        <v>9</v>
      </c>
      <c r="BJ190" t="s">
        <v>258</v>
      </c>
      <c r="BK190" t="s">
        <v>102</v>
      </c>
      <c r="BL190" t="s">
        <v>258</v>
      </c>
      <c r="BM190" t="s">
        <v>3764</v>
      </c>
      <c r="BN190" t="s">
        <v>74</v>
      </c>
      <c r="BO190" t="s">
        <v>555</v>
      </c>
      <c r="BP190" t="s">
        <v>74</v>
      </c>
      <c r="BQ190" t="s">
        <v>74</v>
      </c>
      <c r="BR190" t="s">
        <v>105</v>
      </c>
      <c r="BS190" t="s">
        <v>3765</v>
      </c>
      <c r="BT190" t="str">
        <f>HYPERLINK("https%3A%2F%2Fwww.webofscience.com%2Fwos%2Fwoscc%2Ffull-record%2FWOS:000274542800006","View Full Record in Web of Science")</f>
        <v>View Full Record in Web of Science</v>
      </c>
    </row>
    <row r="191" spans="1:72" x14ac:dyDescent="0.15">
      <c r="A191" t="s">
        <v>72</v>
      </c>
      <c r="B191" t="s">
        <v>3766</v>
      </c>
      <c r="C191" t="s">
        <v>74</v>
      </c>
      <c r="D191" t="s">
        <v>74</v>
      </c>
      <c r="E191" t="s">
        <v>74</v>
      </c>
      <c r="F191" t="s">
        <v>3767</v>
      </c>
      <c r="G191" t="s">
        <v>74</v>
      </c>
      <c r="H191" t="s">
        <v>74</v>
      </c>
      <c r="I191" t="s">
        <v>3768</v>
      </c>
      <c r="J191" t="s">
        <v>3747</v>
      </c>
      <c r="K191" t="s">
        <v>74</v>
      </c>
      <c r="L191" t="s">
        <v>74</v>
      </c>
      <c r="M191" t="s">
        <v>78</v>
      </c>
      <c r="N191" t="s">
        <v>79</v>
      </c>
      <c r="O191" t="s">
        <v>74</v>
      </c>
      <c r="P191" t="s">
        <v>74</v>
      </c>
      <c r="Q191" t="s">
        <v>74</v>
      </c>
      <c r="R191" t="s">
        <v>74</v>
      </c>
      <c r="S191" t="s">
        <v>74</v>
      </c>
      <c r="T191" t="s">
        <v>3769</v>
      </c>
      <c r="U191" t="s">
        <v>3770</v>
      </c>
      <c r="V191" t="s">
        <v>3771</v>
      </c>
      <c r="W191" t="s">
        <v>3772</v>
      </c>
      <c r="X191" t="s">
        <v>3773</v>
      </c>
      <c r="Y191" t="s">
        <v>3774</v>
      </c>
      <c r="Z191" t="s">
        <v>3775</v>
      </c>
      <c r="AA191" t="s">
        <v>74</v>
      </c>
      <c r="AB191" t="s">
        <v>74</v>
      </c>
      <c r="AC191" t="s">
        <v>3776</v>
      </c>
      <c r="AD191" t="s">
        <v>3777</v>
      </c>
      <c r="AE191" t="s">
        <v>3778</v>
      </c>
      <c r="AF191" t="s">
        <v>74</v>
      </c>
      <c r="AG191">
        <v>47</v>
      </c>
      <c r="AH191">
        <v>4</v>
      </c>
      <c r="AI191">
        <v>8</v>
      </c>
      <c r="AJ191">
        <v>0</v>
      </c>
      <c r="AK191">
        <v>9</v>
      </c>
      <c r="AL191" t="s">
        <v>933</v>
      </c>
      <c r="AM191" t="s">
        <v>934</v>
      </c>
      <c r="AN191" t="s">
        <v>935</v>
      </c>
      <c r="AO191" t="s">
        <v>3759</v>
      </c>
      <c r="AP191" t="s">
        <v>3779</v>
      </c>
      <c r="AQ191" t="s">
        <v>74</v>
      </c>
      <c r="AR191" t="s">
        <v>3760</v>
      </c>
      <c r="AS191" t="s">
        <v>3761</v>
      </c>
      <c r="AT191" t="s">
        <v>3762</v>
      </c>
      <c r="AU191">
        <v>2010</v>
      </c>
      <c r="AV191">
        <v>27</v>
      </c>
      <c r="AW191">
        <v>2</v>
      </c>
      <c r="AX191" t="s">
        <v>74</v>
      </c>
      <c r="AY191" t="s">
        <v>74</v>
      </c>
      <c r="AZ191" t="s">
        <v>74</v>
      </c>
      <c r="BA191" t="s">
        <v>74</v>
      </c>
      <c r="BB191">
        <v>371</v>
      </c>
      <c r="BC191">
        <v>381</v>
      </c>
      <c r="BD191" t="s">
        <v>74</v>
      </c>
      <c r="BE191" t="s">
        <v>3780</v>
      </c>
      <c r="BF191" t="str">
        <f>HYPERLINK("http://dx.doi.org/10.1007/s00376-009-9047-x","http://dx.doi.org/10.1007/s00376-009-9047-x")</f>
        <v>http://dx.doi.org/10.1007/s00376-009-9047-x</v>
      </c>
      <c r="BG191" t="s">
        <v>74</v>
      </c>
      <c r="BH191" t="s">
        <v>74</v>
      </c>
      <c r="BI191">
        <v>11</v>
      </c>
      <c r="BJ191" t="s">
        <v>258</v>
      </c>
      <c r="BK191" t="s">
        <v>102</v>
      </c>
      <c r="BL191" t="s">
        <v>258</v>
      </c>
      <c r="BM191" t="s">
        <v>3764</v>
      </c>
      <c r="BN191" t="s">
        <v>74</v>
      </c>
      <c r="BO191" t="s">
        <v>74</v>
      </c>
      <c r="BP191" t="s">
        <v>74</v>
      </c>
      <c r="BQ191" t="s">
        <v>74</v>
      </c>
      <c r="BR191" t="s">
        <v>105</v>
      </c>
      <c r="BS191" t="s">
        <v>3781</v>
      </c>
      <c r="BT191" t="str">
        <f>HYPERLINK("https%3A%2F%2Fwww.webofscience.com%2Fwos%2Fwoscc%2Ffull-record%2FWOS:000274542800015","View Full Record in Web of Science")</f>
        <v>View Full Record in Web of Science</v>
      </c>
    </row>
    <row r="192" spans="1:72" x14ac:dyDescent="0.15">
      <c r="A192" t="s">
        <v>72</v>
      </c>
      <c r="B192" t="s">
        <v>3782</v>
      </c>
      <c r="C192" t="s">
        <v>74</v>
      </c>
      <c r="D192" t="s">
        <v>74</v>
      </c>
      <c r="E192" t="s">
        <v>74</v>
      </c>
      <c r="F192" t="s">
        <v>3783</v>
      </c>
      <c r="G192" t="s">
        <v>74</v>
      </c>
      <c r="H192" t="s">
        <v>74</v>
      </c>
      <c r="I192" t="s">
        <v>3784</v>
      </c>
      <c r="J192" t="s">
        <v>3785</v>
      </c>
      <c r="K192" t="s">
        <v>74</v>
      </c>
      <c r="L192" t="s">
        <v>74</v>
      </c>
      <c r="M192" t="s">
        <v>78</v>
      </c>
      <c r="N192" t="s">
        <v>79</v>
      </c>
      <c r="O192" t="s">
        <v>74</v>
      </c>
      <c r="P192" t="s">
        <v>74</v>
      </c>
      <c r="Q192" t="s">
        <v>74</v>
      </c>
      <c r="R192" t="s">
        <v>74</v>
      </c>
      <c r="S192" t="s">
        <v>74</v>
      </c>
      <c r="T192" t="s">
        <v>3786</v>
      </c>
      <c r="U192" t="s">
        <v>3787</v>
      </c>
      <c r="V192" t="s">
        <v>3788</v>
      </c>
      <c r="W192" t="s">
        <v>3789</v>
      </c>
      <c r="X192" t="s">
        <v>3790</v>
      </c>
      <c r="Y192" t="s">
        <v>3791</v>
      </c>
      <c r="Z192" t="s">
        <v>3792</v>
      </c>
      <c r="AA192" t="s">
        <v>74</v>
      </c>
      <c r="AB192" t="s">
        <v>3793</v>
      </c>
      <c r="AC192" t="s">
        <v>3794</v>
      </c>
      <c r="AD192" t="s">
        <v>3795</v>
      </c>
      <c r="AE192" t="s">
        <v>3796</v>
      </c>
      <c r="AF192" t="s">
        <v>74</v>
      </c>
      <c r="AG192">
        <v>120</v>
      </c>
      <c r="AH192">
        <v>60</v>
      </c>
      <c r="AI192">
        <v>67</v>
      </c>
      <c r="AJ192">
        <v>0</v>
      </c>
      <c r="AK192">
        <v>46</v>
      </c>
      <c r="AL192" t="s">
        <v>3797</v>
      </c>
      <c r="AM192" t="s">
        <v>3798</v>
      </c>
      <c r="AN192" t="s">
        <v>3799</v>
      </c>
      <c r="AO192" t="s">
        <v>3800</v>
      </c>
      <c r="AP192" t="s">
        <v>3801</v>
      </c>
      <c r="AQ192" t="s">
        <v>74</v>
      </c>
      <c r="AR192" t="s">
        <v>3802</v>
      </c>
      <c r="AS192" t="s">
        <v>3803</v>
      </c>
      <c r="AT192" t="s">
        <v>3762</v>
      </c>
      <c r="AU192">
        <v>2010</v>
      </c>
      <c r="AV192">
        <v>310</v>
      </c>
      <c r="AW192">
        <v>3</v>
      </c>
      <c r="AX192" t="s">
        <v>74</v>
      </c>
      <c r="AY192" t="s">
        <v>74</v>
      </c>
      <c r="AZ192" t="s">
        <v>74</v>
      </c>
      <c r="BA192" t="s">
        <v>74</v>
      </c>
      <c r="BB192">
        <v>194</v>
      </c>
      <c r="BC192">
        <v>230</v>
      </c>
      <c r="BD192" t="s">
        <v>74</v>
      </c>
      <c r="BE192" t="s">
        <v>3804</v>
      </c>
      <c r="BF192" t="str">
        <f>HYPERLINK("http://dx.doi.org/10.2475/03.2010.03","http://dx.doi.org/10.2475/03.2010.03")</f>
        <v>http://dx.doi.org/10.2475/03.2010.03</v>
      </c>
      <c r="BG192" t="s">
        <v>74</v>
      </c>
      <c r="BH192" t="s">
        <v>74</v>
      </c>
      <c r="BI192">
        <v>37</v>
      </c>
      <c r="BJ192" t="s">
        <v>913</v>
      </c>
      <c r="BK192" t="s">
        <v>102</v>
      </c>
      <c r="BL192" t="s">
        <v>914</v>
      </c>
      <c r="BM192" t="s">
        <v>3805</v>
      </c>
      <c r="BN192" t="s">
        <v>74</v>
      </c>
      <c r="BO192" t="s">
        <v>104</v>
      </c>
      <c r="BP192" t="s">
        <v>74</v>
      </c>
      <c r="BQ192" t="s">
        <v>74</v>
      </c>
      <c r="BR192" t="s">
        <v>105</v>
      </c>
      <c r="BS192" t="s">
        <v>3806</v>
      </c>
      <c r="BT192" t="str">
        <f>HYPERLINK("https%3A%2F%2Fwww.webofscience.com%2Fwos%2Fwoscc%2Ffull-record%2FWOS:000278410300003","View Full Record in Web of Science")</f>
        <v>View Full Record in Web of Science</v>
      </c>
    </row>
    <row r="193" spans="1:72" x14ac:dyDescent="0.15">
      <c r="A193" t="s">
        <v>72</v>
      </c>
      <c r="B193" t="s">
        <v>3807</v>
      </c>
      <c r="C193" t="s">
        <v>74</v>
      </c>
      <c r="D193" t="s">
        <v>74</v>
      </c>
      <c r="E193" t="s">
        <v>74</v>
      </c>
      <c r="F193" t="s">
        <v>3808</v>
      </c>
      <c r="G193" t="s">
        <v>74</v>
      </c>
      <c r="H193" t="s">
        <v>74</v>
      </c>
      <c r="I193" t="s">
        <v>3809</v>
      </c>
      <c r="J193" t="s">
        <v>3810</v>
      </c>
      <c r="K193" t="s">
        <v>74</v>
      </c>
      <c r="L193" t="s">
        <v>74</v>
      </c>
      <c r="M193" t="s">
        <v>78</v>
      </c>
      <c r="N193" t="s">
        <v>79</v>
      </c>
      <c r="O193" t="s">
        <v>74</v>
      </c>
      <c r="P193" t="s">
        <v>74</v>
      </c>
      <c r="Q193" t="s">
        <v>74</v>
      </c>
      <c r="R193" t="s">
        <v>74</v>
      </c>
      <c r="S193" t="s">
        <v>74</v>
      </c>
      <c r="T193" t="s">
        <v>3811</v>
      </c>
      <c r="U193" t="s">
        <v>3812</v>
      </c>
      <c r="V193" t="s">
        <v>3813</v>
      </c>
      <c r="W193" t="s">
        <v>3814</v>
      </c>
      <c r="X193" t="s">
        <v>3815</v>
      </c>
      <c r="Y193" t="s">
        <v>3816</v>
      </c>
      <c r="Z193" t="s">
        <v>3817</v>
      </c>
      <c r="AA193" t="s">
        <v>74</v>
      </c>
      <c r="AB193" t="s">
        <v>3818</v>
      </c>
      <c r="AC193" t="s">
        <v>3819</v>
      </c>
      <c r="AD193" t="s">
        <v>3820</v>
      </c>
      <c r="AE193" t="s">
        <v>3821</v>
      </c>
      <c r="AF193" t="s">
        <v>74</v>
      </c>
      <c r="AG193">
        <v>63</v>
      </c>
      <c r="AH193">
        <v>27</v>
      </c>
      <c r="AI193">
        <v>32</v>
      </c>
      <c r="AJ193">
        <v>0</v>
      </c>
      <c r="AK193">
        <v>37</v>
      </c>
      <c r="AL193" t="s">
        <v>813</v>
      </c>
      <c r="AM193" t="s">
        <v>814</v>
      </c>
      <c r="AN193" t="s">
        <v>815</v>
      </c>
      <c r="AO193" t="s">
        <v>3822</v>
      </c>
      <c r="AP193" t="s">
        <v>3823</v>
      </c>
      <c r="AQ193" t="s">
        <v>74</v>
      </c>
      <c r="AR193" t="s">
        <v>3824</v>
      </c>
      <c r="AS193" t="s">
        <v>3825</v>
      </c>
      <c r="AT193" t="s">
        <v>3762</v>
      </c>
      <c r="AU193">
        <v>2010</v>
      </c>
      <c r="AV193">
        <v>97</v>
      </c>
      <c r="AW193">
        <v>3</v>
      </c>
      <c r="AX193" t="s">
        <v>74</v>
      </c>
      <c r="AY193" t="s">
        <v>74</v>
      </c>
      <c r="AZ193" t="s">
        <v>74</v>
      </c>
      <c r="BA193" t="s">
        <v>74</v>
      </c>
      <c r="BB193">
        <v>275</v>
      </c>
      <c r="BC193">
        <v>287</v>
      </c>
      <c r="BD193" t="s">
        <v>74</v>
      </c>
      <c r="BE193" t="s">
        <v>3826</v>
      </c>
      <c r="BF193" t="str">
        <f>HYPERLINK("http://dx.doi.org/10.1007/s10482-009-9408-6","http://dx.doi.org/10.1007/s10482-009-9408-6")</f>
        <v>http://dx.doi.org/10.1007/s10482-009-9408-6</v>
      </c>
      <c r="BG193" t="s">
        <v>74</v>
      </c>
      <c r="BH193" t="s">
        <v>74</v>
      </c>
      <c r="BI193">
        <v>13</v>
      </c>
      <c r="BJ193" t="s">
        <v>1612</v>
      </c>
      <c r="BK193" t="s">
        <v>102</v>
      </c>
      <c r="BL193" t="s">
        <v>1612</v>
      </c>
      <c r="BM193" t="s">
        <v>3827</v>
      </c>
      <c r="BN193">
        <v>20043207</v>
      </c>
      <c r="BO193" t="s">
        <v>74</v>
      </c>
      <c r="BP193" t="s">
        <v>74</v>
      </c>
      <c r="BQ193" t="s">
        <v>74</v>
      </c>
      <c r="BR193" t="s">
        <v>105</v>
      </c>
      <c r="BS193" t="s">
        <v>3828</v>
      </c>
      <c r="BT193" t="str">
        <f>HYPERLINK("https%3A%2F%2Fwww.webofscience.com%2Fwos%2Fwoscc%2Ffull-record%2FWOS:000274199300007","View Full Record in Web of Science")</f>
        <v>View Full Record in Web of Science</v>
      </c>
    </row>
    <row r="194" spans="1:72" x14ac:dyDescent="0.15">
      <c r="A194" t="s">
        <v>72</v>
      </c>
      <c r="B194" t="s">
        <v>3829</v>
      </c>
      <c r="C194" t="s">
        <v>74</v>
      </c>
      <c r="D194" t="s">
        <v>74</v>
      </c>
      <c r="E194" t="s">
        <v>74</v>
      </c>
      <c r="F194" t="s">
        <v>3830</v>
      </c>
      <c r="G194" t="s">
        <v>74</v>
      </c>
      <c r="H194" t="s">
        <v>74</v>
      </c>
      <c r="I194" t="s">
        <v>3831</v>
      </c>
      <c r="J194" t="s">
        <v>3832</v>
      </c>
      <c r="K194" t="s">
        <v>74</v>
      </c>
      <c r="L194" t="s">
        <v>74</v>
      </c>
      <c r="M194" t="s">
        <v>78</v>
      </c>
      <c r="N194" t="s">
        <v>79</v>
      </c>
      <c r="O194" t="s">
        <v>74</v>
      </c>
      <c r="P194" t="s">
        <v>74</v>
      </c>
      <c r="Q194" t="s">
        <v>74</v>
      </c>
      <c r="R194" t="s">
        <v>74</v>
      </c>
      <c r="S194" t="s">
        <v>74</v>
      </c>
      <c r="T194" t="s">
        <v>3833</v>
      </c>
      <c r="U194" t="s">
        <v>3834</v>
      </c>
      <c r="V194" t="s">
        <v>3835</v>
      </c>
      <c r="W194" t="s">
        <v>3836</v>
      </c>
      <c r="X194" t="s">
        <v>3837</v>
      </c>
      <c r="Y194" t="s">
        <v>3838</v>
      </c>
      <c r="Z194" t="s">
        <v>3839</v>
      </c>
      <c r="AA194" t="s">
        <v>3840</v>
      </c>
      <c r="AB194" t="s">
        <v>3841</v>
      </c>
      <c r="AC194" t="s">
        <v>3842</v>
      </c>
      <c r="AD194" t="s">
        <v>3842</v>
      </c>
      <c r="AE194" t="s">
        <v>3843</v>
      </c>
      <c r="AF194" t="s">
        <v>74</v>
      </c>
      <c r="AG194">
        <v>36</v>
      </c>
      <c r="AH194">
        <v>30</v>
      </c>
      <c r="AI194">
        <v>31</v>
      </c>
      <c r="AJ194">
        <v>2</v>
      </c>
      <c r="AK194">
        <v>29</v>
      </c>
      <c r="AL194" t="s">
        <v>2089</v>
      </c>
      <c r="AM194" t="s">
        <v>2090</v>
      </c>
      <c r="AN194" t="s">
        <v>2091</v>
      </c>
      <c r="AO194" t="s">
        <v>3844</v>
      </c>
      <c r="AP194" t="s">
        <v>74</v>
      </c>
      <c r="AQ194" t="s">
        <v>74</v>
      </c>
      <c r="AR194" t="s">
        <v>3845</v>
      </c>
      <c r="AS194" t="s">
        <v>3846</v>
      </c>
      <c r="AT194" t="s">
        <v>3738</v>
      </c>
      <c r="AU194">
        <v>2010</v>
      </c>
      <c r="AV194">
        <v>20</v>
      </c>
      <c r="AW194">
        <v>2</v>
      </c>
      <c r="AX194" t="s">
        <v>74</v>
      </c>
      <c r="AY194" t="s">
        <v>74</v>
      </c>
      <c r="AZ194" t="s">
        <v>74</v>
      </c>
      <c r="BA194" t="s">
        <v>74</v>
      </c>
      <c r="BB194">
        <v>159</v>
      </c>
      <c r="BC194">
        <v>166</v>
      </c>
      <c r="BD194" t="s">
        <v>74</v>
      </c>
      <c r="BE194" t="s">
        <v>3847</v>
      </c>
      <c r="BF194" t="str">
        <f>HYPERLINK("http://dx.doi.org/10.1002/aqc.1066","http://dx.doi.org/10.1002/aqc.1066")</f>
        <v>http://dx.doi.org/10.1002/aqc.1066</v>
      </c>
      <c r="BG194" t="s">
        <v>74</v>
      </c>
      <c r="BH194" t="s">
        <v>74</v>
      </c>
      <c r="BI194">
        <v>8</v>
      </c>
      <c r="BJ194" t="s">
        <v>3848</v>
      </c>
      <c r="BK194" t="s">
        <v>102</v>
      </c>
      <c r="BL194" t="s">
        <v>3849</v>
      </c>
      <c r="BM194" t="s">
        <v>3850</v>
      </c>
      <c r="BN194" t="s">
        <v>74</v>
      </c>
      <c r="BO194" t="s">
        <v>74</v>
      </c>
      <c r="BP194" t="s">
        <v>74</v>
      </c>
      <c r="BQ194" t="s">
        <v>74</v>
      </c>
      <c r="BR194" t="s">
        <v>105</v>
      </c>
      <c r="BS194" t="s">
        <v>3851</v>
      </c>
      <c r="BT194" t="str">
        <f>HYPERLINK("https%3A%2F%2Fwww.webofscience.com%2Fwos%2Fwoscc%2Ffull-record%2FWOS:000276464600005","View Full Record in Web of Science")</f>
        <v>View Full Record in Web of Science</v>
      </c>
    </row>
    <row r="195" spans="1:72" x14ac:dyDescent="0.15">
      <c r="A195" t="s">
        <v>72</v>
      </c>
      <c r="B195" t="s">
        <v>3852</v>
      </c>
      <c r="C195" t="s">
        <v>74</v>
      </c>
      <c r="D195" t="s">
        <v>74</v>
      </c>
      <c r="E195" t="s">
        <v>74</v>
      </c>
      <c r="F195" t="s">
        <v>3853</v>
      </c>
      <c r="G195" t="s">
        <v>74</v>
      </c>
      <c r="H195" t="s">
        <v>74</v>
      </c>
      <c r="I195" t="s">
        <v>3854</v>
      </c>
      <c r="J195" t="s">
        <v>3855</v>
      </c>
      <c r="K195" t="s">
        <v>74</v>
      </c>
      <c r="L195" t="s">
        <v>74</v>
      </c>
      <c r="M195" t="s">
        <v>78</v>
      </c>
      <c r="N195" t="s">
        <v>79</v>
      </c>
      <c r="O195" t="s">
        <v>74</v>
      </c>
      <c r="P195" t="s">
        <v>74</v>
      </c>
      <c r="Q195" t="s">
        <v>74</v>
      </c>
      <c r="R195" t="s">
        <v>74</v>
      </c>
      <c r="S195" t="s">
        <v>74</v>
      </c>
      <c r="T195" t="s">
        <v>3856</v>
      </c>
      <c r="U195" t="s">
        <v>3857</v>
      </c>
      <c r="V195" t="s">
        <v>3858</v>
      </c>
      <c r="W195" t="s">
        <v>3859</v>
      </c>
      <c r="X195" t="s">
        <v>3860</v>
      </c>
      <c r="Y195" t="s">
        <v>3861</v>
      </c>
      <c r="Z195" t="s">
        <v>3862</v>
      </c>
      <c r="AA195" t="s">
        <v>3863</v>
      </c>
      <c r="AB195" t="s">
        <v>3864</v>
      </c>
      <c r="AC195" t="s">
        <v>3865</v>
      </c>
      <c r="AD195" t="s">
        <v>3866</v>
      </c>
      <c r="AE195" t="s">
        <v>3867</v>
      </c>
      <c r="AF195" t="s">
        <v>74</v>
      </c>
      <c r="AG195">
        <v>86</v>
      </c>
      <c r="AH195">
        <v>17</v>
      </c>
      <c r="AI195">
        <v>22</v>
      </c>
      <c r="AJ195">
        <v>0</v>
      </c>
      <c r="AK195">
        <v>63</v>
      </c>
      <c r="AL195" t="s">
        <v>813</v>
      </c>
      <c r="AM195" t="s">
        <v>814</v>
      </c>
      <c r="AN195" t="s">
        <v>815</v>
      </c>
      <c r="AO195" t="s">
        <v>3868</v>
      </c>
      <c r="AP195" t="s">
        <v>3869</v>
      </c>
      <c r="AQ195" t="s">
        <v>74</v>
      </c>
      <c r="AR195" t="s">
        <v>3870</v>
      </c>
      <c r="AS195" t="s">
        <v>3871</v>
      </c>
      <c r="AT195" t="s">
        <v>3762</v>
      </c>
      <c r="AU195">
        <v>2010</v>
      </c>
      <c r="AV195">
        <v>19</v>
      </c>
      <c r="AW195">
        <v>3</v>
      </c>
      <c r="AX195" t="s">
        <v>74</v>
      </c>
      <c r="AY195" t="s">
        <v>74</v>
      </c>
      <c r="AZ195" t="s">
        <v>74</v>
      </c>
      <c r="BA195" t="s">
        <v>74</v>
      </c>
      <c r="BB195">
        <v>725</v>
      </c>
      <c r="BC195">
        <v>743</v>
      </c>
      <c r="BD195" t="s">
        <v>74</v>
      </c>
      <c r="BE195" t="s">
        <v>3872</v>
      </c>
      <c r="BF195" t="str">
        <f>HYPERLINK("http://dx.doi.org/10.1007/s10531-009-9730-3","http://dx.doi.org/10.1007/s10531-009-9730-3")</f>
        <v>http://dx.doi.org/10.1007/s10531-009-9730-3</v>
      </c>
      <c r="BG195" t="s">
        <v>74</v>
      </c>
      <c r="BH195" t="s">
        <v>74</v>
      </c>
      <c r="BI195">
        <v>19</v>
      </c>
      <c r="BJ195" t="s">
        <v>3873</v>
      </c>
      <c r="BK195" t="s">
        <v>102</v>
      </c>
      <c r="BL195" t="s">
        <v>844</v>
      </c>
      <c r="BM195" t="s">
        <v>3874</v>
      </c>
      <c r="BN195" t="s">
        <v>74</v>
      </c>
      <c r="BO195" t="s">
        <v>74</v>
      </c>
      <c r="BP195" t="s">
        <v>74</v>
      </c>
      <c r="BQ195" t="s">
        <v>74</v>
      </c>
      <c r="BR195" t="s">
        <v>105</v>
      </c>
      <c r="BS195" t="s">
        <v>3875</v>
      </c>
      <c r="BT195" t="str">
        <f>HYPERLINK("https%3A%2F%2Fwww.webofscience.com%2Fwos%2Fwoscc%2Ffull-record%2FWOS:000274330800008","View Full Record in Web of Science")</f>
        <v>View Full Record in Web of Science</v>
      </c>
    </row>
    <row r="196" spans="1:72" x14ac:dyDescent="0.15">
      <c r="A196" t="s">
        <v>72</v>
      </c>
      <c r="B196" t="s">
        <v>3876</v>
      </c>
      <c r="C196" t="s">
        <v>74</v>
      </c>
      <c r="D196" t="s">
        <v>74</v>
      </c>
      <c r="E196" t="s">
        <v>74</v>
      </c>
      <c r="F196" t="s">
        <v>3877</v>
      </c>
      <c r="G196" t="s">
        <v>74</v>
      </c>
      <c r="H196" t="s">
        <v>74</v>
      </c>
      <c r="I196" t="s">
        <v>3878</v>
      </c>
      <c r="J196" t="s">
        <v>3879</v>
      </c>
      <c r="K196" t="s">
        <v>74</v>
      </c>
      <c r="L196" t="s">
        <v>74</v>
      </c>
      <c r="M196" t="s">
        <v>78</v>
      </c>
      <c r="N196" t="s">
        <v>79</v>
      </c>
      <c r="O196" t="s">
        <v>74</v>
      </c>
      <c r="P196" t="s">
        <v>74</v>
      </c>
      <c r="Q196" t="s">
        <v>74</v>
      </c>
      <c r="R196" t="s">
        <v>74</v>
      </c>
      <c r="S196" t="s">
        <v>74</v>
      </c>
      <c r="T196" t="s">
        <v>74</v>
      </c>
      <c r="U196" t="s">
        <v>3880</v>
      </c>
      <c r="V196" t="s">
        <v>3881</v>
      </c>
      <c r="W196" t="s">
        <v>3882</v>
      </c>
      <c r="X196" t="s">
        <v>3883</v>
      </c>
      <c r="Y196" t="s">
        <v>3884</v>
      </c>
      <c r="Z196" t="s">
        <v>74</v>
      </c>
      <c r="AA196" t="s">
        <v>74</v>
      </c>
      <c r="AB196" t="s">
        <v>3885</v>
      </c>
      <c r="AC196" t="s">
        <v>3886</v>
      </c>
      <c r="AD196" t="s">
        <v>3886</v>
      </c>
      <c r="AE196" t="s">
        <v>3887</v>
      </c>
      <c r="AF196" t="s">
        <v>74</v>
      </c>
      <c r="AG196">
        <v>46</v>
      </c>
      <c r="AH196">
        <v>3</v>
      </c>
      <c r="AI196">
        <v>3</v>
      </c>
      <c r="AJ196">
        <v>0</v>
      </c>
      <c r="AK196">
        <v>3</v>
      </c>
      <c r="AL196" t="s">
        <v>3888</v>
      </c>
      <c r="AM196" t="s">
        <v>3889</v>
      </c>
      <c r="AN196" t="s">
        <v>3890</v>
      </c>
      <c r="AO196" t="s">
        <v>3891</v>
      </c>
      <c r="AP196" t="s">
        <v>74</v>
      </c>
      <c r="AQ196" t="s">
        <v>74</v>
      </c>
      <c r="AR196" t="s">
        <v>3892</v>
      </c>
      <c r="AS196" t="s">
        <v>3893</v>
      </c>
      <c r="AT196" t="s">
        <v>3762</v>
      </c>
      <c r="AU196">
        <v>2010</v>
      </c>
      <c r="AV196">
        <v>51</v>
      </c>
      <c r="AW196">
        <v>1</v>
      </c>
      <c r="AX196" t="s">
        <v>74</v>
      </c>
      <c r="AY196" t="s">
        <v>74</v>
      </c>
      <c r="AZ196" t="s">
        <v>74</v>
      </c>
      <c r="BA196" t="s">
        <v>74</v>
      </c>
      <c r="BB196">
        <v>23</v>
      </c>
      <c r="BC196">
        <v>41</v>
      </c>
      <c r="BD196" t="s">
        <v>74</v>
      </c>
      <c r="BE196" t="s">
        <v>74</v>
      </c>
      <c r="BF196" t="s">
        <v>74</v>
      </c>
      <c r="BG196" t="s">
        <v>74</v>
      </c>
      <c r="BH196" t="s">
        <v>74</v>
      </c>
      <c r="BI196">
        <v>19</v>
      </c>
      <c r="BJ196" t="s">
        <v>507</v>
      </c>
      <c r="BK196" t="s">
        <v>102</v>
      </c>
      <c r="BL196" t="s">
        <v>507</v>
      </c>
      <c r="BM196" t="s">
        <v>3894</v>
      </c>
      <c r="BN196" t="s">
        <v>74</v>
      </c>
      <c r="BO196" t="s">
        <v>74</v>
      </c>
      <c r="BP196" t="s">
        <v>74</v>
      </c>
      <c r="BQ196" t="s">
        <v>74</v>
      </c>
      <c r="BR196" t="s">
        <v>105</v>
      </c>
      <c r="BS196" t="s">
        <v>3895</v>
      </c>
      <c r="BT196" t="str">
        <f>HYPERLINK("https%3A%2F%2Fwww.webofscience.com%2Fwos%2Fwoscc%2Ffull-record%2FWOS:000278663900002","View Full Record in Web of Science")</f>
        <v>View Full Record in Web of Science</v>
      </c>
    </row>
    <row r="197" spans="1:72" x14ac:dyDescent="0.15">
      <c r="A197" t="s">
        <v>72</v>
      </c>
      <c r="B197" t="s">
        <v>3896</v>
      </c>
      <c r="C197" t="s">
        <v>74</v>
      </c>
      <c r="D197" t="s">
        <v>74</v>
      </c>
      <c r="E197" t="s">
        <v>74</v>
      </c>
      <c r="F197" t="s">
        <v>3897</v>
      </c>
      <c r="G197" t="s">
        <v>74</v>
      </c>
      <c r="H197" t="s">
        <v>74</v>
      </c>
      <c r="I197" t="s">
        <v>3898</v>
      </c>
      <c r="J197" t="s">
        <v>896</v>
      </c>
      <c r="K197" t="s">
        <v>74</v>
      </c>
      <c r="L197" t="s">
        <v>74</v>
      </c>
      <c r="M197" t="s">
        <v>78</v>
      </c>
      <c r="N197" t="s">
        <v>79</v>
      </c>
      <c r="O197" t="s">
        <v>74</v>
      </c>
      <c r="P197" t="s">
        <v>74</v>
      </c>
      <c r="Q197" t="s">
        <v>74</v>
      </c>
      <c r="R197" t="s">
        <v>74</v>
      </c>
      <c r="S197" t="s">
        <v>74</v>
      </c>
      <c r="T197" t="s">
        <v>3899</v>
      </c>
      <c r="U197" t="s">
        <v>3900</v>
      </c>
      <c r="V197" t="s">
        <v>3901</v>
      </c>
      <c r="W197" t="s">
        <v>3902</v>
      </c>
      <c r="X197" t="s">
        <v>3903</v>
      </c>
      <c r="Y197" t="s">
        <v>3904</v>
      </c>
      <c r="Z197" t="s">
        <v>3905</v>
      </c>
      <c r="AA197" t="s">
        <v>3906</v>
      </c>
      <c r="AB197" t="s">
        <v>3907</v>
      </c>
      <c r="AC197" t="s">
        <v>3908</v>
      </c>
      <c r="AD197" t="s">
        <v>3909</v>
      </c>
      <c r="AE197" t="s">
        <v>3910</v>
      </c>
      <c r="AF197" t="s">
        <v>74</v>
      </c>
      <c r="AG197">
        <v>71</v>
      </c>
      <c r="AH197">
        <v>11</v>
      </c>
      <c r="AI197">
        <v>12</v>
      </c>
      <c r="AJ197">
        <v>0</v>
      </c>
      <c r="AK197">
        <v>11</v>
      </c>
      <c r="AL197" t="s">
        <v>813</v>
      </c>
      <c r="AM197" t="s">
        <v>225</v>
      </c>
      <c r="AN197" t="s">
        <v>907</v>
      </c>
      <c r="AO197" t="s">
        <v>908</v>
      </c>
      <c r="AP197" t="s">
        <v>909</v>
      </c>
      <c r="AQ197" t="s">
        <v>74</v>
      </c>
      <c r="AR197" t="s">
        <v>910</v>
      </c>
      <c r="AS197" t="s">
        <v>911</v>
      </c>
      <c r="AT197" t="s">
        <v>3762</v>
      </c>
      <c r="AU197">
        <v>2010</v>
      </c>
      <c r="AV197">
        <v>72</v>
      </c>
      <c r="AW197">
        <v>2</v>
      </c>
      <c r="AX197" t="s">
        <v>74</v>
      </c>
      <c r="AY197" t="s">
        <v>74</v>
      </c>
      <c r="AZ197" t="s">
        <v>74</v>
      </c>
      <c r="BA197" t="s">
        <v>74</v>
      </c>
      <c r="BB197">
        <v>165</v>
      </c>
      <c r="BC197">
        <v>183</v>
      </c>
      <c r="BD197" t="s">
        <v>74</v>
      </c>
      <c r="BE197" t="s">
        <v>3911</v>
      </c>
      <c r="BF197" t="str">
        <f>HYPERLINK("http://dx.doi.org/10.1007/s00445-009-0312-8","http://dx.doi.org/10.1007/s00445-009-0312-8")</f>
        <v>http://dx.doi.org/10.1007/s00445-009-0312-8</v>
      </c>
      <c r="BG197" t="s">
        <v>74</v>
      </c>
      <c r="BH197" t="s">
        <v>74</v>
      </c>
      <c r="BI197">
        <v>19</v>
      </c>
      <c r="BJ197" t="s">
        <v>913</v>
      </c>
      <c r="BK197" t="s">
        <v>102</v>
      </c>
      <c r="BL197" t="s">
        <v>914</v>
      </c>
      <c r="BM197" t="s">
        <v>3912</v>
      </c>
      <c r="BN197" t="s">
        <v>74</v>
      </c>
      <c r="BO197" t="s">
        <v>74</v>
      </c>
      <c r="BP197" t="s">
        <v>74</v>
      </c>
      <c r="BQ197" t="s">
        <v>74</v>
      </c>
      <c r="BR197" t="s">
        <v>105</v>
      </c>
      <c r="BS197" t="s">
        <v>3913</v>
      </c>
      <c r="BT197" t="str">
        <f>HYPERLINK("https%3A%2F%2Fwww.webofscience.com%2Fwos%2Fwoscc%2Ffull-record%2FWOS:000274655300003","View Full Record in Web of Science")</f>
        <v>View Full Record in Web of Science</v>
      </c>
    </row>
    <row r="198" spans="1:72" x14ac:dyDescent="0.15">
      <c r="A198" t="s">
        <v>72</v>
      </c>
      <c r="B198" t="s">
        <v>3914</v>
      </c>
      <c r="C198" t="s">
        <v>74</v>
      </c>
      <c r="D198" t="s">
        <v>74</v>
      </c>
      <c r="E198" t="s">
        <v>74</v>
      </c>
      <c r="F198" t="s">
        <v>3915</v>
      </c>
      <c r="G198" t="s">
        <v>74</v>
      </c>
      <c r="H198" t="s">
        <v>74</v>
      </c>
      <c r="I198" t="s">
        <v>3916</v>
      </c>
      <c r="J198" t="s">
        <v>3917</v>
      </c>
      <c r="K198" t="s">
        <v>74</v>
      </c>
      <c r="L198" t="s">
        <v>74</v>
      </c>
      <c r="M198" t="s">
        <v>78</v>
      </c>
      <c r="N198" t="s">
        <v>79</v>
      </c>
      <c r="O198" t="s">
        <v>74</v>
      </c>
      <c r="P198" t="s">
        <v>74</v>
      </c>
      <c r="Q198" t="s">
        <v>74</v>
      </c>
      <c r="R198" t="s">
        <v>74</v>
      </c>
      <c r="S198" t="s">
        <v>74</v>
      </c>
      <c r="T198" t="s">
        <v>3918</v>
      </c>
      <c r="U198" t="s">
        <v>3919</v>
      </c>
      <c r="V198" t="s">
        <v>3920</v>
      </c>
      <c r="W198" t="s">
        <v>3921</v>
      </c>
      <c r="X198" t="s">
        <v>3922</v>
      </c>
      <c r="Y198" t="s">
        <v>3923</v>
      </c>
      <c r="Z198" t="s">
        <v>3924</v>
      </c>
      <c r="AA198" t="s">
        <v>3925</v>
      </c>
      <c r="AB198" t="s">
        <v>3926</v>
      </c>
      <c r="AC198" t="s">
        <v>74</v>
      </c>
      <c r="AD198" t="s">
        <v>74</v>
      </c>
      <c r="AE198" t="s">
        <v>74</v>
      </c>
      <c r="AF198" t="s">
        <v>74</v>
      </c>
      <c r="AG198">
        <v>62</v>
      </c>
      <c r="AH198">
        <v>84</v>
      </c>
      <c r="AI198">
        <v>98</v>
      </c>
      <c r="AJ198">
        <v>1</v>
      </c>
      <c r="AK198">
        <v>22</v>
      </c>
      <c r="AL198" t="s">
        <v>3927</v>
      </c>
      <c r="AM198" t="s">
        <v>3928</v>
      </c>
      <c r="AN198" t="s">
        <v>3929</v>
      </c>
      <c r="AO198" t="s">
        <v>3930</v>
      </c>
      <c r="AP198" t="s">
        <v>3931</v>
      </c>
      <c r="AQ198" t="s">
        <v>74</v>
      </c>
      <c r="AR198" t="s">
        <v>3917</v>
      </c>
      <c r="AS198" t="s">
        <v>3932</v>
      </c>
      <c r="AT198" t="s">
        <v>3762</v>
      </c>
      <c r="AU198">
        <v>2010</v>
      </c>
      <c r="AV198">
        <v>20</v>
      </c>
      <c r="AW198">
        <v>1</v>
      </c>
      <c r="AX198" t="s">
        <v>74</v>
      </c>
      <c r="AY198" t="s">
        <v>74</v>
      </c>
      <c r="AZ198" t="s">
        <v>74</v>
      </c>
      <c r="BA198" t="s">
        <v>74</v>
      </c>
      <c r="BB198" t="s">
        <v>74</v>
      </c>
      <c r="BC198" t="s">
        <v>74</v>
      </c>
      <c r="BD198">
        <v>17505</v>
      </c>
      <c r="BE198" t="s">
        <v>3933</v>
      </c>
      <c r="BF198" t="str">
        <f>HYPERLINK("http://dx.doi.org/10.1063/1.3278516","http://dx.doi.org/10.1063/1.3278516")</f>
        <v>http://dx.doi.org/10.1063/1.3278516</v>
      </c>
      <c r="BG198" t="s">
        <v>74</v>
      </c>
      <c r="BH198" t="s">
        <v>74</v>
      </c>
      <c r="BI198">
        <v>20</v>
      </c>
      <c r="BJ198" t="s">
        <v>3934</v>
      </c>
      <c r="BK198" t="s">
        <v>102</v>
      </c>
      <c r="BL198" t="s">
        <v>3935</v>
      </c>
      <c r="BM198" t="s">
        <v>3936</v>
      </c>
      <c r="BN198">
        <v>20370295</v>
      </c>
      <c r="BO198" t="s">
        <v>326</v>
      </c>
      <c r="BP198" t="s">
        <v>74</v>
      </c>
      <c r="BQ198" t="s">
        <v>74</v>
      </c>
      <c r="BR198" t="s">
        <v>105</v>
      </c>
      <c r="BS198" t="s">
        <v>3937</v>
      </c>
      <c r="BT198" t="str">
        <f>HYPERLINK("https%3A%2F%2Fwww.webofscience.com%2Fwos%2Fwoscc%2Ffull-record%2FWOS:000276211400040","View Full Record in Web of Science")</f>
        <v>View Full Record in Web of Science</v>
      </c>
    </row>
    <row r="199" spans="1:72" x14ac:dyDescent="0.15">
      <c r="A199" t="s">
        <v>72</v>
      </c>
      <c r="B199" t="s">
        <v>3938</v>
      </c>
      <c r="C199" t="s">
        <v>74</v>
      </c>
      <c r="D199" t="s">
        <v>74</v>
      </c>
      <c r="E199" t="s">
        <v>74</v>
      </c>
      <c r="F199" t="s">
        <v>3939</v>
      </c>
      <c r="G199" t="s">
        <v>74</v>
      </c>
      <c r="H199" t="s">
        <v>74</v>
      </c>
      <c r="I199" t="s">
        <v>3940</v>
      </c>
      <c r="J199" t="s">
        <v>962</v>
      </c>
      <c r="K199" t="s">
        <v>74</v>
      </c>
      <c r="L199" t="s">
        <v>74</v>
      </c>
      <c r="M199" t="s">
        <v>78</v>
      </c>
      <c r="N199" t="s">
        <v>79</v>
      </c>
      <c r="O199" t="s">
        <v>74</v>
      </c>
      <c r="P199" t="s">
        <v>74</v>
      </c>
      <c r="Q199" t="s">
        <v>74</v>
      </c>
      <c r="R199" t="s">
        <v>74</v>
      </c>
      <c r="S199" t="s">
        <v>74</v>
      </c>
      <c r="T199" t="s">
        <v>74</v>
      </c>
      <c r="U199" t="s">
        <v>3941</v>
      </c>
      <c r="V199" t="s">
        <v>3942</v>
      </c>
      <c r="W199" t="s">
        <v>3943</v>
      </c>
      <c r="X199" t="s">
        <v>3944</v>
      </c>
      <c r="Y199" t="s">
        <v>3945</v>
      </c>
      <c r="Z199" t="s">
        <v>3946</v>
      </c>
      <c r="AA199" t="s">
        <v>3947</v>
      </c>
      <c r="AB199" t="s">
        <v>3948</v>
      </c>
      <c r="AC199" t="s">
        <v>3949</v>
      </c>
      <c r="AD199" t="s">
        <v>3950</v>
      </c>
      <c r="AE199" t="s">
        <v>3951</v>
      </c>
      <c r="AF199" t="s">
        <v>74</v>
      </c>
      <c r="AG199">
        <v>206</v>
      </c>
      <c r="AH199">
        <v>32</v>
      </c>
      <c r="AI199">
        <v>34</v>
      </c>
      <c r="AJ199">
        <v>2</v>
      </c>
      <c r="AK199">
        <v>42</v>
      </c>
      <c r="AL199" t="s">
        <v>813</v>
      </c>
      <c r="AM199" t="s">
        <v>814</v>
      </c>
      <c r="AN199" t="s">
        <v>815</v>
      </c>
      <c r="AO199" t="s">
        <v>968</v>
      </c>
      <c r="AP199" t="s">
        <v>969</v>
      </c>
      <c r="AQ199" t="s">
        <v>74</v>
      </c>
      <c r="AR199" t="s">
        <v>962</v>
      </c>
      <c r="AS199" t="s">
        <v>970</v>
      </c>
      <c r="AT199" t="s">
        <v>3762</v>
      </c>
      <c r="AU199">
        <v>2010</v>
      </c>
      <c r="AV199">
        <v>99</v>
      </c>
      <c r="AW199" t="s">
        <v>1854</v>
      </c>
      <c r="AX199" t="s">
        <v>74</v>
      </c>
      <c r="AY199" t="s">
        <v>74</v>
      </c>
      <c r="AZ199" t="s">
        <v>74</v>
      </c>
      <c r="BA199" t="s">
        <v>74</v>
      </c>
      <c r="BB199">
        <v>155</v>
      </c>
      <c r="BC199">
        <v>192</v>
      </c>
      <c r="BD199" t="s">
        <v>74</v>
      </c>
      <c r="BE199" t="s">
        <v>3952</v>
      </c>
      <c r="BF199" t="str">
        <f>HYPERLINK("http://dx.doi.org/10.1007/s10584-009-9673-4","http://dx.doi.org/10.1007/s10584-009-9673-4")</f>
        <v>http://dx.doi.org/10.1007/s10584-009-9673-4</v>
      </c>
      <c r="BG199" t="s">
        <v>74</v>
      </c>
      <c r="BH199" t="s">
        <v>74</v>
      </c>
      <c r="BI199">
        <v>38</v>
      </c>
      <c r="BJ199" t="s">
        <v>973</v>
      </c>
      <c r="BK199" t="s">
        <v>102</v>
      </c>
      <c r="BL199" t="s">
        <v>974</v>
      </c>
      <c r="BM199" t="s">
        <v>3953</v>
      </c>
      <c r="BN199" t="s">
        <v>74</v>
      </c>
      <c r="BO199" t="s">
        <v>555</v>
      </c>
      <c r="BP199" t="s">
        <v>74</v>
      </c>
      <c r="BQ199" t="s">
        <v>74</v>
      </c>
      <c r="BR199" t="s">
        <v>105</v>
      </c>
      <c r="BS199" t="s">
        <v>3954</v>
      </c>
      <c r="BT199" t="str">
        <f>HYPERLINK("https%3A%2F%2Fwww.webofscience.com%2Fwos%2Fwoscc%2Ffull-record%2FWOS:000274846100010","View Full Record in Web of Science")</f>
        <v>View Full Record in Web of Science</v>
      </c>
    </row>
    <row r="200" spans="1:72" x14ac:dyDescent="0.15">
      <c r="A200" t="s">
        <v>72</v>
      </c>
      <c r="B200" t="s">
        <v>3955</v>
      </c>
      <c r="C200" t="s">
        <v>74</v>
      </c>
      <c r="D200" t="s">
        <v>74</v>
      </c>
      <c r="E200" t="s">
        <v>74</v>
      </c>
      <c r="F200" t="s">
        <v>3956</v>
      </c>
      <c r="G200" t="s">
        <v>74</v>
      </c>
      <c r="H200" t="s">
        <v>74</v>
      </c>
      <c r="I200" t="s">
        <v>3957</v>
      </c>
      <c r="J200" t="s">
        <v>1290</v>
      </c>
      <c r="K200" t="s">
        <v>74</v>
      </c>
      <c r="L200" t="s">
        <v>74</v>
      </c>
      <c r="M200" t="s">
        <v>78</v>
      </c>
      <c r="N200" t="s">
        <v>79</v>
      </c>
      <c r="O200" t="s">
        <v>74</v>
      </c>
      <c r="P200" t="s">
        <v>74</v>
      </c>
      <c r="Q200" t="s">
        <v>74</v>
      </c>
      <c r="R200" t="s">
        <v>74</v>
      </c>
      <c r="S200" t="s">
        <v>74</v>
      </c>
      <c r="T200" t="s">
        <v>3958</v>
      </c>
      <c r="U200" t="s">
        <v>3959</v>
      </c>
      <c r="V200" t="s">
        <v>3960</v>
      </c>
      <c r="W200" t="s">
        <v>3961</v>
      </c>
      <c r="X200" t="s">
        <v>3962</v>
      </c>
      <c r="Y200" t="s">
        <v>3963</v>
      </c>
      <c r="Z200" t="s">
        <v>3964</v>
      </c>
      <c r="AA200" t="s">
        <v>3965</v>
      </c>
      <c r="AB200" t="s">
        <v>3966</v>
      </c>
      <c r="AC200" t="s">
        <v>3967</v>
      </c>
      <c r="AD200" t="s">
        <v>3968</v>
      </c>
      <c r="AE200" t="s">
        <v>3969</v>
      </c>
      <c r="AF200" t="s">
        <v>74</v>
      </c>
      <c r="AG200">
        <v>66</v>
      </c>
      <c r="AH200">
        <v>57</v>
      </c>
      <c r="AI200">
        <v>65</v>
      </c>
      <c r="AJ200">
        <v>0</v>
      </c>
      <c r="AK200">
        <v>43</v>
      </c>
      <c r="AL200" t="s">
        <v>144</v>
      </c>
      <c r="AM200" t="s">
        <v>145</v>
      </c>
      <c r="AN200" t="s">
        <v>146</v>
      </c>
      <c r="AO200" t="s">
        <v>1303</v>
      </c>
      <c r="AP200" t="s">
        <v>1325</v>
      </c>
      <c r="AQ200" t="s">
        <v>74</v>
      </c>
      <c r="AR200" t="s">
        <v>1304</v>
      </c>
      <c r="AS200" t="s">
        <v>1305</v>
      </c>
      <c r="AT200" t="s">
        <v>3970</v>
      </c>
      <c r="AU200">
        <v>2010</v>
      </c>
      <c r="AV200">
        <v>291</v>
      </c>
      <c r="AW200" t="s">
        <v>151</v>
      </c>
      <c r="AX200" t="s">
        <v>74</v>
      </c>
      <c r="AY200" t="s">
        <v>74</v>
      </c>
      <c r="AZ200" t="s">
        <v>74</v>
      </c>
      <c r="BA200" t="s">
        <v>74</v>
      </c>
      <c r="BB200">
        <v>138</v>
      </c>
      <c r="BC200">
        <v>148</v>
      </c>
      <c r="BD200" t="s">
        <v>74</v>
      </c>
      <c r="BE200" t="s">
        <v>3971</v>
      </c>
      <c r="BF200" t="str">
        <f>HYPERLINK("http://dx.doi.org/10.1016/j.epsl.2010.01.006","http://dx.doi.org/10.1016/j.epsl.2010.01.006")</f>
        <v>http://dx.doi.org/10.1016/j.epsl.2010.01.006</v>
      </c>
      <c r="BG200" t="s">
        <v>74</v>
      </c>
      <c r="BH200" t="s">
        <v>74</v>
      </c>
      <c r="BI200">
        <v>11</v>
      </c>
      <c r="BJ200" t="s">
        <v>507</v>
      </c>
      <c r="BK200" t="s">
        <v>102</v>
      </c>
      <c r="BL200" t="s">
        <v>507</v>
      </c>
      <c r="BM200" t="s">
        <v>3972</v>
      </c>
      <c r="BN200" t="s">
        <v>74</v>
      </c>
      <c r="BO200" t="s">
        <v>74</v>
      </c>
      <c r="BP200" t="s">
        <v>74</v>
      </c>
      <c r="BQ200" t="s">
        <v>74</v>
      </c>
      <c r="BR200" t="s">
        <v>105</v>
      </c>
      <c r="BS200" t="s">
        <v>3973</v>
      </c>
      <c r="BT200" t="str">
        <f>HYPERLINK("https%3A%2F%2Fwww.webofscience.com%2Fwos%2Fwoscc%2Ffull-record%2FWOS:000275539100014","View Full Record in Web of Science")</f>
        <v>View Full Record in Web of Science</v>
      </c>
    </row>
    <row r="201" spans="1:72" x14ac:dyDescent="0.15">
      <c r="A201" t="s">
        <v>72</v>
      </c>
      <c r="B201" t="s">
        <v>3974</v>
      </c>
      <c r="C201" t="s">
        <v>74</v>
      </c>
      <c r="D201" t="s">
        <v>74</v>
      </c>
      <c r="E201" t="s">
        <v>74</v>
      </c>
      <c r="F201" t="s">
        <v>3975</v>
      </c>
      <c r="G201" t="s">
        <v>74</v>
      </c>
      <c r="H201" t="s">
        <v>74</v>
      </c>
      <c r="I201" t="s">
        <v>3976</v>
      </c>
      <c r="J201" t="s">
        <v>3977</v>
      </c>
      <c r="K201" t="s">
        <v>74</v>
      </c>
      <c r="L201" t="s">
        <v>74</v>
      </c>
      <c r="M201" t="s">
        <v>78</v>
      </c>
      <c r="N201" t="s">
        <v>79</v>
      </c>
      <c r="O201" t="s">
        <v>74</v>
      </c>
      <c r="P201" t="s">
        <v>74</v>
      </c>
      <c r="Q201" t="s">
        <v>74</v>
      </c>
      <c r="R201" t="s">
        <v>74</v>
      </c>
      <c r="S201" t="s">
        <v>74</v>
      </c>
      <c r="T201" t="s">
        <v>74</v>
      </c>
      <c r="U201" t="s">
        <v>3978</v>
      </c>
      <c r="V201" t="s">
        <v>3979</v>
      </c>
      <c r="W201" t="s">
        <v>3980</v>
      </c>
      <c r="X201" t="s">
        <v>3981</v>
      </c>
      <c r="Y201" t="s">
        <v>3982</v>
      </c>
      <c r="Z201" t="s">
        <v>3983</v>
      </c>
      <c r="AA201" t="s">
        <v>3984</v>
      </c>
      <c r="AB201" t="s">
        <v>3985</v>
      </c>
      <c r="AC201" t="s">
        <v>3986</v>
      </c>
      <c r="AD201" t="s">
        <v>3987</v>
      </c>
      <c r="AE201" t="s">
        <v>3988</v>
      </c>
      <c r="AF201" t="s">
        <v>74</v>
      </c>
      <c r="AG201">
        <v>55</v>
      </c>
      <c r="AH201">
        <v>50</v>
      </c>
      <c r="AI201">
        <v>56</v>
      </c>
      <c r="AJ201">
        <v>1</v>
      </c>
      <c r="AK201">
        <v>25</v>
      </c>
      <c r="AL201" t="s">
        <v>991</v>
      </c>
      <c r="AM201" t="s">
        <v>992</v>
      </c>
      <c r="AN201" t="s">
        <v>993</v>
      </c>
      <c r="AO201" t="s">
        <v>3989</v>
      </c>
      <c r="AP201" t="s">
        <v>3990</v>
      </c>
      <c r="AQ201" t="s">
        <v>74</v>
      </c>
      <c r="AR201" t="s">
        <v>3991</v>
      </c>
      <c r="AS201" t="s">
        <v>3992</v>
      </c>
      <c r="AT201" t="s">
        <v>3762</v>
      </c>
      <c r="AU201">
        <v>2010</v>
      </c>
      <c r="AV201">
        <v>12</v>
      </c>
      <c r="AW201">
        <v>3</v>
      </c>
      <c r="AX201" t="s">
        <v>74</v>
      </c>
      <c r="AY201" t="s">
        <v>74</v>
      </c>
      <c r="AZ201" t="s">
        <v>74</v>
      </c>
      <c r="BA201" t="s">
        <v>74</v>
      </c>
      <c r="BB201">
        <v>592</v>
      </c>
      <c r="BC201">
        <v>607</v>
      </c>
      <c r="BD201" t="s">
        <v>74</v>
      </c>
      <c r="BE201" t="s">
        <v>3993</v>
      </c>
      <c r="BF201" t="str">
        <f>HYPERLINK("http://dx.doi.org/10.1111/j.1462-2920.2009.02098.x","http://dx.doi.org/10.1111/j.1462-2920.2009.02098.x")</f>
        <v>http://dx.doi.org/10.1111/j.1462-2920.2009.02098.x</v>
      </c>
      <c r="BG201" t="s">
        <v>74</v>
      </c>
      <c r="BH201" t="s">
        <v>74</v>
      </c>
      <c r="BI201">
        <v>16</v>
      </c>
      <c r="BJ201" t="s">
        <v>1612</v>
      </c>
      <c r="BK201" t="s">
        <v>102</v>
      </c>
      <c r="BL201" t="s">
        <v>1612</v>
      </c>
      <c r="BM201" t="s">
        <v>3994</v>
      </c>
      <c r="BN201">
        <v>19919538</v>
      </c>
      <c r="BO201" t="s">
        <v>74</v>
      </c>
      <c r="BP201" t="s">
        <v>74</v>
      </c>
      <c r="BQ201" t="s">
        <v>74</v>
      </c>
      <c r="BR201" t="s">
        <v>105</v>
      </c>
      <c r="BS201" t="s">
        <v>3995</v>
      </c>
      <c r="BT201" t="str">
        <f>HYPERLINK("https%3A%2F%2Fwww.webofscience.com%2Fwos%2Fwoscc%2Ffull-record%2FWOS:000274942300004","View Full Record in Web of Science")</f>
        <v>View Full Record in Web of Science</v>
      </c>
    </row>
    <row r="202" spans="1:72" x14ac:dyDescent="0.15">
      <c r="A202" t="s">
        <v>72</v>
      </c>
      <c r="B202" t="s">
        <v>3996</v>
      </c>
      <c r="C202" t="s">
        <v>74</v>
      </c>
      <c r="D202" t="s">
        <v>74</v>
      </c>
      <c r="E202" t="s">
        <v>74</v>
      </c>
      <c r="F202" t="s">
        <v>3997</v>
      </c>
      <c r="G202" t="s">
        <v>74</v>
      </c>
      <c r="H202" t="s">
        <v>74</v>
      </c>
      <c r="I202" t="s">
        <v>3998</v>
      </c>
      <c r="J202" t="s">
        <v>3977</v>
      </c>
      <c r="K202" t="s">
        <v>74</v>
      </c>
      <c r="L202" t="s">
        <v>74</v>
      </c>
      <c r="M202" t="s">
        <v>78</v>
      </c>
      <c r="N202" t="s">
        <v>79</v>
      </c>
      <c r="O202" t="s">
        <v>74</v>
      </c>
      <c r="P202" t="s">
        <v>74</v>
      </c>
      <c r="Q202" t="s">
        <v>74</v>
      </c>
      <c r="R202" t="s">
        <v>74</v>
      </c>
      <c r="S202" t="s">
        <v>74</v>
      </c>
      <c r="T202" t="s">
        <v>74</v>
      </c>
      <c r="U202" t="s">
        <v>3999</v>
      </c>
      <c r="V202" t="s">
        <v>4000</v>
      </c>
      <c r="W202" t="s">
        <v>4001</v>
      </c>
      <c r="X202" t="s">
        <v>4002</v>
      </c>
      <c r="Y202" t="s">
        <v>4003</v>
      </c>
      <c r="Z202" t="s">
        <v>4004</v>
      </c>
      <c r="AA202" t="s">
        <v>4005</v>
      </c>
      <c r="AB202" t="s">
        <v>74</v>
      </c>
      <c r="AC202" t="s">
        <v>4006</v>
      </c>
      <c r="AD202" t="s">
        <v>4007</v>
      </c>
      <c r="AE202" t="s">
        <v>4008</v>
      </c>
      <c r="AF202" t="s">
        <v>74</v>
      </c>
      <c r="AG202">
        <v>53</v>
      </c>
      <c r="AH202">
        <v>41</v>
      </c>
      <c r="AI202">
        <v>45</v>
      </c>
      <c r="AJ202">
        <v>0</v>
      </c>
      <c r="AK202">
        <v>10</v>
      </c>
      <c r="AL202" t="s">
        <v>991</v>
      </c>
      <c r="AM202" t="s">
        <v>992</v>
      </c>
      <c r="AN202" t="s">
        <v>993</v>
      </c>
      <c r="AO202" t="s">
        <v>3989</v>
      </c>
      <c r="AP202" t="s">
        <v>3990</v>
      </c>
      <c r="AQ202" t="s">
        <v>74</v>
      </c>
      <c r="AR202" t="s">
        <v>3991</v>
      </c>
      <c r="AS202" t="s">
        <v>3992</v>
      </c>
      <c r="AT202" t="s">
        <v>3762</v>
      </c>
      <c r="AU202">
        <v>2010</v>
      </c>
      <c r="AV202">
        <v>12</v>
      </c>
      <c r="AW202">
        <v>3</v>
      </c>
      <c r="AX202" t="s">
        <v>74</v>
      </c>
      <c r="AY202" t="s">
        <v>74</v>
      </c>
      <c r="AZ202" t="s">
        <v>74</v>
      </c>
      <c r="BA202" t="s">
        <v>74</v>
      </c>
      <c r="BB202">
        <v>689</v>
      </c>
      <c r="BC202">
        <v>703</v>
      </c>
      <c r="BD202" t="s">
        <v>74</v>
      </c>
      <c r="BE202" t="s">
        <v>4009</v>
      </c>
      <c r="BF202" t="str">
        <f>HYPERLINK("http://dx.doi.org/10.1111/j.1462-2920.2009.02111.x","http://dx.doi.org/10.1111/j.1462-2920.2009.02111.x")</f>
        <v>http://dx.doi.org/10.1111/j.1462-2920.2009.02111.x</v>
      </c>
      <c r="BG202" t="s">
        <v>74</v>
      </c>
      <c r="BH202" t="s">
        <v>74</v>
      </c>
      <c r="BI202">
        <v>15</v>
      </c>
      <c r="BJ202" t="s">
        <v>1612</v>
      </c>
      <c r="BK202" t="s">
        <v>102</v>
      </c>
      <c r="BL202" t="s">
        <v>1612</v>
      </c>
      <c r="BM202" t="s">
        <v>3994</v>
      </c>
      <c r="BN202">
        <v>20002141</v>
      </c>
      <c r="BO202" t="s">
        <v>74</v>
      </c>
      <c r="BP202" t="s">
        <v>74</v>
      </c>
      <c r="BQ202" t="s">
        <v>74</v>
      </c>
      <c r="BR202" t="s">
        <v>105</v>
      </c>
      <c r="BS202" t="s">
        <v>4010</v>
      </c>
      <c r="BT202" t="str">
        <f>HYPERLINK("https%3A%2F%2Fwww.webofscience.com%2Fwos%2Fwoscc%2Ffull-record%2FWOS:000274942300013","View Full Record in Web of Science")</f>
        <v>View Full Record in Web of Science</v>
      </c>
    </row>
    <row r="203" spans="1:72" x14ac:dyDescent="0.15">
      <c r="A203" t="s">
        <v>72</v>
      </c>
      <c r="B203" t="s">
        <v>4011</v>
      </c>
      <c r="C203" t="s">
        <v>74</v>
      </c>
      <c r="D203" t="s">
        <v>74</v>
      </c>
      <c r="E203" t="s">
        <v>74</v>
      </c>
      <c r="F203" t="s">
        <v>4012</v>
      </c>
      <c r="G203" t="s">
        <v>74</v>
      </c>
      <c r="H203" t="s">
        <v>74</v>
      </c>
      <c r="I203" t="s">
        <v>4013</v>
      </c>
      <c r="J203" t="s">
        <v>4014</v>
      </c>
      <c r="K203" t="s">
        <v>74</v>
      </c>
      <c r="L203" t="s">
        <v>74</v>
      </c>
      <c r="M203" t="s">
        <v>78</v>
      </c>
      <c r="N203" t="s">
        <v>79</v>
      </c>
      <c r="O203" t="s">
        <v>74</v>
      </c>
      <c r="P203" t="s">
        <v>74</v>
      </c>
      <c r="Q203" t="s">
        <v>74</v>
      </c>
      <c r="R203" t="s">
        <v>74</v>
      </c>
      <c r="S203" t="s">
        <v>74</v>
      </c>
      <c r="T203" t="s">
        <v>4015</v>
      </c>
      <c r="U203" t="s">
        <v>4016</v>
      </c>
      <c r="V203" t="s">
        <v>4017</v>
      </c>
      <c r="W203" t="s">
        <v>4018</v>
      </c>
      <c r="X203" t="s">
        <v>4019</v>
      </c>
      <c r="Y203" t="s">
        <v>4020</v>
      </c>
      <c r="Z203" t="s">
        <v>74</v>
      </c>
      <c r="AA203" t="s">
        <v>4021</v>
      </c>
      <c r="AB203" t="s">
        <v>4022</v>
      </c>
      <c r="AC203" t="s">
        <v>4023</v>
      </c>
      <c r="AD203" t="s">
        <v>4024</v>
      </c>
      <c r="AE203" t="s">
        <v>4025</v>
      </c>
      <c r="AF203" t="s">
        <v>74</v>
      </c>
      <c r="AG203">
        <v>47</v>
      </c>
      <c r="AH203">
        <v>11</v>
      </c>
      <c r="AI203">
        <v>11</v>
      </c>
      <c r="AJ203">
        <v>0</v>
      </c>
      <c r="AK203">
        <v>12</v>
      </c>
      <c r="AL203" t="s">
        <v>2285</v>
      </c>
      <c r="AM203" t="s">
        <v>1064</v>
      </c>
      <c r="AN203" t="s">
        <v>2286</v>
      </c>
      <c r="AO203" t="s">
        <v>4026</v>
      </c>
      <c r="AP203" t="s">
        <v>4027</v>
      </c>
      <c r="AQ203" t="s">
        <v>74</v>
      </c>
      <c r="AR203" t="s">
        <v>4028</v>
      </c>
      <c r="AS203" t="s">
        <v>4029</v>
      </c>
      <c r="AT203" t="s">
        <v>3762</v>
      </c>
      <c r="AU203">
        <v>2010</v>
      </c>
      <c r="AV203">
        <v>158</v>
      </c>
      <c r="AW203">
        <v>3</v>
      </c>
      <c r="AX203" t="s">
        <v>74</v>
      </c>
      <c r="AY203" t="s">
        <v>74</v>
      </c>
      <c r="AZ203" t="s">
        <v>74</v>
      </c>
      <c r="BA203" t="s">
        <v>74</v>
      </c>
      <c r="BB203">
        <v>891</v>
      </c>
      <c r="BC203">
        <v>900</v>
      </c>
      <c r="BD203" t="s">
        <v>74</v>
      </c>
      <c r="BE203" t="s">
        <v>4030</v>
      </c>
      <c r="BF203" t="str">
        <f>HYPERLINK("http://dx.doi.org/10.1016/j.envpol.2009.09.017","http://dx.doi.org/10.1016/j.envpol.2009.09.017")</f>
        <v>http://dx.doi.org/10.1016/j.envpol.2009.09.017</v>
      </c>
      <c r="BG203" t="s">
        <v>74</v>
      </c>
      <c r="BH203" t="s">
        <v>74</v>
      </c>
      <c r="BI203">
        <v>10</v>
      </c>
      <c r="BJ203" t="s">
        <v>4031</v>
      </c>
      <c r="BK203" t="s">
        <v>102</v>
      </c>
      <c r="BL203" t="s">
        <v>1348</v>
      </c>
      <c r="BM203" t="s">
        <v>4032</v>
      </c>
      <c r="BN203">
        <v>19804926</v>
      </c>
      <c r="BO203" t="s">
        <v>74</v>
      </c>
      <c r="BP203" t="s">
        <v>74</v>
      </c>
      <c r="BQ203" t="s">
        <v>74</v>
      </c>
      <c r="BR203" t="s">
        <v>105</v>
      </c>
      <c r="BS203" t="s">
        <v>4033</v>
      </c>
      <c r="BT203" t="str">
        <f>HYPERLINK("https%3A%2F%2Fwww.webofscience.com%2Fwos%2Fwoscc%2Ffull-record%2FWOS:000275002900031","View Full Record in Web of Science")</f>
        <v>View Full Record in Web of Science</v>
      </c>
    </row>
    <row r="204" spans="1:72" x14ac:dyDescent="0.15">
      <c r="A204" t="s">
        <v>72</v>
      </c>
      <c r="B204" t="s">
        <v>4034</v>
      </c>
      <c r="C204" t="s">
        <v>74</v>
      </c>
      <c r="D204" t="s">
        <v>74</v>
      </c>
      <c r="E204" t="s">
        <v>74</v>
      </c>
      <c r="F204" t="s">
        <v>4035</v>
      </c>
      <c r="G204" t="s">
        <v>74</v>
      </c>
      <c r="H204" t="s">
        <v>74</v>
      </c>
      <c r="I204" t="s">
        <v>4036</v>
      </c>
      <c r="J204" t="s">
        <v>4037</v>
      </c>
      <c r="K204" t="s">
        <v>74</v>
      </c>
      <c r="L204" t="s">
        <v>74</v>
      </c>
      <c r="M204" t="s">
        <v>78</v>
      </c>
      <c r="N204" t="s">
        <v>79</v>
      </c>
      <c r="O204" t="s">
        <v>74</v>
      </c>
      <c r="P204" t="s">
        <v>74</v>
      </c>
      <c r="Q204" t="s">
        <v>74</v>
      </c>
      <c r="R204" t="s">
        <v>74</v>
      </c>
      <c r="S204" t="s">
        <v>74</v>
      </c>
      <c r="T204" t="s">
        <v>74</v>
      </c>
      <c r="U204" t="s">
        <v>4038</v>
      </c>
      <c r="V204" t="s">
        <v>4039</v>
      </c>
      <c r="W204" t="s">
        <v>4040</v>
      </c>
      <c r="X204" t="s">
        <v>4041</v>
      </c>
      <c r="Y204" t="s">
        <v>4042</v>
      </c>
      <c r="Z204" t="s">
        <v>74</v>
      </c>
      <c r="AA204" t="s">
        <v>4043</v>
      </c>
      <c r="AB204" t="s">
        <v>4044</v>
      </c>
      <c r="AC204" t="s">
        <v>74</v>
      </c>
      <c r="AD204" t="s">
        <v>74</v>
      </c>
      <c r="AE204" t="s">
        <v>74</v>
      </c>
      <c r="AF204" t="s">
        <v>74</v>
      </c>
      <c r="AG204">
        <v>33</v>
      </c>
      <c r="AH204">
        <v>18</v>
      </c>
      <c r="AI204">
        <v>21</v>
      </c>
      <c r="AJ204">
        <v>0</v>
      </c>
      <c r="AK204">
        <v>5</v>
      </c>
      <c r="AL204" t="s">
        <v>4045</v>
      </c>
      <c r="AM204" t="s">
        <v>4046</v>
      </c>
      <c r="AN204" t="s">
        <v>4047</v>
      </c>
      <c r="AO204" t="s">
        <v>4048</v>
      </c>
      <c r="AP204" t="s">
        <v>4049</v>
      </c>
      <c r="AQ204" t="s">
        <v>74</v>
      </c>
      <c r="AR204" t="s">
        <v>4050</v>
      </c>
      <c r="AS204" t="s">
        <v>4051</v>
      </c>
      <c r="AT204" t="s">
        <v>3762</v>
      </c>
      <c r="AU204">
        <v>2010</v>
      </c>
      <c r="AV204">
        <v>43</v>
      </c>
      <c r="AW204">
        <v>3</v>
      </c>
      <c r="AX204" t="s">
        <v>74</v>
      </c>
      <c r="AY204" t="s">
        <v>74</v>
      </c>
      <c r="AZ204" t="s">
        <v>74</v>
      </c>
      <c r="BA204" t="s">
        <v>74</v>
      </c>
      <c r="BB204">
        <v>297</v>
      </c>
      <c r="BC204">
        <v>304</v>
      </c>
      <c r="BD204" t="s">
        <v>74</v>
      </c>
      <c r="BE204" t="s">
        <v>4052</v>
      </c>
      <c r="BF204" t="str">
        <f>HYPERLINK("http://dx.doi.org/10.1134/S1064229310030075","http://dx.doi.org/10.1134/S1064229310030075")</f>
        <v>http://dx.doi.org/10.1134/S1064229310030075</v>
      </c>
      <c r="BG204" t="s">
        <v>74</v>
      </c>
      <c r="BH204" t="s">
        <v>74</v>
      </c>
      <c r="BI204">
        <v>8</v>
      </c>
      <c r="BJ204" t="s">
        <v>3017</v>
      </c>
      <c r="BK204" t="s">
        <v>102</v>
      </c>
      <c r="BL204" t="s">
        <v>3018</v>
      </c>
      <c r="BM204" t="s">
        <v>4053</v>
      </c>
      <c r="BN204" t="s">
        <v>74</v>
      </c>
      <c r="BO204" t="s">
        <v>74</v>
      </c>
      <c r="BP204" t="s">
        <v>74</v>
      </c>
      <c r="BQ204" t="s">
        <v>74</v>
      </c>
      <c r="BR204" t="s">
        <v>105</v>
      </c>
      <c r="BS204" t="s">
        <v>4054</v>
      </c>
      <c r="BT204" t="str">
        <f>HYPERLINK("https%3A%2F%2Fwww.webofscience.com%2Fwos%2Fwoscc%2Ffull-record%2FWOS:000275953800007","View Full Record in Web of Science")</f>
        <v>View Full Record in Web of Science</v>
      </c>
    </row>
    <row r="205" spans="1:72" x14ac:dyDescent="0.15">
      <c r="A205" t="s">
        <v>72</v>
      </c>
      <c r="B205" t="s">
        <v>4055</v>
      </c>
      <c r="C205" t="s">
        <v>74</v>
      </c>
      <c r="D205" t="s">
        <v>74</v>
      </c>
      <c r="E205" t="s">
        <v>74</v>
      </c>
      <c r="F205" t="s">
        <v>4056</v>
      </c>
      <c r="G205" t="s">
        <v>74</v>
      </c>
      <c r="H205" t="s">
        <v>74</v>
      </c>
      <c r="I205" t="s">
        <v>4057</v>
      </c>
      <c r="J205" t="s">
        <v>4058</v>
      </c>
      <c r="K205" t="s">
        <v>74</v>
      </c>
      <c r="L205" t="s">
        <v>74</v>
      </c>
      <c r="M205" t="s">
        <v>78</v>
      </c>
      <c r="N205" t="s">
        <v>79</v>
      </c>
      <c r="O205" t="s">
        <v>74</v>
      </c>
      <c r="P205" t="s">
        <v>74</v>
      </c>
      <c r="Q205" t="s">
        <v>74</v>
      </c>
      <c r="R205" t="s">
        <v>74</v>
      </c>
      <c r="S205" t="s">
        <v>74</v>
      </c>
      <c r="T205" t="s">
        <v>4059</v>
      </c>
      <c r="U205" t="s">
        <v>4060</v>
      </c>
      <c r="V205" t="s">
        <v>4061</v>
      </c>
      <c r="W205" t="s">
        <v>4062</v>
      </c>
      <c r="X205" t="s">
        <v>656</v>
      </c>
      <c r="Y205" t="s">
        <v>4063</v>
      </c>
      <c r="Z205" t="s">
        <v>4064</v>
      </c>
      <c r="AA205" t="s">
        <v>4065</v>
      </c>
      <c r="AB205" t="s">
        <v>4066</v>
      </c>
      <c r="AC205" t="s">
        <v>4067</v>
      </c>
      <c r="AD205" t="s">
        <v>4068</v>
      </c>
      <c r="AE205" t="s">
        <v>4069</v>
      </c>
      <c r="AF205" t="s">
        <v>74</v>
      </c>
      <c r="AG205">
        <v>110</v>
      </c>
      <c r="AH205">
        <v>53</v>
      </c>
      <c r="AI205">
        <v>58</v>
      </c>
      <c r="AJ205">
        <v>0</v>
      </c>
      <c r="AK205">
        <v>57</v>
      </c>
      <c r="AL205" t="s">
        <v>4070</v>
      </c>
      <c r="AM205" t="s">
        <v>4071</v>
      </c>
      <c r="AN205" t="s">
        <v>4072</v>
      </c>
      <c r="AO205" t="s">
        <v>4073</v>
      </c>
      <c r="AP205" t="s">
        <v>4074</v>
      </c>
      <c r="AQ205" t="s">
        <v>74</v>
      </c>
      <c r="AR205" t="s">
        <v>4058</v>
      </c>
      <c r="AS205" t="s">
        <v>4075</v>
      </c>
      <c r="AT205" t="s">
        <v>3762</v>
      </c>
      <c r="AU205">
        <v>2010</v>
      </c>
      <c r="AV205">
        <v>14</v>
      </c>
      <c r="AW205">
        <v>2</v>
      </c>
      <c r="AX205" t="s">
        <v>74</v>
      </c>
      <c r="AY205" t="s">
        <v>74</v>
      </c>
      <c r="AZ205" t="s">
        <v>74</v>
      </c>
      <c r="BA205" t="s">
        <v>74</v>
      </c>
      <c r="BB205">
        <v>145</v>
      </c>
      <c r="BC205">
        <v>159</v>
      </c>
      <c r="BD205" t="s">
        <v>74</v>
      </c>
      <c r="BE205" t="s">
        <v>4076</v>
      </c>
      <c r="BF205" t="str">
        <f>HYPERLINK("http://dx.doi.org/10.1007/s00792-009-0293-8","http://dx.doi.org/10.1007/s00792-009-0293-8")</f>
        <v>http://dx.doi.org/10.1007/s00792-009-0293-8</v>
      </c>
      <c r="BG205" t="s">
        <v>74</v>
      </c>
      <c r="BH205" t="s">
        <v>74</v>
      </c>
      <c r="BI205">
        <v>15</v>
      </c>
      <c r="BJ205" t="s">
        <v>2398</v>
      </c>
      <c r="BK205" t="s">
        <v>102</v>
      </c>
      <c r="BL205" t="s">
        <v>2398</v>
      </c>
      <c r="BM205" t="s">
        <v>4077</v>
      </c>
      <c r="BN205">
        <v>20091326</v>
      </c>
      <c r="BO205" t="s">
        <v>74</v>
      </c>
      <c r="BP205" t="s">
        <v>74</v>
      </c>
      <c r="BQ205" t="s">
        <v>74</v>
      </c>
      <c r="BR205" t="s">
        <v>105</v>
      </c>
      <c r="BS205" t="s">
        <v>4078</v>
      </c>
      <c r="BT205" t="str">
        <f>HYPERLINK("https%3A%2F%2Fwww.webofscience.com%2Fwos%2Fwoscc%2Ffull-record%2FWOS:000275414800001","View Full Record in Web of Science")</f>
        <v>View Full Record in Web of Science</v>
      </c>
    </row>
    <row r="206" spans="1:72" x14ac:dyDescent="0.15">
      <c r="A206" t="s">
        <v>72</v>
      </c>
      <c r="B206" t="s">
        <v>4079</v>
      </c>
      <c r="C206" t="s">
        <v>74</v>
      </c>
      <c r="D206" t="s">
        <v>74</v>
      </c>
      <c r="E206" t="s">
        <v>74</v>
      </c>
      <c r="F206" t="s">
        <v>4080</v>
      </c>
      <c r="G206" t="s">
        <v>74</v>
      </c>
      <c r="H206" t="s">
        <v>74</v>
      </c>
      <c r="I206" t="s">
        <v>4081</v>
      </c>
      <c r="J206" t="s">
        <v>4058</v>
      </c>
      <c r="K206" t="s">
        <v>74</v>
      </c>
      <c r="L206" t="s">
        <v>74</v>
      </c>
      <c r="M206" t="s">
        <v>78</v>
      </c>
      <c r="N206" t="s">
        <v>79</v>
      </c>
      <c r="O206" t="s">
        <v>74</v>
      </c>
      <c r="P206" t="s">
        <v>74</v>
      </c>
      <c r="Q206" t="s">
        <v>74</v>
      </c>
      <c r="R206" t="s">
        <v>74</v>
      </c>
      <c r="S206" t="s">
        <v>74</v>
      </c>
      <c r="T206" t="s">
        <v>4082</v>
      </c>
      <c r="U206" t="s">
        <v>4083</v>
      </c>
      <c r="V206" t="s">
        <v>4084</v>
      </c>
      <c r="W206" t="s">
        <v>4085</v>
      </c>
      <c r="X206" t="s">
        <v>3815</v>
      </c>
      <c r="Y206" t="s">
        <v>4086</v>
      </c>
      <c r="Z206" t="s">
        <v>3817</v>
      </c>
      <c r="AA206" t="s">
        <v>4087</v>
      </c>
      <c r="AB206" t="s">
        <v>4088</v>
      </c>
      <c r="AC206" t="s">
        <v>4089</v>
      </c>
      <c r="AD206" t="s">
        <v>4090</v>
      </c>
      <c r="AE206" t="s">
        <v>4091</v>
      </c>
      <c r="AF206" t="s">
        <v>74</v>
      </c>
      <c r="AG206">
        <v>50</v>
      </c>
      <c r="AH206">
        <v>15</v>
      </c>
      <c r="AI206">
        <v>19</v>
      </c>
      <c r="AJ206">
        <v>1</v>
      </c>
      <c r="AK206">
        <v>11</v>
      </c>
      <c r="AL206" t="s">
        <v>4070</v>
      </c>
      <c r="AM206" t="s">
        <v>4071</v>
      </c>
      <c r="AN206" t="s">
        <v>4072</v>
      </c>
      <c r="AO206" t="s">
        <v>4073</v>
      </c>
      <c r="AP206" t="s">
        <v>4074</v>
      </c>
      <c r="AQ206" t="s">
        <v>74</v>
      </c>
      <c r="AR206" t="s">
        <v>4058</v>
      </c>
      <c r="AS206" t="s">
        <v>4075</v>
      </c>
      <c r="AT206" t="s">
        <v>3762</v>
      </c>
      <c r="AU206">
        <v>2010</v>
      </c>
      <c r="AV206">
        <v>14</v>
      </c>
      <c r="AW206">
        <v>2</v>
      </c>
      <c r="AX206" t="s">
        <v>74</v>
      </c>
      <c r="AY206" t="s">
        <v>74</v>
      </c>
      <c r="AZ206" t="s">
        <v>74</v>
      </c>
      <c r="BA206" t="s">
        <v>74</v>
      </c>
      <c r="BB206">
        <v>171</v>
      </c>
      <c r="BC206">
        <v>183</v>
      </c>
      <c r="BD206" t="s">
        <v>74</v>
      </c>
      <c r="BE206" t="s">
        <v>4092</v>
      </c>
      <c r="BF206" t="str">
        <f>HYPERLINK("http://dx.doi.org/10.1007/s00792-009-0296-5","http://dx.doi.org/10.1007/s00792-009-0296-5")</f>
        <v>http://dx.doi.org/10.1007/s00792-009-0296-5</v>
      </c>
      <c r="BG206" t="s">
        <v>74</v>
      </c>
      <c r="BH206" t="s">
        <v>74</v>
      </c>
      <c r="BI206">
        <v>13</v>
      </c>
      <c r="BJ206" t="s">
        <v>2398</v>
      </c>
      <c r="BK206" t="s">
        <v>102</v>
      </c>
      <c r="BL206" t="s">
        <v>2398</v>
      </c>
      <c r="BM206" t="s">
        <v>4077</v>
      </c>
      <c r="BN206">
        <v>20091073</v>
      </c>
      <c r="BO206" t="s">
        <v>74</v>
      </c>
      <c r="BP206" t="s">
        <v>74</v>
      </c>
      <c r="BQ206" t="s">
        <v>74</v>
      </c>
      <c r="BR206" t="s">
        <v>105</v>
      </c>
      <c r="BS206" t="s">
        <v>4093</v>
      </c>
      <c r="BT206" t="str">
        <f>HYPERLINK("https%3A%2F%2Fwww.webofscience.com%2Fwos%2Fwoscc%2Ffull-record%2FWOS:000275414800003","View Full Record in Web of Science")</f>
        <v>View Full Record in Web of Science</v>
      </c>
    </row>
    <row r="207" spans="1:72" x14ac:dyDescent="0.15">
      <c r="A207" t="s">
        <v>72</v>
      </c>
      <c r="B207" t="s">
        <v>4094</v>
      </c>
      <c r="C207" t="s">
        <v>74</v>
      </c>
      <c r="D207" t="s">
        <v>74</v>
      </c>
      <c r="E207" t="s">
        <v>74</v>
      </c>
      <c r="F207" t="s">
        <v>4095</v>
      </c>
      <c r="G207" t="s">
        <v>74</v>
      </c>
      <c r="H207" t="s">
        <v>74</v>
      </c>
      <c r="I207" t="s">
        <v>4096</v>
      </c>
      <c r="J207" t="s">
        <v>4097</v>
      </c>
      <c r="K207" t="s">
        <v>74</v>
      </c>
      <c r="L207" t="s">
        <v>74</v>
      </c>
      <c r="M207" t="s">
        <v>78</v>
      </c>
      <c r="N207" t="s">
        <v>79</v>
      </c>
      <c r="O207" t="s">
        <v>74</v>
      </c>
      <c r="P207" t="s">
        <v>74</v>
      </c>
      <c r="Q207" t="s">
        <v>74</v>
      </c>
      <c r="R207" t="s">
        <v>74</v>
      </c>
      <c r="S207" t="s">
        <v>74</v>
      </c>
      <c r="T207" t="s">
        <v>4098</v>
      </c>
      <c r="U207" t="s">
        <v>4099</v>
      </c>
      <c r="V207" t="s">
        <v>4100</v>
      </c>
      <c r="W207" t="s">
        <v>4101</v>
      </c>
      <c r="X207" t="s">
        <v>4102</v>
      </c>
      <c r="Y207" t="s">
        <v>4103</v>
      </c>
      <c r="Z207" t="s">
        <v>74</v>
      </c>
      <c r="AA207" t="s">
        <v>74</v>
      </c>
      <c r="AB207" t="s">
        <v>74</v>
      </c>
      <c r="AC207" t="s">
        <v>4104</v>
      </c>
      <c r="AD207" t="s">
        <v>4105</v>
      </c>
      <c r="AE207" t="s">
        <v>4106</v>
      </c>
      <c r="AF207" t="s">
        <v>74</v>
      </c>
      <c r="AG207">
        <v>80</v>
      </c>
      <c r="AH207">
        <v>26</v>
      </c>
      <c r="AI207">
        <v>26</v>
      </c>
      <c r="AJ207">
        <v>0</v>
      </c>
      <c r="AK207">
        <v>3</v>
      </c>
      <c r="AL207" t="s">
        <v>587</v>
      </c>
      <c r="AM207" t="s">
        <v>225</v>
      </c>
      <c r="AN207" t="s">
        <v>588</v>
      </c>
      <c r="AO207" t="s">
        <v>4107</v>
      </c>
      <c r="AP207" t="s">
        <v>74</v>
      </c>
      <c r="AQ207" t="s">
        <v>74</v>
      </c>
      <c r="AR207" t="s">
        <v>4108</v>
      </c>
      <c r="AS207" t="s">
        <v>4109</v>
      </c>
      <c r="AT207" t="s">
        <v>3762</v>
      </c>
      <c r="AU207">
        <v>2010</v>
      </c>
      <c r="AV207">
        <v>147</v>
      </c>
      <c r="AW207">
        <v>2</v>
      </c>
      <c r="AX207" t="s">
        <v>74</v>
      </c>
      <c r="AY207" t="s">
        <v>74</v>
      </c>
      <c r="AZ207" t="s">
        <v>74</v>
      </c>
      <c r="BA207" t="s">
        <v>74</v>
      </c>
      <c r="BB207">
        <v>193</v>
      </c>
      <c r="BC207">
        <v>205</v>
      </c>
      <c r="BD207" t="s">
        <v>74</v>
      </c>
      <c r="BE207" t="s">
        <v>4110</v>
      </c>
      <c r="BF207" t="str">
        <f>HYPERLINK("http://dx.doi.org/10.1017/S0016756809990355","http://dx.doi.org/10.1017/S0016756809990355")</f>
        <v>http://dx.doi.org/10.1017/S0016756809990355</v>
      </c>
      <c r="BG207" t="s">
        <v>74</v>
      </c>
      <c r="BH207" t="s">
        <v>74</v>
      </c>
      <c r="BI207">
        <v>13</v>
      </c>
      <c r="BJ207" t="s">
        <v>913</v>
      </c>
      <c r="BK207" t="s">
        <v>102</v>
      </c>
      <c r="BL207" t="s">
        <v>914</v>
      </c>
      <c r="BM207" t="s">
        <v>4111</v>
      </c>
      <c r="BN207" t="s">
        <v>74</v>
      </c>
      <c r="BO207" t="s">
        <v>74</v>
      </c>
      <c r="BP207" t="s">
        <v>74</v>
      </c>
      <c r="BQ207" t="s">
        <v>74</v>
      </c>
      <c r="BR207" t="s">
        <v>105</v>
      </c>
      <c r="BS207" t="s">
        <v>4112</v>
      </c>
      <c r="BT207" t="str">
        <f>HYPERLINK("https%3A%2F%2Fwww.webofscience.com%2Fwos%2Fwoscc%2Ffull-record%2FWOS:000275012100004","View Full Record in Web of Science")</f>
        <v>View Full Record in Web of Science</v>
      </c>
    </row>
    <row r="208" spans="1:72" x14ac:dyDescent="0.15">
      <c r="A208" t="s">
        <v>72</v>
      </c>
      <c r="B208" t="s">
        <v>4113</v>
      </c>
      <c r="C208" t="s">
        <v>74</v>
      </c>
      <c r="D208" t="s">
        <v>74</v>
      </c>
      <c r="E208" t="s">
        <v>74</v>
      </c>
      <c r="F208" t="s">
        <v>4114</v>
      </c>
      <c r="G208" t="s">
        <v>74</v>
      </c>
      <c r="H208" t="s">
        <v>74</v>
      </c>
      <c r="I208" t="s">
        <v>4115</v>
      </c>
      <c r="J208" t="s">
        <v>1473</v>
      </c>
      <c r="K208" t="s">
        <v>74</v>
      </c>
      <c r="L208" t="s">
        <v>74</v>
      </c>
      <c r="M208" t="s">
        <v>78</v>
      </c>
      <c r="N208" t="s">
        <v>79</v>
      </c>
      <c r="O208" t="s">
        <v>74</v>
      </c>
      <c r="P208" t="s">
        <v>74</v>
      </c>
      <c r="Q208" t="s">
        <v>74</v>
      </c>
      <c r="R208" t="s">
        <v>74</v>
      </c>
      <c r="S208" t="s">
        <v>74</v>
      </c>
      <c r="T208" t="s">
        <v>74</v>
      </c>
      <c r="U208" t="s">
        <v>4116</v>
      </c>
      <c r="V208" t="s">
        <v>4117</v>
      </c>
      <c r="W208" t="s">
        <v>4118</v>
      </c>
      <c r="X208" t="s">
        <v>4119</v>
      </c>
      <c r="Y208" t="s">
        <v>4120</v>
      </c>
      <c r="Z208" t="s">
        <v>4121</v>
      </c>
      <c r="AA208" t="s">
        <v>4122</v>
      </c>
      <c r="AB208" t="s">
        <v>4123</v>
      </c>
      <c r="AC208" t="s">
        <v>4124</v>
      </c>
      <c r="AD208" t="s">
        <v>4124</v>
      </c>
      <c r="AE208" t="s">
        <v>4125</v>
      </c>
      <c r="AF208" t="s">
        <v>74</v>
      </c>
      <c r="AG208">
        <v>28</v>
      </c>
      <c r="AH208">
        <v>135</v>
      </c>
      <c r="AI208">
        <v>141</v>
      </c>
      <c r="AJ208">
        <v>3</v>
      </c>
      <c r="AK208">
        <v>34</v>
      </c>
      <c r="AL208" t="s">
        <v>1485</v>
      </c>
      <c r="AM208" t="s">
        <v>1486</v>
      </c>
      <c r="AN208" t="s">
        <v>1487</v>
      </c>
      <c r="AO208" t="s">
        <v>1488</v>
      </c>
      <c r="AP208" t="s">
        <v>74</v>
      </c>
      <c r="AQ208" t="s">
        <v>74</v>
      </c>
      <c r="AR208" t="s">
        <v>1473</v>
      </c>
      <c r="AS208" t="s">
        <v>914</v>
      </c>
      <c r="AT208" t="s">
        <v>3762</v>
      </c>
      <c r="AU208">
        <v>2010</v>
      </c>
      <c r="AV208">
        <v>38</v>
      </c>
      <c r="AW208">
        <v>3</v>
      </c>
      <c r="AX208" t="s">
        <v>74</v>
      </c>
      <c r="AY208" t="s">
        <v>74</v>
      </c>
      <c r="AZ208" t="s">
        <v>74</v>
      </c>
      <c r="BA208" t="s">
        <v>74</v>
      </c>
      <c r="BB208">
        <v>275</v>
      </c>
      <c r="BC208">
        <v>278</v>
      </c>
      <c r="BD208" t="s">
        <v>74</v>
      </c>
      <c r="BE208" t="s">
        <v>4126</v>
      </c>
      <c r="BF208" t="str">
        <f>HYPERLINK("http://dx.doi.org/10.1130/G30439.1","http://dx.doi.org/10.1130/G30439.1")</f>
        <v>http://dx.doi.org/10.1130/G30439.1</v>
      </c>
      <c r="BG208" t="s">
        <v>74</v>
      </c>
      <c r="BH208" t="s">
        <v>74</v>
      </c>
      <c r="BI208">
        <v>4</v>
      </c>
      <c r="BJ208" t="s">
        <v>914</v>
      </c>
      <c r="BK208" t="s">
        <v>102</v>
      </c>
      <c r="BL208" t="s">
        <v>914</v>
      </c>
      <c r="BM208" t="s">
        <v>4127</v>
      </c>
      <c r="BN208" t="s">
        <v>74</v>
      </c>
      <c r="BO208" t="s">
        <v>74</v>
      </c>
      <c r="BP208" t="s">
        <v>74</v>
      </c>
      <c r="BQ208" t="s">
        <v>74</v>
      </c>
      <c r="BR208" t="s">
        <v>105</v>
      </c>
      <c r="BS208" t="s">
        <v>4128</v>
      </c>
      <c r="BT208" t="str">
        <f>HYPERLINK("https%3A%2F%2Fwww.webofscience.com%2Fwos%2Fwoscc%2Ffull-record%2FWOS:000275071400021","View Full Record in Web of Science")</f>
        <v>View Full Record in Web of Science</v>
      </c>
    </row>
    <row r="209" spans="1:72" x14ac:dyDescent="0.15">
      <c r="A209" t="s">
        <v>72</v>
      </c>
      <c r="B209" t="s">
        <v>4129</v>
      </c>
      <c r="C209" t="s">
        <v>74</v>
      </c>
      <c r="D209" t="s">
        <v>74</v>
      </c>
      <c r="E209" t="s">
        <v>74</v>
      </c>
      <c r="F209" t="s">
        <v>4130</v>
      </c>
      <c r="G209" t="s">
        <v>74</v>
      </c>
      <c r="H209" t="s">
        <v>74</v>
      </c>
      <c r="I209" t="s">
        <v>4131</v>
      </c>
      <c r="J209" t="s">
        <v>1496</v>
      </c>
      <c r="K209" t="s">
        <v>74</v>
      </c>
      <c r="L209" t="s">
        <v>74</v>
      </c>
      <c r="M209" t="s">
        <v>78</v>
      </c>
      <c r="N209" t="s">
        <v>79</v>
      </c>
      <c r="O209" t="s">
        <v>74</v>
      </c>
      <c r="P209" t="s">
        <v>74</v>
      </c>
      <c r="Q209" t="s">
        <v>74</v>
      </c>
      <c r="R209" t="s">
        <v>74</v>
      </c>
      <c r="S209" t="s">
        <v>74</v>
      </c>
      <c r="T209" t="s">
        <v>4132</v>
      </c>
      <c r="U209" t="s">
        <v>4133</v>
      </c>
      <c r="V209" t="s">
        <v>4134</v>
      </c>
      <c r="W209" t="s">
        <v>4135</v>
      </c>
      <c r="X209" t="s">
        <v>4136</v>
      </c>
      <c r="Y209" t="s">
        <v>4137</v>
      </c>
      <c r="Z209" t="s">
        <v>4138</v>
      </c>
      <c r="AA209" t="s">
        <v>4139</v>
      </c>
      <c r="AB209" t="s">
        <v>4140</v>
      </c>
      <c r="AC209" t="s">
        <v>4141</v>
      </c>
      <c r="AD209" t="s">
        <v>989</v>
      </c>
      <c r="AE209" t="s">
        <v>4142</v>
      </c>
      <c r="AF209" t="s">
        <v>74</v>
      </c>
      <c r="AG209">
        <v>62</v>
      </c>
      <c r="AH209">
        <v>25</v>
      </c>
      <c r="AI209">
        <v>26</v>
      </c>
      <c r="AJ209">
        <v>1</v>
      </c>
      <c r="AK209">
        <v>8</v>
      </c>
      <c r="AL209" t="s">
        <v>1508</v>
      </c>
      <c r="AM209" t="s">
        <v>1064</v>
      </c>
      <c r="AN209" t="s">
        <v>1509</v>
      </c>
      <c r="AO209" t="s">
        <v>1510</v>
      </c>
      <c r="AP209" t="s">
        <v>1511</v>
      </c>
      <c r="AQ209" t="s">
        <v>74</v>
      </c>
      <c r="AR209" t="s">
        <v>1512</v>
      </c>
      <c r="AS209" t="s">
        <v>1513</v>
      </c>
      <c r="AT209" t="s">
        <v>3762</v>
      </c>
      <c r="AU209">
        <v>2010</v>
      </c>
      <c r="AV209">
        <v>180</v>
      </c>
      <c r="AW209">
        <v>3</v>
      </c>
      <c r="AX209" t="s">
        <v>74</v>
      </c>
      <c r="AY209" t="s">
        <v>74</v>
      </c>
      <c r="AZ209" t="s">
        <v>74</v>
      </c>
      <c r="BA209" t="s">
        <v>74</v>
      </c>
      <c r="BB209">
        <v>1329</v>
      </c>
      <c r="BC209">
        <v>1343</v>
      </c>
      <c r="BD209" t="s">
        <v>74</v>
      </c>
      <c r="BE209" t="s">
        <v>4143</v>
      </c>
      <c r="BF209" t="str">
        <f>HYPERLINK("http://dx.doi.org/10.1111/j.1365-246X.2010.04488.x","http://dx.doi.org/10.1111/j.1365-246X.2010.04488.x")</f>
        <v>http://dx.doi.org/10.1111/j.1365-246X.2010.04488.x</v>
      </c>
      <c r="BG209" t="s">
        <v>74</v>
      </c>
      <c r="BH209" t="s">
        <v>74</v>
      </c>
      <c r="BI209">
        <v>15</v>
      </c>
      <c r="BJ209" t="s">
        <v>507</v>
      </c>
      <c r="BK209" t="s">
        <v>102</v>
      </c>
      <c r="BL209" t="s">
        <v>507</v>
      </c>
      <c r="BM209" t="s">
        <v>4144</v>
      </c>
      <c r="BN209" t="s">
        <v>74</v>
      </c>
      <c r="BO209" t="s">
        <v>104</v>
      </c>
      <c r="BP209" t="s">
        <v>74</v>
      </c>
      <c r="BQ209" t="s">
        <v>74</v>
      </c>
      <c r="BR209" t="s">
        <v>105</v>
      </c>
      <c r="BS209" t="s">
        <v>4145</v>
      </c>
      <c r="BT209" t="str">
        <f>HYPERLINK("https%3A%2F%2Fwww.webofscience.com%2Fwos%2Fwoscc%2Ffull-record%2FWOS:000274712100029","View Full Record in Web of Science")</f>
        <v>View Full Record in Web of Science</v>
      </c>
    </row>
    <row r="210" spans="1:72" x14ac:dyDescent="0.15">
      <c r="A210" t="s">
        <v>72</v>
      </c>
      <c r="B210" t="s">
        <v>4146</v>
      </c>
      <c r="C210" t="s">
        <v>74</v>
      </c>
      <c r="D210" t="s">
        <v>74</v>
      </c>
      <c r="E210" t="s">
        <v>74</v>
      </c>
      <c r="F210" t="s">
        <v>4147</v>
      </c>
      <c r="G210" t="s">
        <v>74</v>
      </c>
      <c r="H210" t="s">
        <v>74</v>
      </c>
      <c r="I210" t="s">
        <v>4148</v>
      </c>
      <c r="J210" t="s">
        <v>4149</v>
      </c>
      <c r="K210" t="s">
        <v>74</v>
      </c>
      <c r="L210" t="s">
        <v>74</v>
      </c>
      <c r="M210" t="s">
        <v>78</v>
      </c>
      <c r="N210" t="s">
        <v>79</v>
      </c>
      <c r="O210" t="s">
        <v>74</v>
      </c>
      <c r="P210" t="s">
        <v>74</v>
      </c>
      <c r="Q210" t="s">
        <v>74</v>
      </c>
      <c r="R210" t="s">
        <v>74</v>
      </c>
      <c r="S210" t="s">
        <v>74</v>
      </c>
      <c r="T210" t="s">
        <v>4150</v>
      </c>
      <c r="U210" t="s">
        <v>4151</v>
      </c>
      <c r="V210" t="s">
        <v>4152</v>
      </c>
      <c r="W210" t="s">
        <v>4153</v>
      </c>
      <c r="X210" t="s">
        <v>4154</v>
      </c>
      <c r="Y210" t="s">
        <v>4155</v>
      </c>
      <c r="Z210" t="s">
        <v>4156</v>
      </c>
      <c r="AA210" t="s">
        <v>74</v>
      </c>
      <c r="AB210" t="s">
        <v>4157</v>
      </c>
      <c r="AC210" t="s">
        <v>4158</v>
      </c>
      <c r="AD210" t="s">
        <v>4159</v>
      </c>
      <c r="AE210" t="s">
        <v>4160</v>
      </c>
      <c r="AF210" t="s">
        <v>74</v>
      </c>
      <c r="AG210">
        <v>219</v>
      </c>
      <c r="AH210">
        <v>103</v>
      </c>
      <c r="AI210">
        <v>123</v>
      </c>
      <c r="AJ210">
        <v>1</v>
      </c>
      <c r="AK210">
        <v>32</v>
      </c>
      <c r="AL210" t="s">
        <v>2417</v>
      </c>
      <c r="AM210" t="s">
        <v>2418</v>
      </c>
      <c r="AN210" t="s">
        <v>2419</v>
      </c>
      <c r="AO210" t="s">
        <v>4161</v>
      </c>
      <c r="AP210" t="s">
        <v>4162</v>
      </c>
      <c r="AQ210" t="s">
        <v>74</v>
      </c>
      <c r="AR210" t="s">
        <v>4149</v>
      </c>
      <c r="AS210" t="s">
        <v>4163</v>
      </c>
      <c r="AT210" t="s">
        <v>3762</v>
      </c>
      <c r="AU210">
        <v>2010</v>
      </c>
      <c r="AV210">
        <v>206</v>
      </c>
      <c r="AW210">
        <v>1</v>
      </c>
      <c r="AX210" t="s">
        <v>74</v>
      </c>
      <c r="AY210" t="s">
        <v>74</v>
      </c>
      <c r="AZ210" t="s">
        <v>74</v>
      </c>
      <c r="BA210" t="s">
        <v>74</v>
      </c>
      <c r="BB210">
        <v>229</v>
      </c>
      <c r="BC210">
        <v>252</v>
      </c>
      <c r="BD210" t="s">
        <v>74</v>
      </c>
      <c r="BE210" t="s">
        <v>4164</v>
      </c>
      <c r="BF210" t="str">
        <f>HYPERLINK("http://dx.doi.org/10.1016/j.icarus.2009.09.005","http://dx.doi.org/10.1016/j.icarus.2009.09.005")</f>
        <v>http://dx.doi.org/10.1016/j.icarus.2009.09.005</v>
      </c>
      <c r="BG210" t="s">
        <v>74</v>
      </c>
      <c r="BH210" t="s">
        <v>74</v>
      </c>
      <c r="BI210">
        <v>24</v>
      </c>
      <c r="BJ210" t="s">
        <v>478</v>
      </c>
      <c r="BK210" t="s">
        <v>102</v>
      </c>
      <c r="BL210" t="s">
        <v>478</v>
      </c>
      <c r="BM210" t="s">
        <v>4165</v>
      </c>
      <c r="BN210" t="s">
        <v>74</v>
      </c>
      <c r="BO210" t="s">
        <v>74</v>
      </c>
      <c r="BP210" t="s">
        <v>74</v>
      </c>
      <c r="BQ210" t="s">
        <v>74</v>
      </c>
      <c r="BR210" t="s">
        <v>105</v>
      </c>
      <c r="BS210" t="s">
        <v>4166</v>
      </c>
      <c r="BT210" t="str">
        <f>HYPERLINK("https%3A%2F%2Fwww.webofscience.com%2Fwos%2Fwoscc%2Ffull-record%2FWOS:000274884300023","View Full Record in Web of Science")</f>
        <v>View Full Record in Web of Science</v>
      </c>
    </row>
    <row r="211" spans="1:72" x14ac:dyDescent="0.15">
      <c r="A211" t="s">
        <v>72</v>
      </c>
      <c r="B211" t="s">
        <v>4167</v>
      </c>
      <c r="C211" t="s">
        <v>74</v>
      </c>
      <c r="D211" t="s">
        <v>74</v>
      </c>
      <c r="E211" t="s">
        <v>74</v>
      </c>
      <c r="F211" t="s">
        <v>4168</v>
      </c>
      <c r="G211" t="s">
        <v>74</v>
      </c>
      <c r="H211" t="s">
        <v>74</v>
      </c>
      <c r="I211" t="s">
        <v>4169</v>
      </c>
      <c r="J211" t="s">
        <v>4170</v>
      </c>
      <c r="K211" t="s">
        <v>74</v>
      </c>
      <c r="L211" t="s">
        <v>74</v>
      </c>
      <c r="M211" t="s">
        <v>78</v>
      </c>
      <c r="N211" t="s">
        <v>79</v>
      </c>
      <c r="O211" t="s">
        <v>74</v>
      </c>
      <c r="P211" t="s">
        <v>74</v>
      </c>
      <c r="Q211" t="s">
        <v>74</v>
      </c>
      <c r="R211" t="s">
        <v>74</v>
      </c>
      <c r="S211" t="s">
        <v>74</v>
      </c>
      <c r="T211" t="s">
        <v>4171</v>
      </c>
      <c r="U211" t="s">
        <v>4172</v>
      </c>
      <c r="V211" t="s">
        <v>4173</v>
      </c>
      <c r="W211" t="s">
        <v>4174</v>
      </c>
      <c r="X211" t="s">
        <v>4175</v>
      </c>
      <c r="Y211" t="s">
        <v>4176</v>
      </c>
      <c r="Z211" t="s">
        <v>4177</v>
      </c>
      <c r="AA211" t="s">
        <v>4178</v>
      </c>
      <c r="AB211" t="s">
        <v>4179</v>
      </c>
      <c r="AC211" t="s">
        <v>74</v>
      </c>
      <c r="AD211" t="s">
        <v>74</v>
      </c>
      <c r="AE211" t="s">
        <v>74</v>
      </c>
      <c r="AF211" t="s">
        <v>74</v>
      </c>
      <c r="AG211">
        <v>32</v>
      </c>
      <c r="AH211">
        <v>22</v>
      </c>
      <c r="AI211">
        <v>23</v>
      </c>
      <c r="AJ211">
        <v>0</v>
      </c>
      <c r="AK211">
        <v>7</v>
      </c>
      <c r="AL211" t="s">
        <v>1578</v>
      </c>
      <c r="AM211" t="s">
        <v>1579</v>
      </c>
      <c r="AN211" t="s">
        <v>1580</v>
      </c>
      <c r="AO211" t="s">
        <v>4180</v>
      </c>
      <c r="AP211" t="s">
        <v>4181</v>
      </c>
      <c r="AQ211" t="s">
        <v>74</v>
      </c>
      <c r="AR211" t="s">
        <v>4182</v>
      </c>
      <c r="AS211" t="s">
        <v>4183</v>
      </c>
      <c r="AT211" t="s">
        <v>3762</v>
      </c>
      <c r="AU211">
        <v>2010</v>
      </c>
      <c r="AV211">
        <v>48</v>
      </c>
      <c r="AW211">
        <v>3</v>
      </c>
      <c r="AX211">
        <v>1</v>
      </c>
      <c r="AY211" t="s">
        <v>74</v>
      </c>
      <c r="AZ211" t="s">
        <v>74</v>
      </c>
      <c r="BA211" t="s">
        <v>74</v>
      </c>
      <c r="BB211">
        <v>1059</v>
      </c>
      <c r="BC211">
        <v>1075</v>
      </c>
      <c r="BD211" t="s">
        <v>74</v>
      </c>
      <c r="BE211" t="s">
        <v>4184</v>
      </c>
      <c r="BF211" t="str">
        <f>HYPERLINK("http://dx.doi.org/10.1109/TGRS.2009.2032295","http://dx.doi.org/10.1109/TGRS.2009.2032295")</f>
        <v>http://dx.doi.org/10.1109/TGRS.2009.2032295</v>
      </c>
      <c r="BG211" t="s">
        <v>74</v>
      </c>
      <c r="BH211" t="s">
        <v>74</v>
      </c>
      <c r="BI211">
        <v>17</v>
      </c>
      <c r="BJ211" t="s">
        <v>1585</v>
      </c>
      <c r="BK211" t="s">
        <v>102</v>
      </c>
      <c r="BL211" t="s">
        <v>1586</v>
      </c>
      <c r="BM211" t="s">
        <v>4185</v>
      </c>
      <c r="BN211" t="s">
        <v>74</v>
      </c>
      <c r="BO211" t="s">
        <v>74</v>
      </c>
      <c r="BP211" t="s">
        <v>74</v>
      </c>
      <c r="BQ211" t="s">
        <v>74</v>
      </c>
      <c r="BR211" t="s">
        <v>105</v>
      </c>
      <c r="BS211" t="s">
        <v>4186</v>
      </c>
      <c r="BT211" t="str">
        <f>HYPERLINK("https%3A%2F%2Fwww.webofscience.com%2Fwos%2Fwoscc%2Ffull-record%2FWOS:000274794600007","View Full Record in Web of Science")</f>
        <v>View Full Record in Web of Science</v>
      </c>
    </row>
    <row r="212" spans="1:72" x14ac:dyDescent="0.15">
      <c r="A212" t="s">
        <v>72</v>
      </c>
      <c r="B212" t="s">
        <v>4187</v>
      </c>
      <c r="C212" t="s">
        <v>74</v>
      </c>
      <c r="D212" t="s">
        <v>74</v>
      </c>
      <c r="E212" t="s">
        <v>74</v>
      </c>
      <c r="F212" t="s">
        <v>4188</v>
      </c>
      <c r="G212" t="s">
        <v>74</v>
      </c>
      <c r="H212" t="s">
        <v>74</v>
      </c>
      <c r="I212" t="s">
        <v>4189</v>
      </c>
      <c r="J212" t="s">
        <v>4190</v>
      </c>
      <c r="K212" t="s">
        <v>74</v>
      </c>
      <c r="L212" t="s">
        <v>74</v>
      </c>
      <c r="M212" t="s">
        <v>78</v>
      </c>
      <c r="N212" t="s">
        <v>79</v>
      </c>
      <c r="O212" t="s">
        <v>74</v>
      </c>
      <c r="P212" t="s">
        <v>74</v>
      </c>
      <c r="Q212" t="s">
        <v>74</v>
      </c>
      <c r="R212" t="s">
        <v>74</v>
      </c>
      <c r="S212" t="s">
        <v>74</v>
      </c>
      <c r="T212" t="s">
        <v>4191</v>
      </c>
      <c r="U212" t="s">
        <v>4192</v>
      </c>
      <c r="V212" t="s">
        <v>4193</v>
      </c>
      <c r="W212" t="s">
        <v>4194</v>
      </c>
      <c r="X212" t="s">
        <v>4195</v>
      </c>
      <c r="Y212" t="s">
        <v>4196</v>
      </c>
      <c r="Z212" t="s">
        <v>4197</v>
      </c>
      <c r="AA212" t="s">
        <v>4198</v>
      </c>
      <c r="AB212" t="s">
        <v>4199</v>
      </c>
      <c r="AC212" t="s">
        <v>4200</v>
      </c>
      <c r="AD212" t="s">
        <v>4200</v>
      </c>
      <c r="AE212" t="s">
        <v>4201</v>
      </c>
      <c r="AF212" t="s">
        <v>74</v>
      </c>
      <c r="AG212">
        <v>21</v>
      </c>
      <c r="AH212">
        <v>4</v>
      </c>
      <c r="AI212">
        <v>4</v>
      </c>
      <c r="AJ212">
        <v>0</v>
      </c>
      <c r="AK212">
        <v>1</v>
      </c>
      <c r="AL212" t="s">
        <v>4202</v>
      </c>
      <c r="AM212" t="s">
        <v>4203</v>
      </c>
      <c r="AN212" t="s">
        <v>4204</v>
      </c>
      <c r="AO212" t="s">
        <v>4205</v>
      </c>
      <c r="AP212" t="s">
        <v>74</v>
      </c>
      <c r="AQ212" t="s">
        <v>74</v>
      </c>
      <c r="AR212" t="s">
        <v>4206</v>
      </c>
      <c r="AS212" t="s">
        <v>4207</v>
      </c>
      <c r="AT212" t="s">
        <v>3762</v>
      </c>
      <c r="AU212">
        <v>2010</v>
      </c>
      <c r="AV212">
        <v>20</v>
      </c>
      <c r="AW212">
        <v>3</v>
      </c>
      <c r="AX212" t="s">
        <v>74</v>
      </c>
      <c r="AY212" t="s">
        <v>74</v>
      </c>
      <c r="AZ212" t="s">
        <v>74</v>
      </c>
      <c r="BA212" t="s">
        <v>74</v>
      </c>
      <c r="BB212">
        <v>735</v>
      </c>
      <c r="BC212">
        <v>748</v>
      </c>
      <c r="BD212" t="s">
        <v>74</v>
      </c>
      <c r="BE212" t="s">
        <v>4208</v>
      </c>
      <c r="BF212" t="str">
        <f>HYPERLINK("http://dx.doi.org/10.1142/S0218127410026022","http://dx.doi.org/10.1142/S0218127410026022")</f>
        <v>http://dx.doi.org/10.1142/S0218127410026022</v>
      </c>
      <c r="BG212" t="s">
        <v>74</v>
      </c>
      <c r="BH212" t="s">
        <v>74</v>
      </c>
      <c r="BI212">
        <v>14</v>
      </c>
      <c r="BJ212" t="s">
        <v>4209</v>
      </c>
      <c r="BK212" t="s">
        <v>102</v>
      </c>
      <c r="BL212" t="s">
        <v>4210</v>
      </c>
      <c r="BM212" t="s">
        <v>4211</v>
      </c>
      <c r="BN212" t="s">
        <v>74</v>
      </c>
      <c r="BO212" t="s">
        <v>74</v>
      </c>
      <c r="BP212" t="s">
        <v>74</v>
      </c>
      <c r="BQ212" t="s">
        <v>74</v>
      </c>
      <c r="BR212" t="s">
        <v>105</v>
      </c>
      <c r="BS212" t="s">
        <v>4212</v>
      </c>
      <c r="BT212" t="str">
        <f>HYPERLINK("https%3A%2F%2Fwww.webofscience.com%2Fwos%2Fwoscc%2Ffull-record%2FWOS:000279238400014","View Full Record in Web of Science")</f>
        <v>View Full Record in Web of Science</v>
      </c>
    </row>
    <row r="213" spans="1:72" x14ac:dyDescent="0.15">
      <c r="A213" t="s">
        <v>72</v>
      </c>
      <c r="B213" t="s">
        <v>4213</v>
      </c>
      <c r="C213" t="s">
        <v>74</v>
      </c>
      <c r="D213" t="s">
        <v>74</v>
      </c>
      <c r="E213" t="s">
        <v>74</v>
      </c>
      <c r="F213" t="s">
        <v>4214</v>
      </c>
      <c r="G213" t="s">
        <v>74</v>
      </c>
      <c r="H213" t="s">
        <v>74</v>
      </c>
      <c r="I213" t="s">
        <v>4215</v>
      </c>
      <c r="J213" t="s">
        <v>4216</v>
      </c>
      <c r="K213" t="s">
        <v>74</v>
      </c>
      <c r="L213" t="s">
        <v>74</v>
      </c>
      <c r="M213" t="s">
        <v>78</v>
      </c>
      <c r="N213" t="s">
        <v>79</v>
      </c>
      <c r="O213" t="s">
        <v>74</v>
      </c>
      <c r="P213" t="s">
        <v>74</v>
      </c>
      <c r="Q213" t="s">
        <v>74</v>
      </c>
      <c r="R213" t="s">
        <v>74</v>
      </c>
      <c r="S213" t="s">
        <v>74</v>
      </c>
      <c r="T213" t="s">
        <v>4217</v>
      </c>
      <c r="U213" t="s">
        <v>4218</v>
      </c>
      <c r="V213" t="s">
        <v>4219</v>
      </c>
      <c r="W213" t="s">
        <v>4220</v>
      </c>
      <c r="X213" t="s">
        <v>4221</v>
      </c>
      <c r="Y213" t="s">
        <v>4222</v>
      </c>
      <c r="Z213" t="s">
        <v>4223</v>
      </c>
      <c r="AA213" t="s">
        <v>74</v>
      </c>
      <c r="AB213" t="s">
        <v>74</v>
      </c>
      <c r="AC213" t="s">
        <v>4224</v>
      </c>
      <c r="AD213" t="s">
        <v>4225</v>
      </c>
      <c r="AE213" t="s">
        <v>4226</v>
      </c>
      <c r="AF213" t="s">
        <v>74</v>
      </c>
      <c r="AG213">
        <v>42</v>
      </c>
      <c r="AH213">
        <v>7</v>
      </c>
      <c r="AI213">
        <v>7</v>
      </c>
      <c r="AJ213">
        <v>1</v>
      </c>
      <c r="AK213">
        <v>6</v>
      </c>
      <c r="AL213" t="s">
        <v>813</v>
      </c>
      <c r="AM213" t="s">
        <v>225</v>
      </c>
      <c r="AN213" t="s">
        <v>2228</v>
      </c>
      <c r="AO213" t="s">
        <v>4227</v>
      </c>
      <c r="AP213" t="s">
        <v>74</v>
      </c>
      <c r="AQ213" t="s">
        <v>74</v>
      </c>
      <c r="AR213" t="s">
        <v>4228</v>
      </c>
      <c r="AS213" t="s">
        <v>4229</v>
      </c>
      <c r="AT213" t="s">
        <v>3762</v>
      </c>
      <c r="AU213">
        <v>2010</v>
      </c>
      <c r="AV213">
        <v>99</v>
      </c>
      <c r="AW213">
        <v>2</v>
      </c>
      <c r="AX213" t="s">
        <v>74</v>
      </c>
      <c r="AY213" t="s">
        <v>74</v>
      </c>
      <c r="AZ213" t="s">
        <v>74</v>
      </c>
      <c r="BA213" t="s">
        <v>74</v>
      </c>
      <c r="BB213">
        <v>459</v>
      </c>
      <c r="BC213">
        <v>471</v>
      </c>
      <c r="BD213" t="s">
        <v>74</v>
      </c>
      <c r="BE213" t="s">
        <v>4230</v>
      </c>
      <c r="BF213" t="str">
        <f>HYPERLINK("http://dx.doi.org/10.1007/s00531-008-0398-9","http://dx.doi.org/10.1007/s00531-008-0398-9")</f>
        <v>http://dx.doi.org/10.1007/s00531-008-0398-9</v>
      </c>
      <c r="BG213" t="s">
        <v>74</v>
      </c>
      <c r="BH213" t="s">
        <v>74</v>
      </c>
      <c r="BI213">
        <v>13</v>
      </c>
      <c r="BJ213" t="s">
        <v>913</v>
      </c>
      <c r="BK213" t="s">
        <v>102</v>
      </c>
      <c r="BL213" t="s">
        <v>914</v>
      </c>
      <c r="BM213" t="s">
        <v>4231</v>
      </c>
      <c r="BN213" t="s">
        <v>74</v>
      </c>
      <c r="BO213" t="s">
        <v>74</v>
      </c>
      <c r="BP213" t="s">
        <v>74</v>
      </c>
      <c r="BQ213" t="s">
        <v>74</v>
      </c>
      <c r="BR213" t="s">
        <v>105</v>
      </c>
      <c r="BS213" t="s">
        <v>4232</v>
      </c>
      <c r="BT213" t="str">
        <f>HYPERLINK("https%3A%2F%2Fwww.webofscience.com%2Fwos%2Fwoscc%2Ffull-record%2FWOS:000274385900013","View Full Record in Web of Science")</f>
        <v>View Full Record in Web of Science</v>
      </c>
    </row>
    <row r="214" spans="1:72" x14ac:dyDescent="0.15">
      <c r="A214" t="s">
        <v>72</v>
      </c>
      <c r="B214" t="s">
        <v>4233</v>
      </c>
      <c r="C214" t="s">
        <v>74</v>
      </c>
      <c r="D214" t="s">
        <v>74</v>
      </c>
      <c r="E214" t="s">
        <v>74</v>
      </c>
      <c r="F214" t="s">
        <v>4234</v>
      </c>
      <c r="G214" t="s">
        <v>74</v>
      </c>
      <c r="H214" t="s">
        <v>74</v>
      </c>
      <c r="I214" t="s">
        <v>4235</v>
      </c>
      <c r="J214" t="s">
        <v>4236</v>
      </c>
      <c r="K214" t="s">
        <v>74</v>
      </c>
      <c r="L214" t="s">
        <v>74</v>
      </c>
      <c r="M214" t="s">
        <v>78</v>
      </c>
      <c r="N214" t="s">
        <v>79</v>
      </c>
      <c r="O214" t="s">
        <v>74</v>
      </c>
      <c r="P214" t="s">
        <v>74</v>
      </c>
      <c r="Q214" t="s">
        <v>74</v>
      </c>
      <c r="R214" t="s">
        <v>74</v>
      </c>
      <c r="S214" t="s">
        <v>74</v>
      </c>
      <c r="T214" t="s">
        <v>4237</v>
      </c>
      <c r="U214" t="s">
        <v>4238</v>
      </c>
      <c r="V214" t="s">
        <v>4239</v>
      </c>
      <c r="W214" t="s">
        <v>4240</v>
      </c>
      <c r="X214" t="s">
        <v>2909</v>
      </c>
      <c r="Y214" t="s">
        <v>4241</v>
      </c>
      <c r="Z214" t="s">
        <v>74</v>
      </c>
      <c r="AA214" t="s">
        <v>74</v>
      </c>
      <c r="AB214" t="s">
        <v>74</v>
      </c>
      <c r="AC214" t="s">
        <v>74</v>
      </c>
      <c r="AD214" t="s">
        <v>74</v>
      </c>
      <c r="AE214" t="s">
        <v>74</v>
      </c>
      <c r="AF214" t="s">
        <v>74</v>
      </c>
      <c r="AG214">
        <v>30</v>
      </c>
      <c r="AH214">
        <v>1</v>
      </c>
      <c r="AI214">
        <v>1</v>
      </c>
      <c r="AJ214">
        <v>0</v>
      </c>
      <c r="AK214">
        <v>1</v>
      </c>
      <c r="AL214" t="s">
        <v>4242</v>
      </c>
      <c r="AM214" t="s">
        <v>4243</v>
      </c>
      <c r="AN214" t="s">
        <v>4244</v>
      </c>
      <c r="AO214" t="s">
        <v>4245</v>
      </c>
      <c r="AP214" t="s">
        <v>74</v>
      </c>
      <c r="AQ214" t="s">
        <v>74</v>
      </c>
      <c r="AR214" t="s">
        <v>4246</v>
      </c>
      <c r="AS214" t="s">
        <v>4247</v>
      </c>
      <c r="AT214" t="s">
        <v>3762</v>
      </c>
      <c r="AU214">
        <v>2010</v>
      </c>
      <c r="AV214">
        <v>20</v>
      </c>
      <c r="AW214">
        <v>1</v>
      </c>
      <c r="AX214" t="s">
        <v>74</v>
      </c>
      <c r="AY214" t="s">
        <v>74</v>
      </c>
      <c r="AZ214" t="s">
        <v>74</v>
      </c>
      <c r="BA214" t="s">
        <v>74</v>
      </c>
      <c r="BB214">
        <v>54</v>
      </c>
      <c r="BC214">
        <v>60</v>
      </c>
      <c r="BD214" t="s">
        <v>74</v>
      </c>
      <c r="BE214" t="s">
        <v>74</v>
      </c>
      <c r="BF214" t="s">
        <v>74</v>
      </c>
      <c r="BG214" t="s">
        <v>74</v>
      </c>
      <c r="BH214" t="s">
        <v>74</v>
      </c>
      <c r="BI214">
        <v>7</v>
      </c>
      <c r="BJ214" t="s">
        <v>4248</v>
      </c>
      <c r="BK214" t="s">
        <v>102</v>
      </c>
      <c r="BL214" t="s">
        <v>3741</v>
      </c>
      <c r="BM214" t="s">
        <v>4249</v>
      </c>
      <c r="BN214" t="s">
        <v>74</v>
      </c>
      <c r="BO214" t="s">
        <v>74</v>
      </c>
      <c r="BP214" t="s">
        <v>74</v>
      </c>
      <c r="BQ214" t="s">
        <v>74</v>
      </c>
      <c r="BR214" t="s">
        <v>105</v>
      </c>
      <c r="BS214" t="s">
        <v>4250</v>
      </c>
      <c r="BT214" t="str">
        <f>HYPERLINK("https%3A%2F%2Fwww.webofscience.com%2Fwos%2Fwoscc%2Ffull-record%2FWOS:000275491800009","View Full Record in Web of Science")</f>
        <v>View Full Record in Web of Science</v>
      </c>
    </row>
    <row r="215" spans="1:72" x14ac:dyDescent="0.15">
      <c r="A215" t="s">
        <v>72</v>
      </c>
      <c r="B215" t="s">
        <v>4251</v>
      </c>
      <c r="C215" t="s">
        <v>74</v>
      </c>
      <c r="D215" t="s">
        <v>74</v>
      </c>
      <c r="E215" t="s">
        <v>74</v>
      </c>
      <c r="F215" t="s">
        <v>4252</v>
      </c>
      <c r="G215" t="s">
        <v>74</v>
      </c>
      <c r="H215" t="s">
        <v>74</v>
      </c>
      <c r="I215" t="s">
        <v>4253</v>
      </c>
      <c r="J215" t="s">
        <v>4254</v>
      </c>
      <c r="K215" t="s">
        <v>74</v>
      </c>
      <c r="L215" t="s">
        <v>74</v>
      </c>
      <c r="M215" t="s">
        <v>78</v>
      </c>
      <c r="N215" t="s">
        <v>79</v>
      </c>
      <c r="O215" t="s">
        <v>74</v>
      </c>
      <c r="P215" t="s">
        <v>74</v>
      </c>
      <c r="Q215" t="s">
        <v>74</v>
      </c>
      <c r="R215" t="s">
        <v>74</v>
      </c>
      <c r="S215" t="s">
        <v>74</v>
      </c>
      <c r="T215" t="s">
        <v>74</v>
      </c>
      <c r="U215" t="s">
        <v>4255</v>
      </c>
      <c r="V215" t="s">
        <v>4256</v>
      </c>
      <c r="W215" t="s">
        <v>4257</v>
      </c>
      <c r="X215" t="s">
        <v>4258</v>
      </c>
      <c r="Y215" t="s">
        <v>4259</v>
      </c>
      <c r="Z215" t="s">
        <v>4260</v>
      </c>
      <c r="AA215" t="s">
        <v>4261</v>
      </c>
      <c r="AB215" t="s">
        <v>4262</v>
      </c>
      <c r="AC215" t="s">
        <v>4263</v>
      </c>
      <c r="AD215" t="s">
        <v>4264</v>
      </c>
      <c r="AE215" t="s">
        <v>4265</v>
      </c>
      <c r="AF215" t="s">
        <v>74</v>
      </c>
      <c r="AG215">
        <v>35</v>
      </c>
      <c r="AH215">
        <v>4</v>
      </c>
      <c r="AI215">
        <v>6</v>
      </c>
      <c r="AJ215">
        <v>0</v>
      </c>
      <c r="AK215">
        <v>5</v>
      </c>
      <c r="AL215" t="s">
        <v>1824</v>
      </c>
      <c r="AM215" t="s">
        <v>1825</v>
      </c>
      <c r="AN215" t="s">
        <v>4266</v>
      </c>
      <c r="AO215" t="s">
        <v>4267</v>
      </c>
      <c r="AP215" t="s">
        <v>4268</v>
      </c>
      <c r="AQ215" t="s">
        <v>74</v>
      </c>
      <c r="AR215" t="s">
        <v>4269</v>
      </c>
      <c r="AS215" t="s">
        <v>4270</v>
      </c>
      <c r="AT215" t="s">
        <v>3762</v>
      </c>
      <c r="AU215">
        <v>2010</v>
      </c>
      <c r="AV215">
        <v>27</v>
      </c>
      <c r="AW215">
        <v>3</v>
      </c>
      <c r="AX215" t="s">
        <v>74</v>
      </c>
      <c r="AY215" t="s">
        <v>74</v>
      </c>
      <c r="AZ215" t="s">
        <v>74</v>
      </c>
      <c r="BA215" t="s">
        <v>74</v>
      </c>
      <c r="BB215">
        <v>580</v>
      </c>
      <c r="BC215">
        <v>593</v>
      </c>
      <c r="BD215" t="s">
        <v>74</v>
      </c>
      <c r="BE215" t="s">
        <v>4271</v>
      </c>
      <c r="BF215" t="str">
        <f>HYPERLINK("http://dx.doi.org/10.1175/2009JTECHO696.1","http://dx.doi.org/10.1175/2009JTECHO696.1")</f>
        <v>http://dx.doi.org/10.1175/2009JTECHO696.1</v>
      </c>
      <c r="BG215" t="s">
        <v>74</v>
      </c>
      <c r="BH215" t="s">
        <v>74</v>
      </c>
      <c r="BI215">
        <v>14</v>
      </c>
      <c r="BJ215" t="s">
        <v>4272</v>
      </c>
      <c r="BK215" t="s">
        <v>102</v>
      </c>
      <c r="BL215" t="s">
        <v>4273</v>
      </c>
      <c r="BM215" t="s">
        <v>4274</v>
      </c>
      <c r="BN215" t="s">
        <v>74</v>
      </c>
      <c r="BO215" t="s">
        <v>1807</v>
      </c>
      <c r="BP215" t="s">
        <v>74</v>
      </c>
      <c r="BQ215" t="s">
        <v>74</v>
      </c>
      <c r="BR215" t="s">
        <v>105</v>
      </c>
      <c r="BS215" t="s">
        <v>4275</v>
      </c>
      <c r="BT215" t="str">
        <f>HYPERLINK("https%3A%2F%2Fwww.webofscience.com%2Fwos%2Fwoscc%2Ffull-record%2FWOS:000275577600011","View Full Record in Web of Science")</f>
        <v>View Full Record in Web of Science</v>
      </c>
    </row>
    <row r="216" spans="1:72" x14ac:dyDescent="0.15">
      <c r="A216" t="s">
        <v>72</v>
      </c>
      <c r="B216" t="s">
        <v>4276</v>
      </c>
      <c r="C216" t="s">
        <v>74</v>
      </c>
      <c r="D216" t="s">
        <v>74</v>
      </c>
      <c r="E216" t="s">
        <v>74</v>
      </c>
      <c r="F216" t="s">
        <v>4277</v>
      </c>
      <c r="G216" t="s">
        <v>74</v>
      </c>
      <c r="H216" t="s">
        <v>74</v>
      </c>
      <c r="I216" t="s">
        <v>4278</v>
      </c>
      <c r="J216" t="s">
        <v>1758</v>
      </c>
      <c r="K216" t="s">
        <v>74</v>
      </c>
      <c r="L216" t="s">
        <v>74</v>
      </c>
      <c r="M216" t="s">
        <v>78</v>
      </c>
      <c r="N216" t="s">
        <v>79</v>
      </c>
      <c r="O216" t="s">
        <v>74</v>
      </c>
      <c r="P216" t="s">
        <v>74</v>
      </c>
      <c r="Q216" t="s">
        <v>74</v>
      </c>
      <c r="R216" t="s">
        <v>74</v>
      </c>
      <c r="S216" t="s">
        <v>74</v>
      </c>
      <c r="T216" t="s">
        <v>4279</v>
      </c>
      <c r="U216" t="s">
        <v>4280</v>
      </c>
      <c r="V216" t="s">
        <v>4281</v>
      </c>
      <c r="W216" t="s">
        <v>4282</v>
      </c>
      <c r="X216" t="s">
        <v>4283</v>
      </c>
      <c r="Y216" t="s">
        <v>4284</v>
      </c>
      <c r="Z216" t="s">
        <v>4285</v>
      </c>
      <c r="AA216" t="s">
        <v>74</v>
      </c>
      <c r="AB216" t="s">
        <v>4286</v>
      </c>
      <c r="AC216" t="s">
        <v>4287</v>
      </c>
      <c r="AD216" t="s">
        <v>4288</v>
      </c>
      <c r="AE216" t="s">
        <v>4289</v>
      </c>
      <c r="AF216" t="s">
        <v>74</v>
      </c>
      <c r="AG216">
        <v>67</v>
      </c>
      <c r="AH216">
        <v>72</v>
      </c>
      <c r="AI216">
        <v>74</v>
      </c>
      <c r="AJ216">
        <v>0</v>
      </c>
      <c r="AK216">
        <v>82</v>
      </c>
      <c r="AL216" t="s">
        <v>991</v>
      </c>
      <c r="AM216" t="s">
        <v>992</v>
      </c>
      <c r="AN216" t="s">
        <v>993</v>
      </c>
      <c r="AO216" t="s">
        <v>1771</v>
      </c>
      <c r="AP216" t="s">
        <v>1772</v>
      </c>
      <c r="AQ216" t="s">
        <v>74</v>
      </c>
      <c r="AR216" t="s">
        <v>1773</v>
      </c>
      <c r="AS216" t="s">
        <v>1774</v>
      </c>
      <c r="AT216" t="s">
        <v>3762</v>
      </c>
      <c r="AU216">
        <v>2010</v>
      </c>
      <c r="AV216">
        <v>37</v>
      </c>
      <c r="AW216">
        <v>3</v>
      </c>
      <c r="AX216" t="s">
        <v>74</v>
      </c>
      <c r="AY216" t="s">
        <v>74</v>
      </c>
      <c r="AZ216" t="s">
        <v>74</v>
      </c>
      <c r="BA216" t="s">
        <v>74</v>
      </c>
      <c r="BB216">
        <v>582</v>
      </c>
      <c r="BC216">
        <v>592</v>
      </c>
      <c r="BD216" t="s">
        <v>74</v>
      </c>
      <c r="BE216" t="s">
        <v>4290</v>
      </c>
      <c r="BF216" t="str">
        <f>HYPERLINK("http://dx.doi.org/10.1111/j.1365-2699.2009.02217.x","http://dx.doi.org/10.1111/j.1365-2699.2009.02217.x")</f>
        <v>http://dx.doi.org/10.1111/j.1365-2699.2009.02217.x</v>
      </c>
      <c r="BG216" t="s">
        <v>74</v>
      </c>
      <c r="BH216" t="s">
        <v>74</v>
      </c>
      <c r="BI216">
        <v>11</v>
      </c>
      <c r="BJ216" t="s">
        <v>1776</v>
      </c>
      <c r="BK216" t="s">
        <v>102</v>
      </c>
      <c r="BL216" t="s">
        <v>1777</v>
      </c>
      <c r="BM216" t="s">
        <v>4291</v>
      </c>
      <c r="BN216" t="s">
        <v>74</v>
      </c>
      <c r="BO216" t="s">
        <v>326</v>
      </c>
      <c r="BP216" t="s">
        <v>74</v>
      </c>
      <c r="BQ216" t="s">
        <v>74</v>
      </c>
      <c r="BR216" t="s">
        <v>105</v>
      </c>
      <c r="BS216" t="s">
        <v>4292</v>
      </c>
      <c r="BT216" t="str">
        <f>HYPERLINK("https%3A%2F%2Fwww.webofscience.com%2Fwos%2Fwoscc%2Ffull-record%2FWOS:000273949700018","View Full Record in Web of Science")</f>
        <v>View Full Record in Web of Science</v>
      </c>
    </row>
    <row r="217" spans="1:72" x14ac:dyDescent="0.15">
      <c r="A217" t="s">
        <v>72</v>
      </c>
      <c r="B217" t="s">
        <v>4293</v>
      </c>
      <c r="C217" t="s">
        <v>74</v>
      </c>
      <c r="D217" t="s">
        <v>74</v>
      </c>
      <c r="E217" t="s">
        <v>74</v>
      </c>
      <c r="F217" t="s">
        <v>4294</v>
      </c>
      <c r="G217" t="s">
        <v>74</v>
      </c>
      <c r="H217" t="s">
        <v>74</v>
      </c>
      <c r="I217" t="s">
        <v>4295</v>
      </c>
      <c r="J217" t="s">
        <v>1812</v>
      </c>
      <c r="K217" t="s">
        <v>74</v>
      </c>
      <c r="L217" t="s">
        <v>74</v>
      </c>
      <c r="M217" t="s">
        <v>78</v>
      </c>
      <c r="N217" t="s">
        <v>79</v>
      </c>
      <c r="O217" t="s">
        <v>74</v>
      </c>
      <c r="P217" t="s">
        <v>74</v>
      </c>
      <c r="Q217" t="s">
        <v>74</v>
      </c>
      <c r="R217" t="s">
        <v>74</v>
      </c>
      <c r="S217" t="s">
        <v>74</v>
      </c>
      <c r="T217" t="s">
        <v>74</v>
      </c>
      <c r="U217" t="s">
        <v>4296</v>
      </c>
      <c r="V217" t="s">
        <v>4297</v>
      </c>
      <c r="W217" t="s">
        <v>4298</v>
      </c>
      <c r="X217" t="s">
        <v>4299</v>
      </c>
      <c r="Y217" t="s">
        <v>4300</v>
      </c>
      <c r="Z217" t="s">
        <v>4301</v>
      </c>
      <c r="AA217" t="s">
        <v>4302</v>
      </c>
      <c r="AB217" t="s">
        <v>74</v>
      </c>
      <c r="AC217" t="s">
        <v>4303</v>
      </c>
      <c r="AD217" t="s">
        <v>793</v>
      </c>
      <c r="AE217" t="s">
        <v>4304</v>
      </c>
      <c r="AF217" t="s">
        <v>74</v>
      </c>
      <c r="AG217">
        <v>25</v>
      </c>
      <c r="AH217">
        <v>16</v>
      </c>
      <c r="AI217">
        <v>19</v>
      </c>
      <c r="AJ217">
        <v>0</v>
      </c>
      <c r="AK217">
        <v>19</v>
      </c>
      <c r="AL217" t="s">
        <v>1824</v>
      </c>
      <c r="AM217" t="s">
        <v>1825</v>
      </c>
      <c r="AN217" t="s">
        <v>4266</v>
      </c>
      <c r="AO217" t="s">
        <v>1827</v>
      </c>
      <c r="AP217" t="s">
        <v>1828</v>
      </c>
      <c r="AQ217" t="s">
        <v>74</v>
      </c>
      <c r="AR217" t="s">
        <v>1829</v>
      </c>
      <c r="AS217" t="s">
        <v>1830</v>
      </c>
      <c r="AT217" t="s">
        <v>3762</v>
      </c>
      <c r="AU217">
        <v>2010</v>
      </c>
      <c r="AV217">
        <v>23</v>
      </c>
      <c r="AW217">
        <v>6</v>
      </c>
      <c r="AX217" t="s">
        <v>74</v>
      </c>
      <c r="AY217" t="s">
        <v>74</v>
      </c>
      <c r="AZ217" t="s">
        <v>74</v>
      </c>
      <c r="BA217" t="s">
        <v>74</v>
      </c>
      <c r="BB217">
        <v>1581</v>
      </c>
      <c r="BC217">
        <v>1588</v>
      </c>
      <c r="BD217" t="s">
        <v>74</v>
      </c>
      <c r="BE217" t="s">
        <v>4305</v>
      </c>
      <c r="BF217" t="str">
        <f>HYPERLINK("http://dx.doi.org/10.1175/2009JCLI3416.1","http://dx.doi.org/10.1175/2009JCLI3416.1")</f>
        <v>http://dx.doi.org/10.1175/2009JCLI3416.1</v>
      </c>
      <c r="BG217" t="s">
        <v>74</v>
      </c>
      <c r="BH217" t="s">
        <v>74</v>
      </c>
      <c r="BI217">
        <v>8</v>
      </c>
      <c r="BJ217" t="s">
        <v>258</v>
      </c>
      <c r="BK217" t="s">
        <v>102</v>
      </c>
      <c r="BL217" t="s">
        <v>258</v>
      </c>
      <c r="BM217" t="s">
        <v>4306</v>
      </c>
      <c r="BN217" t="s">
        <v>74</v>
      </c>
      <c r="BO217" t="s">
        <v>104</v>
      </c>
      <c r="BP217" t="s">
        <v>74</v>
      </c>
      <c r="BQ217" t="s">
        <v>74</v>
      </c>
      <c r="BR217" t="s">
        <v>105</v>
      </c>
      <c r="BS217" t="s">
        <v>4307</v>
      </c>
      <c r="BT217" t="str">
        <f>HYPERLINK("https%3A%2F%2Fwww.webofscience.com%2Fwos%2Fwoscc%2Ffull-record%2FWOS:000275830100019","View Full Record in Web of Science")</f>
        <v>View Full Record in Web of Science</v>
      </c>
    </row>
    <row r="218" spans="1:72" x14ac:dyDescent="0.15">
      <c r="A218" t="s">
        <v>72</v>
      </c>
      <c r="B218" t="s">
        <v>4308</v>
      </c>
      <c r="C218" t="s">
        <v>74</v>
      </c>
      <c r="D218" t="s">
        <v>74</v>
      </c>
      <c r="E218" t="s">
        <v>74</v>
      </c>
      <c r="F218" t="s">
        <v>4309</v>
      </c>
      <c r="G218" t="s">
        <v>74</v>
      </c>
      <c r="H218" t="s">
        <v>74</v>
      </c>
      <c r="I218" t="s">
        <v>4310</v>
      </c>
      <c r="J218" t="s">
        <v>4311</v>
      </c>
      <c r="K218" t="s">
        <v>74</v>
      </c>
      <c r="L218" t="s">
        <v>74</v>
      </c>
      <c r="M218" t="s">
        <v>78</v>
      </c>
      <c r="N218" t="s">
        <v>79</v>
      </c>
      <c r="O218" t="s">
        <v>74</v>
      </c>
      <c r="P218" t="s">
        <v>74</v>
      </c>
      <c r="Q218" t="s">
        <v>74</v>
      </c>
      <c r="R218" t="s">
        <v>74</v>
      </c>
      <c r="S218" t="s">
        <v>74</v>
      </c>
      <c r="T218" t="s">
        <v>74</v>
      </c>
      <c r="U218" t="s">
        <v>74</v>
      </c>
      <c r="V218" t="s">
        <v>4312</v>
      </c>
      <c r="W218" t="s">
        <v>4313</v>
      </c>
      <c r="X218" t="s">
        <v>4314</v>
      </c>
      <c r="Y218" t="s">
        <v>4315</v>
      </c>
      <c r="Z218" t="s">
        <v>4316</v>
      </c>
      <c r="AA218" t="s">
        <v>74</v>
      </c>
      <c r="AB218" t="s">
        <v>74</v>
      </c>
      <c r="AC218" t="s">
        <v>74</v>
      </c>
      <c r="AD218" t="s">
        <v>74</v>
      </c>
      <c r="AE218" t="s">
        <v>74</v>
      </c>
      <c r="AF218" t="s">
        <v>74</v>
      </c>
      <c r="AG218">
        <v>23</v>
      </c>
      <c r="AH218">
        <v>3</v>
      </c>
      <c r="AI218">
        <v>3</v>
      </c>
      <c r="AJ218">
        <v>0</v>
      </c>
      <c r="AK218">
        <v>2</v>
      </c>
      <c r="AL218" t="s">
        <v>4317</v>
      </c>
      <c r="AM218" t="s">
        <v>4318</v>
      </c>
      <c r="AN218" t="s">
        <v>4319</v>
      </c>
      <c r="AO218" t="s">
        <v>4320</v>
      </c>
      <c r="AP218" t="s">
        <v>4321</v>
      </c>
      <c r="AQ218" t="s">
        <v>74</v>
      </c>
      <c r="AR218" t="s">
        <v>4322</v>
      </c>
      <c r="AS218" t="s">
        <v>4323</v>
      </c>
      <c r="AT218" t="s">
        <v>3762</v>
      </c>
      <c r="AU218">
        <v>2010</v>
      </c>
      <c r="AV218">
        <v>26</v>
      </c>
      <c r="AW218">
        <v>2</v>
      </c>
      <c r="AX218" t="s">
        <v>74</v>
      </c>
      <c r="AY218" t="s">
        <v>74</v>
      </c>
      <c r="AZ218" t="s">
        <v>74</v>
      </c>
      <c r="BA218" t="s">
        <v>74</v>
      </c>
      <c r="BB218">
        <v>359</v>
      </c>
      <c r="BC218">
        <v>376</v>
      </c>
      <c r="BD218" t="s">
        <v>74</v>
      </c>
      <c r="BE218" t="s">
        <v>4324</v>
      </c>
      <c r="BF218" t="str">
        <f>HYPERLINK("http://dx.doi.org/10.2112/09A-0003.1","http://dx.doi.org/10.2112/09A-0003.1")</f>
        <v>http://dx.doi.org/10.2112/09A-0003.1</v>
      </c>
      <c r="BG218" t="s">
        <v>74</v>
      </c>
      <c r="BH218" t="s">
        <v>74</v>
      </c>
      <c r="BI218">
        <v>18</v>
      </c>
      <c r="BJ218" t="s">
        <v>593</v>
      </c>
      <c r="BK218" t="s">
        <v>102</v>
      </c>
      <c r="BL218" t="s">
        <v>594</v>
      </c>
      <c r="BM218" t="s">
        <v>4325</v>
      </c>
      <c r="BN218" t="s">
        <v>74</v>
      </c>
      <c r="BO218" t="s">
        <v>74</v>
      </c>
      <c r="BP218" t="s">
        <v>74</v>
      </c>
      <c r="BQ218" t="s">
        <v>74</v>
      </c>
      <c r="BR218" t="s">
        <v>105</v>
      </c>
      <c r="BS218" t="s">
        <v>4326</v>
      </c>
      <c r="BT218" t="str">
        <f>HYPERLINK("https%3A%2F%2Fwww.webofscience.com%2Fwos%2Fwoscc%2Ffull-record%2FWOS:000276328400016","View Full Record in Web of Science")</f>
        <v>View Full Record in Web of Science</v>
      </c>
    </row>
    <row r="219" spans="1:72" x14ac:dyDescent="0.15">
      <c r="A219" t="s">
        <v>72</v>
      </c>
      <c r="B219" t="s">
        <v>4327</v>
      </c>
      <c r="C219" t="s">
        <v>74</v>
      </c>
      <c r="D219" t="s">
        <v>74</v>
      </c>
      <c r="E219" t="s">
        <v>74</v>
      </c>
      <c r="F219" t="s">
        <v>4328</v>
      </c>
      <c r="G219" t="s">
        <v>74</v>
      </c>
      <c r="H219" t="s">
        <v>74</v>
      </c>
      <c r="I219" t="s">
        <v>4329</v>
      </c>
      <c r="J219" t="s">
        <v>4330</v>
      </c>
      <c r="K219" t="s">
        <v>74</v>
      </c>
      <c r="L219" t="s">
        <v>74</v>
      </c>
      <c r="M219" t="s">
        <v>78</v>
      </c>
      <c r="N219" t="s">
        <v>79</v>
      </c>
      <c r="O219" t="s">
        <v>74</v>
      </c>
      <c r="P219" t="s">
        <v>74</v>
      </c>
      <c r="Q219" t="s">
        <v>74</v>
      </c>
      <c r="R219" t="s">
        <v>74</v>
      </c>
      <c r="S219" t="s">
        <v>74</v>
      </c>
      <c r="T219" t="s">
        <v>4331</v>
      </c>
      <c r="U219" t="s">
        <v>4332</v>
      </c>
      <c r="V219" t="s">
        <v>4333</v>
      </c>
      <c r="W219" t="s">
        <v>4334</v>
      </c>
      <c r="X219" t="s">
        <v>2278</v>
      </c>
      <c r="Y219" t="s">
        <v>4335</v>
      </c>
      <c r="Z219" t="s">
        <v>4336</v>
      </c>
      <c r="AA219" t="s">
        <v>4337</v>
      </c>
      <c r="AB219" t="s">
        <v>4338</v>
      </c>
      <c r="AC219" t="s">
        <v>4339</v>
      </c>
      <c r="AD219" t="s">
        <v>4340</v>
      </c>
      <c r="AE219" t="s">
        <v>4341</v>
      </c>
      <c r="AF219" t="s">
        <v>74</v>
      </c>
      <c r="AG219">
        <v>87</v>
      </c>
      <c r="AH219">
        <v>47</v>
      </c>
      <c r="AI219">
        <v>49</v>
      </c>
      <c r="AJ219">
        <v>0</v>
      </c>
      <c r="AK219">
        <v>16</v>
      </c>
      <c r="AL219" t="s">
        <v>524</v>
      </c>
      <c r="AM219" t="s">
        <v>525</v>
      </c>
      <c r="AN219" t="s">
        <v>526</v>
      </c>
      <c r="AO219" t="s">
        <v>4342</v>
      </c>
      <c r="AP219" t="s">
        <v>4343</v>
      </c>
      <c r="AQ219" t="s">
        <v>74</v>
      </c>
      <c r="AR219" t="s">
        <v>4344</v>
      </c>
      <c r="AS219" t="s">
        <v>4345</v>
      </c>
      <c r="AT219" t="s">
        <v>3762</v>
      </c>
      <c r="AU219">
        <v>2010</v>
      </c>
      <c r="AV219">
        <v>180</v>
      </c>
      <c r="AW219">
        <v>3</v>
      </c>
      <c r="AX219" t="s">
        <v>74</v>
      </c>
      <c r="AY219" t="s">
        <v>74</v>
      </c>
      <c r="AZ219" t="s">
        <v>74</v>
      </c>
      <c r="BA219" t="s">
        <v>74</v>
      </c>
      <c r="BB219">
        <v>347</v>
      </c>
      <c r="BC219">
        <v>359</v>
      </c>
      <c r="BD219" t="s">
        <v>74</v>
      </c>
      <c r="BE219" t="s">
        <v>4346</v>
      </c>
      <c r="BF219" t="str">
        <f>HYPERLINK("http://dx.doi.org/10.1007/s00360-009-0413-x","http://dx.doi.org/10.1007/s00360-009-0413-x")</f>
        <v>http://dx.doi.org/10.1007/s00360-009-0413-x</v>
      </c>
      <c r="BG219" t="s">
        <v>74</v>
      </c>
      <c r="BH219" t="s">
        <v>74</v>
      </c>
      <c r="BI219">
        <v>13</v>
      </c>
      <c r="BJ219" t="s">
        <v>4347</v>
      </c>
      <c r="BK219" t="s">
        <v>102</v>
      </c>
      <c r="BL219" t="s">
        <v>4347</v>
      </c>
      <c r="BM219" t="s">
        <v>4348</v>
      </c>
      <c r="BN219">
        <v>19834716</v>
      </c>
      <c r="BO219" t="s">
        <v>74</v>
      </c>
      <c r="BP219" t="s">
        <v>74</v>
      </c>
      <c r="BQ219" t="s">
        <v>74</v>
      </c>
      <c r="BR219" t="s">
        <v>105</v>
      </c>
      <c r="BS219" t="s">
        <v>4349</v>
      </c>
      <c r="BT219" t="str">
        <f>HYPERLINK("https%3A%2F%2Fwww.webofscience.com%2Fwos%2Fwoscc%2Ffull-record%2FWOS:000274457300004","View Full Record in Web of Science")</f>
        <v>View Full Record in Web of Science</v>
      </c>
    </row>
    <row r="220" spans="1:72" x14ac:dyDescent="0.15">
      <c r="A220" t="s">
        <v>72</v>
      </c>
      <c r="B220" t="s">
        <v>4350</v>
      </c>
      <c r="C220" t="s">
        <v>74</v>
      </c>
      <c r="D220" t="s">
        <v>74</v>
      </c>
      <c r="E220" t="s">
        <v>74</v>
      </c>
      <c r="F220" t="s">
        <v>4351</v>
      </c>
      <c r="G220" t="s">
        <v>74</v>
      </c>
      <c r="H220" t="s">
        <v>74</v>
      </c>
      <c r="I220" t="s">
        <v>4352</v>
      </c>
      <c r="J220" t="s">
        <v>4353</v>
      </c>
      <c r="K220" t="s">
        <v>74</v>
      </c>
      <c r="L220" t="s">
        <v>74</v>
      </c>
      <c r="M220" t="s">
        <v>78</v>
      </c>
      <c r="N220" t="s">
        <v>79</v>
      </c>
      <c r="O220" t="s">
        <v>74</v>
      </c>
      <c r="P220" t="s">
        <v>74</v>
      </c>
      <c r="Q220" t="s">
        <v>74</v>
      </c>
      <c r="R220" t="s">
        <v>74</v>
      </c>
      <c r="S220" t="s">
        <v>74</v>
      </c>
      <c r="T220" t="s">
        <v>4354</v>
      </c>
      <c r="U220" t="s">
        <v>4355</v>
      </c>
      <c r="V220" t="s">
        <v>4356</v>
      </c>
      <c r="W220" t="s">
        <v>4357</v>
      </c>
      <c r="X220" t="s">
        <v>4358</v>
      </c>
      <c r="Y220" t="s">
        <v>4359</v>
      </c>
      <c r="Z220" t="s">
        <v>4360</v>
      </c>
      <c r="AA220" t="s">
        <v>4361</v>
      </c>
      <c r="AB220" t="s">
        <v>4362</v>
      </c>
      <c r="AC220" t="s">
        <v>4363</v>
      </c>
      <c r="AD220" t="s">
        <v>4364</v>
      </c>
      <c r="AE220" t="s">
        <v>4365</v>
      </c>
      <c r="AF220" t="s">
        <v>74</v>
      </c>
      <c r="AG220">
        <v>69</v>
      </c>
      <c r="AH220">
        <v>64</v>
      </c>
      <c r="AI220">
        <v>72</v>
      </c>
      <c r="AJ220">
        <v>1</v>
      </c>
      <c r="AK220">
        <v>20</v>
      </c>
      <c r="AL220" t="s">
        <v>991</v>
      </c>
      <c r="AM220" t="s">
        <v>992</v>
      </c>
      <c r="AN220" t="s">
        <v>993</v>
      </c>
      <c r="AO220" t="s">
        <v>4366</v>
      </c>
      <c r="AP220" t="s">
        <v>4367</v>
      </c>
      <c r="AQ220" t="s">
        <v>74</v>
      </c>
      <c r="AR220" t="s">
        <v>4368</v>
      </c>
      <c r="AS220" t="s">
        <v>4369</v>
      </c>
      <c r="AT220" t="s">
        <v>3738</v>
      </c>
      <c r="AU220">
        <v>2010</v>
      </c>
      <c r="AV220">
        <v>57</v>
      </c>
      <c r="AW220">
        <v>2</v>
      </c>
      <c r="AX220" t="s">
        <v>74</v>
      </c>
      <c r="AY220" t="s">
        <v>74</v>
      </c>
      <c r="AZ220" t="s">
        <v>74</v>
      </c>
      <c r="BA220" t="s">
        <v>74</v>
      </c>
      <c r="BB220">
        <v>121</v>
      </c>
      <c r="BC220">
        <v>144</v>
      </c>
      <c r="BD220" t="s">
        <v>74</v>
      </c>
      <c r="BE220" t="s">
        <v>4370</v>
      </c>
      <c r="BF220" t="str">
        <f>HYPERLINK("http://dx.doi.org/10.1111/j.1550-7408.2009.00462.x","http://dx.doi.org/10.1111/j.1550-7408.2009.00462.x")</f>
        <v>http://dx.doi.org/10.1111/j.1550-7408.2009.00462.x</v>
      </c>
      <c r="BG220" t="s">
        <v>74</v>
      </c>
      <c r="BH220" t="s">
        <v>74</v>
      </c>
      <c r="BI220">
        <v>24</v>
      </c>
      <c r="BJ220" t="s">
        <v>1612</v>
      </c>
      <c r="BK220" t="s">
        <v>102</v>
      </c>
      <c r="BL220" t="s">
        <v>1612</v>
      </c>
      <c r="BM220" t="s">
        <v>4371</v>
      </c>
      <c r="BN220">
        <v>20487128</v>
      </c>
      <c r="BO220" t="s">
        <v>74</v>
      </c>
      <c r="BP220" t="s">
        <v>74</v>
      </c>
      <c r="BQ220" t="s">
        <v>74</v>
      </c>
      <c r="BR220" t="s">
        <v>105</v>
      </c>
      <c r="BS220" t="s">
        <v>4372</v>
      </c>
      <c r="BT220" t="str">
        <f>HYPERLINK("https%3A%2F%2Fwww.webofscience.com%2Fwos%2Fwoscc%2Ffull-record%2FWOS:000275098400003","View Full Record in Web of Science")</f>
        <v>View Full Record in Web of Science</v>
      </c>
    </row>
    <row r="221" spans="1:72" x14ac:dyDescent="0.15">
      <c r="A221" t="s">
        <v>72</v>
      </c>
      <c r="B221" t="s">
        <v>4373</v>
      </c>
      <c r="C221" t="s">
        <v>74</v>
      </c>
      <c r="D221" t="s">
        <v>74</v>
      </c>
      <c r="E221" t="s">
        <v>74</v>
      </c>
      <c r="F221" t="s">
        <v>4374</v>
      </c>
      <c r="G221" t="s">
        <v>74</v>
      </c>
      <c r="H221" t="s">
        <v>74</v>
      </c>
      <c r="I221" t="s">
        <v>4375</v>
      </c>
      <c r="J221" t="s">
        <v>4376</v>
      </c>
      <c r="K221" t="s">
        <v>74</v>
      </c>
      <c r="L221" t="s">
        <v>74</v>
      </c>
      <c r="M221" t="s">
        <v>78</v>
      </c>
      <c r="N221" t="s">
        <v>79</v>
      </c>
      <c r="O221" t="s">
        <v>74</v>
      </c>
      <c r="P221" t="s">
        <v>74</v>
      </c>
      <c r="Q221" t="s">
        <v>74</v>
      </c>
      <c r="R221" t="s">
        <v>74</v>
      </c>
      <c r="S221" t="s">
        <v>74</v>
      </c>
      <c r="T221" t="s">
        <v>4377</v>
      </c>
      <c r="U221" t="s">
        <v>4378</v>
      </c>
      <c r="V221" t="s">
        <v>4379</v>
      </c>
      <c r="W221" t="s">
        <v>4380</v>
      </c>
      <c r="X221" t="s">
        <v>4381</v>
      </c>
      <c r="Y221" t="s">
        <v>4382</v>
      </c>
      <c r="Z221" t="s">
        <v>4383</v>
      </c>
      <c r="AA221" t="s">
        <v>74</v>
      </c>
      <c r="AB221" t="s">
        <v>4384</v>
      </c>
      <c r="AC221" t="s">
        <v>4385</v>
      </c>
      <c r="AD221" t="s">
        <v>4386</v>
      </c>
      <c r="AE221" t="s">
        <v>4387</v>
      </c>
      <c r="AF221" t="s">
        <v>74</v>
      </c>
      <c r="AG221">
        <v>50</v>
      </c>
      <c r="AH221">
        <v>3</v>
      </c>
      <c r="AI221">
        <v>3</v>
      </c>
      <c r="AJ221">
        <v>2</v>
      </c>
      <c r="AK221">
        <v>13</v>
      </c>
      <c r="AL221" t="s">
        <v>933</v>
      </c>
      <c r="AM221" t="s">
        <v>934</v>
      </c>
      <c r="AN221" t="s">
        <v>935</v>
      </c>
      <c r="AO221" t="s">
        <v>4388</v>
      </c>
      <c r="AP221" t="s">
        <v>4389</v>
      </c>
      <c r="AQ221" t="s">
        <v>74</v>
      </c>
      <c r="AR221" t="s">
        <v>4390</v>
      </c>
      <c r="AS221" t="s">
        <v>4391</v>
      </c>
      <c r="AT221" t="s">
        <v>3762</v>
      </c>
      <c r="AU221">
        <v>2010</v>
      </c>
      <c r="AV221">
        <v>37</v>
      </c>
      <c r="AW221">
        <v>3</v>
      </c>
      <c r="AX221" t="s">
        <v>74</v>
      </c>
      <c r="AY221" t="s">
        <v>74</v>
      </c>
      <c r="AZ221" t="s">
        <v>74</v>
      </c>
      <c r="BA221" t="s">
        <v>74</v>
      </c>
      <c r="BB221">
        <v>205</v>
      </c>
      <c r="BC221">
        <v>218</v>
      </c>
      <c r="BD221" t="s">
        <v>74</v>
      </c>
      <c r="BE221" t="s">
        <v>4392</v>
      </c>
      <c r="BF221" t="str">
        <f>HYPERLINK("http://dx.doi.org/10.1016/S1673-8527(09)60039-4","http://dx.doi.org/10.1016/S1673-8527(09)60039-4")</f>
        <v>http://dx.doi.org/10.1016/S1673-8527(09)60039-4</v>
      </c>
      <c r="BG221" t="s">
        <v>74</v>
      </c>
      <c r="BH221" t="s">
        <v>74</v>
      </c>
      <c r="BI221">
        <v>14</v>
      </c>
      <c r="BJ221" t="s">
        <v>4393</v>
      </c>
      <c r="BK221" t="s">
        <v>102</v>
      </c>
      <c r="BL221" t="s">
        <v>4393</v>
      </c>
      <c r="BM221" t="s">
        <v>4394</v>
      </c>
      <c r="BN221">
        <v>20347830</v>
      </c>
      <c r="BO221" t="s">
        <v>74</v>
      </c>
      <c r="BP221" t="s">
        <v>74</v>
      </c>
      <c r="BQ221" t="s">
        <v>74</v>
      </c>
      <c r="BR221" t="s">
        <v>105</v>
      </c>
      <c r="BS221" t="s">
        <v>4395</v>
      </c>
      <c r="BT221" t="str">
        <f>HYPERLINK("https%3A%2F%2Fwww.webofscience.com%2Fwos%2Fwoscc%2Ffull-record%2FWOS:000276091500006","View Full Record in Web of Science")</f>
        <v>View Full Record in Web of Science</v>
      </c>
    </row>
    <row r="222" spans="1:72" x14ac:dyDescent="0.15">
      <c r="A222" t="s">
        <v>72</v>
      </c>
      <c r="B222" t="s">
        <v>4396</v>
      </c>
      <c r="C222" t="s">
        <v>74</v>
      </c>
      <c r="D222" t="s">
        <v>74</v>
      </c>
      <c r="E222" t="s">
        <v>74</v>
      </c>
      <c r="F222" t="s">
        <v>4397</v>
      </c>
      <c r="G222" t="s">
        <v>74</v>
      </c>
      <c r="H222" t="s">
        <v>74</v>
      </c>
      <c r="I222" t="s">
        <v>4398</v>
      </c>
      <c r="J222" t="s">
        <v>2009</v>
      </c>
      <c r="K222" t="s">
        <v>74</v>
      </c>
      <c r="L222" t="s">
        <v>74</v>
      </c>
      <c r="M222" t="s">
        <v>78</v>
      </c>
      <c r="N222" t="s">
        <v>79</v>
      </c>
      <c r="O222" t="s">
        <v>74</v>
      </c>
      <c r="P222" t="s">
        <v>74</v>
      </c>
      <c r="Q222" t="s">
        <v>74</v>
      </c>
      <c r="R222" t="s">
        <v>74</v>
      </c>
      <c r="S222" t="s">
        <v>74</v>
      </c>
      <c r="T222" t="s">
        <v>74</v>
      </c>
      <c r="U222" t="s">
        <v>4399</v>
      </c>
      <c r="V222" t="s">
        <v>4400</v>
      </c>
      <c r="W222" t="s">
        <v>4401</v>
      </c>
      <c r="X222" t="s">
        <v>4402</v>
      </c>
      <c r="Y222" t="s">
        <v>4403</v>
      </c>
      <c r="Z222" t="s">
        <v>4404</v>
      </c>
      <c r="AA222" t="s">
        <v>4405</v>
      </c>
      <c r="AB222" t="s">
        <v>4406</v>
      </c>
      <c r="AC222" t="s">
        <v>4407</v>
      </c>
      <c r="AD222" t="s">
        <v>989</v>
      </c>
      <c r="AE222" t="s">
        <v>4408</v>
      </c>
      <c r="AF222" t="s">
        <v>74</v>
      </c>
      <c r="AG222">
        <v>23</v>
      </c>
      <c r="AH222">
        <v>19</v>
      </c>
      <c r="AI222">
        <v>20</v>
      </c>
      <c r="AJ222">
        <v>2</v>
      </c>
      <c r="AK222">
        <v>12</v>
      </c>
      <c r="AL222" t="s">
        <v>121</v>
      </c>
      <c r="AM222" t="s">
        <v>92</v>
      </c>
      <c r="AN222" t="s">
        <v>122</v>
      </c>
      <c r="AO222" t="s">
        <v>2021</v>
      </c>
      <c r="AP222" t="s">
        <v>2022</v>
      </c>
      <c r="AQ222" t="s">
        <v>74</v>
      </c>
      <c r="AR222" t="s">
        <v>2023</v>
      </c>
      <c r="AS222" t="s">
        <v>2024</v>
      </c>
      <c r="AT222" t="s">
        <v>3762</v>
      </c>
      <c r="AU222">
        <v>2010</v>
      </c>
      <c r="AV222">
        <v>73</v>
      </c>
      <c r="AW222">
        <v>3</v>
      </c>
      <c r="AX222" t="s">
        <v>74</v>
      </c>
      <c r="AY222" t="s">
        <v>74</v>
      </c>
      <c r="AZ222" t="s">
        <v>152</v>
      </c>
      <c r="BA222" t="s">
        <v>74</v>
      </c>
      <c r="BB222">
        <v>416</v>
      </c>
      <c r="BC222">
        <v>421</v>
      </c>
      <c r="BD222" t="s">
        <v>74</v>
      </c>
      <c r="BE222" t="s">
        <v>4409</v>
      </c>
      <c r="BF222" t="str">
        <f>HYPERLINK("http://dx.doi.org/10.1021/np900617m","http://dx.doi.org/10.1021/np900617m")</f>
        <v>http://dx.doi.org/10.1021/np900617m</v>
      </c>
      <c r="BG222" t="s">
        <v>74</v>
      </c>
      <c r="BH222" t="s">
        <v>74</v>
      </c>
      <c r="BI222">
        <v>6</v>
      </c>
      <c r="BJ222" t="s">
        <v>2026</v>
      </c>
      <c r="BK222" t="s">
        <v>2027</v>
      </c>
      <c r="BL222" t="s">
        <v>2028</v>
      </c>
      <c r="BM222" t="s">
        <v>4410</v>
      </c>
      <c r="BN222">
        <v>20121160</v>
      </c>
      <c r="BO222" t="s">
        <v>74</v>
      </c>
      <c r="BP222" t="s">
        <v>74</v>
      </c>
      <c r="BQ222" t="s">
        <v>74</v>
      </c>
      <c r="BR222" t="s">
        <v>105</v>
      </c>
      <c r="BS222" t="s">
        <v>4411</v>
      </c>
      <c r="BT222" t="str">
        <f>HYPERLINK("https%3A%2F%2Fwww.webofscience.com%2Fwos%2Fwoscc%2Ffull-record%2FWOS:000275885000022","View Full Record in Web of Science")</f>
        <v>View Full Record in Web of Science</v>
      </c>
    </row>
    <row r="223" spans="1:72" x14ac:dyDescent="0.15">
      <c r="A223" t="s">
        <v>72</v>
      </c>
      <c r="B223" t="s">
        <v>4412</v>
      </c>
      <c r="C223" t="s">
        <v>74</v>
      </c>
      <c r="D223" t="s">
        <v>74</v>
      </c>
      <c r="E223" t="s">
        <v>74</v>
      </c>
      <c r="F223" t="s">
        <v>4413</v>
      </c>
      <c r="G223" t="s">
        <v>74</v>
      </c>
      <c r="H223" t="s">
        <v>74</v>
      </c>
      <c r="I223" t="s">
        <v>4414</v>
      </c>
      <c r="J223" t="s">
        <v>4415</v>
      </c>
      <c r="K223" t="s">
        <v>74</v>
      </c>
      <c r="L223" t="s">
        <v>74</v>
      </c>
      <c r="M223" t="s">
        <v>78</v>
      </c>
      <c r="N223" t="s">
        <v>79</v>
      </c>
      <c r="O223" t="s">
        <v>74</v>
      </c>
      <c r="P223" t="s">
        <v>74</v>
      </c>
      <c r="Q223" t="s">
        <v>74</v>
      </c>
      <c r="R223" t="s">
        <v>74</v>
      </c>
      <c r="S223" t="s">
        <v>74</v>
      </c>
      <c r="T223" t="s">
        <v>74</v>
      </c>
      <c r="U223" t="s">
        <v>4416</v>
      </c>
      <c r="V223" t="s">
        <v>4417</v>
      </c>
      <c r="W223" t="s">
        <v>4418</v>
      </c>
      <c r="X223" t="s">
        <v>4419</v>
      </c>
      <c r="Y223" t="s">
        <v>4420</v>
      </c>
      <c r="Z223" t="s">
        <v>2505</v>
      </c>
      <c r="AA223" t="s">
        <v>4421</v>
      </c>
      <c r="AB223" t="s">
        <v>4422</v>
      </c>
      <c r="AC223" t="s">
        <v>4423</v>
      </c>
      <c r="AD223" t="s">
        <v>4424</v>
      </c>
      <c r="AE223" t="s">
        <v>4425</v>
      </c>
      <c r="AF223" t="s">
        <v>74</v>
      </c>
      <c r="AG223">
        <v>74</v>
      </c>
      <c r="AH223">
        <v>191</v>
      </c>
      <c r="AI223">
        <v>203</v>
      </c>
      <c r="AJ223">
        <v>1</v>
      </c>
      <c r="AK223">
        <v>77</v>
      </c>
      <c r="AL223" t="s">
        <v>1824</v>
      </c>
      <c r="AM223" t="s">
        <v>1825</v>
      </c>
      <c r="AN223" t="s">
        <v>4266</v>
      </c>
      <c r="AO223" t="s">
        <v>4426</v>
      </c>
      <c r="AP223" t="s">
        <v>4427</v>
      </c>
      <c r="AQ223" t="s">
        <v>74</v>
      </c>
      <c r="AR223" t="s">
        <v>4428</v>
      </c>
      <c r="AS223" t="s">
        <v>4429</v>
      </c>
      <c r="AT223" t="s">
        <v>3762</v>
      </c>
      <c r="AU223">
        <v>2010</v>
      </c>
      <c r="AV223">
        <v>40</v>
      </c>
      <c r="AW223">
        <v>3</v>
      </c>
      <c r="AX223" t="s">
        <v>74</v>
      </c>
      <c r="AY223" t="s">
        <v>74</v>
      </c>
      <c r="AZ223" t="s">
        <v>74</v>
      </c>
      <c r="BA223" t="s">
        <v>74</v>
      </c>
      <c r="BB223">
        <v>509</v>
      </c>
      <c r="BC223">
        <v>529</v>
      </c>
      <c r="BD223" t="s">
        <v>74</v>
      </c>
      <c r="BE223" t="s">
        <v>4430</v>
      </c>
      <c r="BF223" t="str">
        <f>HYPERLINK("http://dx.doi.org/10.1175/2009JPO4291.1","http://dx.doi.org/10.1175/2009JPO4291.1")</f>
        <v>http://dx.doi.org/10.1175/2009JPO4291.1</v>
      </c>
      <c r="BG223" t="s">
        <v>74</v>
      </c>
      <c r="BH223" t="s">
        <v>74</v>
      </c>
      <c r="BI223">
        <v>21</v>
      </c>
      <c r="BJ223" t="s">
        <v>101</v>
      </c>
      <c r="BK223" t="s">
        <v>102</v>
      </c>
      <c r="BL223" t="s">
        <v>101</v>
      </c>
      <c r="BM223" t="s">
        <v>4431</v>
      </c>
      <c r="BN223" t="s">
        <v>74</v>
      </c>
      <c r="BO223" t="s">
        <v>4432</v>
      </c>
      <c r="BP223" t="s">
        <v>74</v>
      </c>
      <c r="BQ223" t="s">
        <v>74</v>
      </c>
      <c r="BR223" t="s">
        <v>105</v>
      </c>
      <c r="BS223" t="s">
        <v>4433</v>
      </c>
      <c r="BT223" t="str">
        <f>HYPERLINK("https%3A%2F%2Fwww.webofscience.com%2Fwos%2Fwoscc%2Ffull-record%2FWOS:000275686900004","View Full Record in Web of Science")</f>
        <v>View Full Record in Web of Science</v>
      </c>
    </row>
    <row r="224" spans="1:72" x14ac:dyDescent="0.15">
      <c r="A224" t="s">
        <v>72</v>
      </c>
      <c r="B224" t="s">
        <v>4434</v>
      </c>
      <c r="C224" t="s">
        <v>74</v>
      </c>
      <c r="D224" t="s">
        <v>74</v>
      </c>
      <c r="E224" t="s">
        <v>74</v>
      </c>
      <c r="F224" t="s">
        <v>4435</v>
      </c>
      <c r="G224" t="s">
        <v>74</v>
      </c>
      <c r="H224" t="s">
        <v>74</v>
      </c>
      <c r="I224" t="s">
        <v>4436</v>
      </c>
      <c r="J224" t="s">
        <v>4437</v>
      </c>
      <c r="K224" t="s">
        <v>74</v>
      </c>
      <c r="L224" t="s">
        <v>74</v>
      </c>
      <c r="M224" t="s">
        <v>78</v>
      </c>
      <c r="N224" t="s">
        <v>79</v>
      </c>
      <c r="O224" t="s">
        <v>74</v>
      </c>
      <c r="P224" t="s">
        <v>74</v>
      </c>
      <c r="Q224" t="s">
        <v>74</v>
      </c>
      <c r="R224" t="s">
        <v>74</v>
      </c>
      <c r="S224" t="s">
        <v>74</v>
      </c>
      <c r="T224" t="s">
        <v>4438</v>
      </c>
      <c r="U224" t="s">
        <v>4439</v>
      </c>
      <c r="V224" t="s">
        <v>4440</v>
      </c>
      <c r="W224" t="s">
        <v>4441</v>
      </c>
      <c r="X224" t="s">
        <v>4442</v>
      </c>
      <c r="Y224" t="s">
        <v>4443</v>
      </c>
      <c r="Z224" t="s">
        <v>74</v>
      </c>
      <c r="AA224" t="s">
        <v>4444</v>
      </c>
      <c r="AB224" t="s">
        <v>4445</v>
      </c>
      <c r="AC224" t="s">
        <v>74</v>
      </c>
      <c r="AD224" t="s">
        <v>74</v>
      </c>
      <c r="AE224" t="s">
        <v>74</v>
      </c>
      <c r="AF224" t="s">
        <v>74</v>
      </c>
      <c r="AG224">
        <v>62</v>
      </c>
      <c r="AH224">
        <v>7</v>
      </c>
      <c r="AI224">
        <v>9</v>
      </c>
      <c r="AJ224">
        <v>2</v>
      </c>
      <c r="AK224">
        <v>36</v>
      </c>
      <c r="AL224" t="s">
        <v>1508</v>
      </c>
      <c r="AM224" t="s">
        <v>1064</v>
      </c>
      <c r="AN224" t="s">
        <v>1509</v>
      </c>
      <c r="AO224" t="s">
        <v>4446</v>
      </c>
      <c r="AP224" t="s">
        <v>4447</v>
      </c>
      <c r="AQ224" t="s">
        <v>74</v>
      </c>
      <c r="AR224" t="s">
        <v>4448</v>
      </c>
      <c r="AS224" t="s">
        <v>4449</v>
      </c>
      <c r="AT224" t="s">
        <v>3762</v>
      </c>
      <c r="AU224">
        <v>2010</v>
      </c>
      <c r="AV224">
        <v>3</v>
      </c>
      <c r="AW224">
        <v>1</v>
      </c>
      <c r="AX224" t="s">
        <v>74</v>
      </c>
      <c r="AY224" t="s">
        <v>74</v>
      </c>
      <c r="AZ224" t="s">
        <v>152</v>
      </c>
      <c r="BA224" t="s">
        <v>74</v>
      </c>
      <c r="BB224">
        <v>17</v>
      </c>
      <c r="BC224">
        <v>24</v>
      </c>
      <c r="BD224" t="s">
        <v>74</v>
      </c>
      <c r="BE224" t="s">
        <v>4450</v>
      </c>
      <c r="BF224" t="str">
        <f>HYPERLINK("http://dx.doi.org/10.1093/jpe/rtp029","http://dx.doi.org/10.1093/jpe/rtp029")</f>
        <v>http://dx.doi.org/10.1093/jpe/rtp029</v>
      </c>
      <c r="BG224" t="s">
        <v>74</v>
      </c>
      <c r="BH224" t="s">
        <v>74</v>
      </c>
      <c r="BI224">
        <v>8</v>
      </c>
      <c r="BJ224" t="s">
        <v>4451</v>
      </c>
      <c r="BK224" t="s">
        <v>102</v>
      </c>
      <c r="BL224" t="s">
        <v>4452</v>
      </c>
      <c r="BM224" t="s">
        <v>4453</v>
      </c>
      <c r="BN224" t="s">
        <v>74</v>
      </c>
      <c r="BO224" t="s">
        <v>104</v>
      </c>
      <c r="BP224" t="s">
        <v>74</v>
      </c>
      <c r="BQ224" t="s">
        <v>74</v>
      </c>
      <c r="BR224" t="s">
        <v>105</v>
      </c>
      <c r="BS224" t="s">
        <v>4454</v>
      </c>
      <c r="BT224" t="str">
        <f>HYPERLINK("https%3A%2F%2Fwww.webofscience.com%2Fwos%2Fwoscc%2Ffull-record%2FWOS:000275660300003","View Full Record in Web of Science")</f>
        <v>View Full Record in Web of Science</v>
      </c>
    </row>
    <row r="225" spans="1:72" x14ac:dyDescent="0.15">
      <c r="A225" t="s">
        <v>72</v>
      </c>
      <c r="B225" t="s">
        <v>4455</v>
      </c>
      <c r="C225" t="s">
        <v>74</v>
      </c>
      <c r="D225" t="s">
        <v>74</v>
      </c>
      <c r="E225" t="s">
        <v>74</v>
      </c>
      <c r="F225" t="s">
        <v>4456</v>
      </c>
      <c r="G225" t="s">
        <v>74</v>
      </c>
      <c r="H225" t="s">
        <v>74</v>
      </c>
      <c r="I225" t="s">
        <v>4457</v>
      </c>
      <c r="J225" t="s">
        <v>4458</v>
      </c>
      <c r="K225" t="s">
        <v>74</v>
      </c>
      <c r="L225" t="s">
        <v>74</v>
      </c>
      <c r="M225" t="s">
        <v>78</v>
      </c>
      <c r="N225" t="s">
        <v>79</v>
      </c>
      <c r="O225" t="s">
        <v>74</v>
      </c>
      <c r="P225" t="s">
        <v>74</v>
      </c>
      <c r="Q225" t="s">
        <v>74</v>
      </c>
      <c r="R225" t="s">
        <v>74</v>
      </c>
      <c r="S225" t="s">
        <v>74</v>
      </c>
      <c r="T225" t="s">
        <v>4459</v>
      </c>
      <c r="U225" t="s">
        <v>4460</v>
      </c>
      <c r="V225" t="s">
        <v>4461</v>
      </c>
      <c r="W225" t="s">
        <v>4462</v>
      </c>
      <c r="X225" t="s">
        <v>4463</v>
      </c>
      <c r="Y225" t="s">
        <v>4464</v>
      </c>
      <c r="Z225" t="s">
        <v>4465</v>
      </c>
      <c r="AA225" t="s">
        <v>74</v>
      </c>
      <c r="AB225" t="s">
        <v>4466</v>
      </c>
      <c r="AC225" t="s">
        <v>4467</v>
      </c>
      <c r="AD225" t="s">
        <v>4468</v>
      </c>
      <c r="AE225" t="s">
        <v>4469</v>
      </c>
      <c r="AF225" t="s">
        <v>74</v>
      </c>
      <c r="AG225">
        <v>40</v>
      </c>
      <c r="AH225">
        <v>1</v>
      </c>
      <c r="AI225">
        <v>1</v>
      </c>
      <c r="AJ225">
        <v>1</v>
      </c>
      <c r="AK225">
        <v>14</v>
      </c>
      <c r="AL225" t="s">
        <v>2312</v>
      </c>
      <c r="AM225" t="s">
        <v>992</v>
      </c>
      <c r="AN225" t="s">
        <v>993</v>
      </c>
      <c r="AO225" t="s">
        <v>4470</v>
      </c>
      <c r="AP225" t="s">
        <v>4471</v>
      </c>
      <c r="AQ225" t="s">
        <v>74</v>
      </c>
      <c r="AR225" t="s">
        <v>4472</v>
      </c>
      <c r="AS225" t="s">
        <v>4473</v>
      </c>
      <c r="AT225" t="s">
        <v>3762</v>
      </c>
      <c r="AU225">
        <v>2010</v>
      </c>
      <c r="AV225">
        <v>25</v>
      </c>
      <c r="AW225">
        <v>3</v>
      </c>
      <c r="AX225" t="s">
        <v>74</v>
      </c>
      <c r="AY225" t="s">
        <v>74</v>
      </c>
      <c r="AZ225" t="s">
        <v>74</v>
      </c>
      <c r="BA225" t="s">
        <v>74</v>
      </c>
      <c r="BB225">
        <v>237</v>
      </c>
      <c r="BC225">
        <v>242</v>
      </c>
      <c r="BD225" t="s">
        <v>74</v>
      </c>
      <c r="BE225" t="s">
        <v>4474</v>
      </c>
      <c r="BF225" t="str">
        <f>HYPERLINK("http://dx.doi.org/10.1002/jqs.1344","http://dx.doi.org/10.1002/jqs.1344")</f>
        <v>http://dx.doi.org/10.1002/jqs.1344</v>
      </c>
      <c r="BG225" t="s">
        <v>74</v>
      </c>
      <c r="BH225" t="s">
        <v>74</v>
      </c>
      <c r="BI225">
        <v>6</v>
      </c>
      <c r="BJ225" t="s">
        <v>2881</v>
      </c>
      <c r="BK225" t="s">
        <v>102</v>
      </c>
      <c r="BL225" t="s">
        <v>2628</v>
      </c>
      <c r="BM225" t="s">
        <v>4475</v>
      </c>
      <c r="BN225" t="s">
        <v>74</v>
      </c>
      <c r="BO225" t="s">
        <v>74</v>
      </c>
      <c r="BP225" t="s">
        <v>74</v>
      </c>
      <c r="BQ225" t="s">
        <v>74</v>
      </c>
      <c r="BR225" t="s">
        <v>105</v>
      </c>
      <c r="BS225" t="s">
        <v>4476</v>
      </c>
      <c r="BT225" t="str">
        <f>HYPERLINK("https%3A%2F%2Fwww.webofscience.com%2Fwos%2Fwoscc%2Ffull-record%2FWOS:000276090800001","View Full Record in Web of Science")</f>
        <v>View Full Record in Web of Science</v>
      </c>
    </row>
    <row r="226" spans="1:72" x14ac:dyDescent="0.15">
      <c r="A226" t="s">
        <v>72</v>
      </c>
      <c r="B226" t="s">
        <v>4477</v>
      </c>
      <c r="C226" t="s">
        <v>74</v>
      </c>
      <c r="D226" t="s">
        <v>74</v>
      </c>
      <c r="E226" t="s">
        <v>74</v>
      </c>
      <c r="F226" t="s">
        <v>4478</v>
      </c>
      <c r="G226" t="s">
        <v>74</v>
      </c>
      <c r="H226" t="s">
        <v>74</v>
      </c>
      <c r="I226" t="s">
        <v>4479</v>
      </c>
      <c r="J226" t="s">
        <v>4458</v>
      </c>
      <c r="K226" t="s">
        <v>74</v>
      </c>
      <c r="L226" t="s">
        <v>74</v>
      </c>
      <c r="M226" t="s">
        <v>78</v>
      </c>
      <c r="N226" t="s">
        <v>79</v>
      </c>
      <c r="O226" t="s">
        <v>74</v>
      </c>
      <c r="P226" t="s">
        <v>74</v>
      </c>
      <c r="Q226" t="s">
        <v>74</v>
      </c>
      <c r="R226" t="s">
        <v>74</v>
      </c>
      <c r="S226" t="s">
        <v>74</v>
      </c>
      <c r="T226" t="s">
        <v>4480</v>
      </c>
      <c r="U226" t="s">
        <v>4481</v>
      </c>
      <c r="V226" t="s">
        <v>4482</v>
      </c>
      <c r="W226" t="s">
        <v>4483</v>
      </c>
      <c r="X226" t="s">
        <v>4484</v>
      </c>
      <c r="Y226" t="s">
        <v>4485</v>
      </c>
      <c r="Z226" t="s">
        <v>4486</v>
      </c>
      <c r="AA226" t="s">
        <v>4487</v>
      </c>
      <c r="AB226" t="s">
        <v>4488</v>
      </c>
      <c r="AC226" t="s">
        <v>4489</v>
      </c>
      <c r="AD226" t="s">
        <v>4490</v>
      </c>
      <c r="AE226" t="s">
        <v>4491</v>
      </c>
      <c r="AF226" t="s">
        <v>74</v>
      </c>
      <c r="AG226">
        <v>77</v>
      </c>
      <c r="AH226">
        <v>61</v>
      </c>
      <c r="AI226">
        <v>70</v>
      </c>
      <c r="AJ226">
        <v>4</v>
      </c>
      <c r="AK226">
        <v>25</v>
      </c>
      <c r="AL226" t="s">
        <v>2312</v>
      </c>
      <c r="AM226" t="s">
        <v>992</v>
      </c>
      <c r="AN226" t="s">
        <v>993</v>
      </c>
      <c r="AO226" t="s">
        <v>4470</v>
      </c>
      <c r="AP226" t="s">
        <v>4471</v>
      </c>
      <c r="AQ226" t="s">
        <v>74</v>
      </c>
      <c r="AR226" t="s">
        <v>4472</v>
      </c>
      <c r="AS226" t="s">
        <v>4473</v>
      </c>
      <c r="AT226" t="s">
        <v>3762</v>
      </c>
      <c r="AU226">
        <v>2010</v>
      </c>
      <c r="AV226">
        <v>25</v>
      </c>
      <c r="AW226">
        <v>3</v>
      </c>
      <c r="AX226" t="s">
        <v>74</v>
      </c>
      <c r="AY226" t="s">
        <v>74</v>
      </c>
      <c r="AZ226" t="s">
        <v>74</v>
      </c>
      <c r="BA226" t="s">
        <v>74</v>
      </c>
      <c r="BB226">
        <v>280</v>
      </c>
      <c r="BC226">
        <v>295</v>
      </c>
      <c r="BD226" t="s">
        <v>74</v>
      </c>
      <c r="BE226" t="s">
        <v>4492</v>
      </c>
      <c r="BF226" t="str">
        <f>HYPERLINK("http://dx.doi.org/10.1002/jqs.1308","http://dx.doi.org/10.1002/jqs.1308")</f>
        <v>http://dx.doi.org/10.1002/jqs.1308</v>
      </c>
      <c r="BG226" t="s">
        <v>74</v>
      </c>
      <c r="BH226" t="s">
        <v>74</v>
      </c>
      <c r="BI226">
        <v>16</v>
      </c>
      <c r="BJ226" t="s">
        <v>2881</v>
      </c>
      <c r="BK226" t="s">
        <v>102</v>
      </c>
      <c r="BL226" t="s">
        <v>2628</v>
      </c>
      <c r="BM226" t="s">
        <v>4475</v>
      </c>
      <c r="BN226" t="s">
        <v>74</v>
      </c>
      <c r="BO226" t="s">
        <v>74</v>
      </c>
      <c r="BP226" t="s">
        <v>74</v>
      </c>
      <c r="BQ226" t="s">
        <v>74</v>
      </c>
      <c r="BR226" t="s">
        <v>105</v>
      </c>
      <c r="BS226" t="s">
        <v>4493</v>
      </c>
      <c r="BT226" t="str">
        <f>HYPERLINK("https%3A%2F%2Fwww.webofscience.com%2Fwos%2Fwoscc%2Ffull-record%2FWOS:000276090800006","View Full Record in Web of Science")</f>
        <v>View Full Record in Web of Science</v>
      </c>
    </row>
    <row r="227" spans="1:72" x14ac:dyDescent="0.15">
      <c r="A227" t="s">
        <v>72</v>
      </c>
      <c r="B227" t="s">
        <v>4494</v>
      </c>
      <c r="C227" t="s">
        <v>74</v>
      </c>
      <c r="D227" t="s">
        <v>74</v>
      </c>
      <c r="E227" t="s">
        <v>74</v>
      </c>
      <c r="F227" t="s">
        <v>4495</v>
      </c>
      <c r="G227" t="s">
        <v>74</v>
      </c>
      <c r="H227" t="s">
        <v>74</v>
      </c>
      <c r="I227" t="s">
        <v>4496</v>
      </c>
      <c r="J227" t="s">
        <v>4497</v>
      </c>
      <c r="K227" t="s">
        <v>74</v>
      </c>
      <c r="L227" t="s">
        <v>74</v>
      </c>
      <c r="M227" t="s">
        <v>78</v>
      </c>
      <c r="N227" t="s">
        <v>111</v>
      </c>
      <c r="O227" t="s">
        <v>4498</v>
      </c>
      <c r="P227" t="s">
        <v>4499</v>
      </c>
      <c r="Q227" t="s">
        <v>4500</v>
      </c>
      <c r="R227" t="s">
        <v>74</v>
      </c>
      <c r="S227" t="s">
        <v>74</v>
      </c>
      <c r="T227" t="s">
        <v>74</v>
      </c>
      <c r="U227" t="s">
        <v>4501</v>
      </c>
      <c r="V227" t="s">
        <v>4502</v>
      </c>
      <c r="W227" t="s">
        <v>4503</v>
      </c>
      <c r="X227" t="s">
        <v>4504</v>
      </c>
      <c r="Y227" t="s">
        <v>4505</v>
      </c>
      <c r="Z227" t="s">
        <v>4506</v>
      </c>
      <c r="AA227" t="s">
        <v>74</v>
      </c>
      <c r="AB227" t="s">
        <v>74</v>
      </c>
      <c r="AC227" t="s">
        <v>74</v>
      </c>
      <c r="AD227" t="s">
        <v>74</v>
      </c>
      <c r="AE227" t="s">
        <v>74</v>
      </c>
      <c r="AF227" t="s">
        <v>74</v>
      </c>
      <c r="AG227">
        <v>104</v>
      </c>
      <c r="AH227">
        <v>14</v>
      </c>
      <c r="AI227">
        <v>16</v>
      </c>
      <c r="AJ227">
        <v>0</v>
      </c>
      <c r="AK227">
        <v>15</v>
      </c>
      <c r="AL227" t="s">
        <v>4507</v>
      </c>
      <c r="AM227" t="s">
        <v>4508</v>
      </c>
      <c r="AN227" t="s">
        <v>4509</v>
      </c>
      <c r="AO227" t="s">
        <v>4510</v>
      </c>
      <c r="AP227" t="s">
        <v>4511</v>
      </c>
      <c r="AQ227" t="s">
        <v>74</v>
      </c>
      <c r="AR227" t="s">
        <v>4512</v>
      </c>
      <c r="AS227" t="s">
        <v>4513</v>
      </c>
      <c r="AT227" t="s">
        <v>3762</v>
      </c>
      <c r="AU227">
        <v>2010</v>
      </c>
      <c r="AV227">
        <v>167</v>
      </c>
      <c r="AW227">
        <v>2</v>
      </c>
      <c r="AX227" t="s">
        <v>74</v>
      </c>
      <c r="AY227" t="s">
        <v>74</v>
      </c>
      <c r="AZ227" t="s">
        <v>74</v>
      </c>
      <c r="BA227" t="s">
        <v>74</v>
      </c>
      <c r="BB227">
        <v>401</v>
      </c>
      <c r="BC227">
        <v>416</v>
      </c>
      <c r="BD227" t="s">
        <v>74</v>
      </c>
      <c r="BE227" t="s">
        <v>4514</v>
      </c>
      <c r="BF227" t="str">
        <f>HYPERLINK("http://dx.doi.org/10.1144/0016-76492009-044","http://dx.doi.org/10.1144/0016-76492009-044")</f>
        <v>http://dx.doi.org/10.1144/0016-76492009-044</v>
      </c>
      <c r="BG227" t="s">
        <v>74</v>
      </c>
      <c r="BH227" t="s">
        <v>74</v>
      </c>
      <c r="BI227">
        <v>16</v>
      </c>
      <c r="BJ227" t="s">
        <v>913</v>
      </c>
      <c r="BK227" t="s">
        <v>128</v>
      </c>
      <c r="BL227" t="s">
        <v>914</v>
      </c>
      <c r="BM227" t="s">
        <v>4515</v>
      </c>
      <c r="BN227" t="s">
        <v>74</v>
      </c>
      <c r="BO227" t="s">
        <v>74</v>
      </c>
      <c r="BP227" t="s">
        <v>74</v>
      </c>
      <c r="BQ227" t="s">
        <v>74</v>
      </c>
      <c r="BR227" t="s">
        <v>105</v>
      </c>
      <c r="BS227" t="s">
        <v>4516</v>
      </c>
      <c r="BT227" t="str">
        <f>HYPERLINK("https%3A%2F%2Fwww.webofscience.com%2Fwos%2Fwoscc%2Ffull-record%2FWOS:000275721900016","View Full Record in Web of Science")</f>
        <v>View Full Record in Web of Science</v>
      </c>
    </row>
    <row r="228" spans="1:72" x14ac:dyDescent="0.15">
      <c r="A228" t="s">
        <v>72</v>
      </c>
      <c r="B228" t="s">
        <v>4517</v>
      </c>
      <c r="C228" t="s">
        <v>74</v>
      </c>
      <c r="D228" t="s">
        <v>74</v>
      </c>
      <c r="E228" t="s">
        <v>74</v>
      </c>
      <c r="F228" t="s">
        <v>4518</v>
      </c>
      <c r="G228" t="s">
        <v>74</v>
      </c>
      <c r="H228" t="s">
        <v>74</v>
      </c>
      <c r="I228" t="s">
        <v>4519</v>
      </c>
      <c r="J228" t="s">
        <v>4520</v>
      </c>
      <c r="K228" t="s">
        <v>74</v>
      </c>
      <c r="L228" t="s">
        <v>74</v>
      </c>
      <c r="M228" t="s">
        <v>78</v>
      </c>
      <c r="N228" t="s">
        <v>79</v>
      </c>
      <c r="O228" t="s">
        <v>74</v>
      </c>
      <c r="P228" t="s">
        <v>74</v>
      </c>
      <c r="Q228" t="s">
        <v>74</v>
      </c>
      <c r="R228" t="s">
        <v>74</v>
      </c>
      <c r="S228" t="s">
        <v>74</v>
      </c>
      <c r="T228" t="s">
        <v>4521</v>
      </c>
      <c r="U228" t="s">
        <v>4522</v>
      </c>
      <c r="V228" t="s">
        <v>4523</v>
      </c>
      <c r="W228" t="s">
        <v>4524</v>
      </c>
      <c r="X228" t="s">
        <v>4525</v>
      </c>
      <c r="Y228" t="s">
        <v>4526</v>
      </c>
      <c r="Z228" t="s">
        <v>4527</v>
      </c>
      <c r="AA228" t="s">
        <v>74</v>
      </c>
      <c r="AB228" t="s">
        <v>4528</v>
      </c>
      <c r="AC228" t="s">
        <v>74</v>
      </c>
      <c r="AD228" t="s">
        <v>74</v>
      </c>
      <c r="AE228" t="s">
        <v>74</v>
      </c>
      <c r="AF228" t="s">
        <v>74</v>
      </c>
      <c r="AG228">
        <v>258</v>
      </c>
      <c r="AH228">
        <v>82</v>
      </c>
      <c r="AI228">
        <v>129</v>
      </c>
      <c r="AJ228">
        <v>0</v>
      </c>
      <c r="AK228">
        <v>31</v>
      </c>
      <c r="AL228" t="s">
        <v>813</v>
      </c>
      <c r="AM228" t="s">
        <v>225</v>
      </c>
      <c r="AN228" t="s">
        <v>907</v>
      </c>
      <c r="AO228" t="s">
        <v>4529</v>
      </c>
      <c r="AP228" t="s">
        <v>4530</v>
      </c>
      <c r="AQ228" t="s">
        <v>74</v>
      </c>
      <c r="AR228" t="s">
        <v>4531</v>
      </c>
      <c r="AS228" t="s">
        <v>4532</v>
      </c>
      <c r="AT228" t="s">
        <v>3762</v>
      </c>
      <c r="AU228">
        <v>2010</v>
      </c>
      <c r="AV228">
        <v>23</v>
      </c>
      <c r="AW228">
        <v>1</v>
      </c>
      <c r="AX228" t="s">
        <v>74</v>
      </c>
      <c r="AY228" t="s">
        <v>74</v>
      </c>
      <c r="AZ228" t="s">
        <v>74</v>
      </c>
      <c r="BA228" t="s">
        <v>74</v>
      </c>
      <c r="BB228">
        <v>1</v>
      </c>
      <c r="BC228">
        <v>41</v>
      </c>
      <c r="BD228" t="s">
        <v>74</v>
      </c>
      <c r="BE228" t="s">
        <v>4533</v>
      </c>
      <c r="BF228" t="str">
        <f>HYPERLINK("http://dx.doi.org/10.1007/s10963-009-9032-4","http://dx.doi.org/10.1007/s10963-009-9032-4")</f>
        <v>http://dx.doi.org/10.1007/s10963-009-9032-4</v>
      </c>
      <c r="BG228" t="s">
        <v>74</v>
      </c>
      <c r="BH228" t="s">
        <v>74</v>
      </c>
      <c r="BI228">
        <v>41</v>
      </c>
      <c r="BJ228" t="s">
        <v>4534</v>
      </c>
      <c r="BK228" t="s">
        <v>4535</v>
      </c>
      <c r="BL228" t="s">
        <v>4534</v>
      </c>
      <c r="BM228" t="s">
        <v>4536</v>
      </c>
      <c r="BN228" t="s">
        <v>74</v>
      </c>
      <c r="BO228" t="s">
        <v>74</v>
      </c>
      <c r="BP228" t="s">
        <v>74</v>
      </c>
      <c r="BQ228" t="s">
        <v>74</v>
      </c>
      <c r="BR228" t="s">
        <v>105</v>
      </c>
      <c r="BS228" t="s">
        <v>4537</v>
      </c>
      <c r="BT228" t="str">
        <f>HYPERLINK("https%3A%2F%2Fwww.webofscience.com%2Fwos%2Fwoscc%2Ffull-record%2FWOS:000276259400001","View Full Record in Web of Science")</f>
        <v>View Full Record in Web of Science</v>
      </c>
    </row>
    <row r="229" spans="1:72" x14ac:dyDescent="0.15">
      <c r="A229" t="s">
        <v>72</v>
      </c>
      <c r="B229" t="s">
        <v>4538</v>
      </c>
      <c r="C229" t="s">
        <v>74</v>
      </c>
      <c r="D229" t="s">
        <v>74</v>
      </c>
      <c r="E229" t="s">
        <v>74</v>
      </c>
      <c r="F229" t="s">
        <v>4539</v>
      </c>
      <c r="G229" t="s">
        <v>74</v>
      </c>
      <c r="H229" t="s">
        <v>74</v>
      </c>
      <c r="I229" t="s">
        <v>4540</v>
      </c>
      <c r="J229" t="s">
        <v>4541</v>
      </c>
      <c r="K229" t="s">
        <v>74</v>
      </c>
      <c r="L229" t="s">
        <v>74</v>
      </c>
      <c r="M229" t="s">
        <v>78</v>
      </c>
      <c r="N229" t="s">
        <v>79</v>
      </c>
      <c r="O229" t="s">
        <v>74</v>
      </c>
      <c r="P229" t="s">
        <v>74</v>
      </c>
      <c r="Q229" t="s">
        <v>74</v>
      </c>
      <c r="R229" t="s">
        <v>74</v>
      </c>
      <c r="S229" t="s">
        <v>74</v>
      </c>
      <c r="T229" t="s">
        <v>74</v>
      </c>
      <c r="U229" t="s">
        <v>4542</v>
      </c>
      <c r="V229" t="s">
        <v>4543</v>
      </c>
      <c r="W229" t="s">
        <v>4544</v>
      </c>
      <c r="X229" t="s">
        <v>4545</v>
      </c>
      <c r="Y229" t="s">
        <v>4546</v>
      </c>
      <c r="Z229" t="s">
        <v>4547</v>
      </c>
      <c r="AA229" t="s">
        <v>4548</v>
      </c>
      <c r="AB229" t="s">
        <v>4549</v>
      </c>
      <c r="AC229" t="s">
        <v>4550</v>
      </c>
      <c r="AD229" t="s">
        <v>4551</v>
      </c>
      <c r="AE229" t="s">
        <v>4552</v>
      </c>
      <c r="AF229" t="s">
        <v>74</v>
      </c>
      <c r="AG229">
        <v>50</v>
      </c>
      <c r="AH229">
        <v>21</v>
      </c>
      <c r="AI229">
        <v>23</v>
      </c>
      <c r="AJ229">
        <v>0</v>
      </c>
      <c r="AK229">
        <v>17</v>
      </c>
      <c r="AL229" t="s">
        <v>991</v>
      </c>
      <c r="AM229" t="s">
        <v>992</v>
      </c>
      <c r="AN229" t="s">
        <v>993</v>
      </c>
      <c r="AO229" t="s">
        <v>4553</v>
      </c>
      <c r="AP229" t="s">
        <v>4554</v>
      </c>
      <c r="AQ229" t="s">
        <v>74</v>
      </c>
      <c r="AR229" t="s">
        <v>4555</v>
      </c>
      <c r="AS229" t="s">
        <v>4556</v>
      </c>
      <c r="AT229" t="s">
        <v>3762</v>
      </c>
      <c r="AU229">
        <v>2010</v>
      </c>
      <c r="AV229">
        <v>55</v>
      </c>
      <c r="AW229">
        <v>2</v>
      </c>
      <c r="AX229" t="s">
        <v>74</v>
      </c>
      <c r="AY229" t="s">
        <v>74</v>
      </c>
      <c r="AZ229" t="s">
        <v>74</v>
      </c>
      <c r="BA229" t="s">
        <v>74</v>
      </c>
      <c r="BB229">
        <v>777</v>
      </c>
      <c r="BC229">
        <v>788</v>
      </c>
      <c r="BD229" t="s">
        <v>74</v>
      </c>
      <c r="BE229" t="s">
        <v>4557</v>
      </c>
      <c r="BF229" t="str">
        <f>HYPERLINK("http://dx.doi.org/10.4319/lo.2009.55.2.0777","http://dx.doi.org/10.4319/lo.2009.55.2.0777")</f>
        <v>http://dx.doi.org/10.4319/lo.2009.55.2.0777</v>
      </c>
      <c r="BG229" t="s">
        <v>74</v>
      </c>
      <c r="BH229" t="s">
        <v>74</v>
      </c>
      <c r="BI229">
        <v>12</v>
      </c>
      <c r="BJ229" t="s">
        <v>4558</v>
      </c>
      <c r="BK229" t="s">
        <v>102</v>
      </c>
      <c r="BL229" t="s">
        <v>3310</v>
      </c>
      <c r="BM229" t="s">
        <v>4559</v>
      </c>
      <c r="BN229" t="s">
        <v>74</v>
      </c>
      <c r="BO229" t="s">
        <v>555</v>
      </c>
      <c r="BP229" t="s">
        <v>74</v>
      </c>
      <c r="BQ229" t="s">
        <v>74</v>
      </c>
      <c r="BR229" t="s">
        <v>105</v>
      </c>
      <c r="BS229" t="s">
        <v>4560</v>
      </c>
      <c r="BT229" t="str">
        <f>HYPERLINK("https%3A%2F%2Fwww.webofscience.com%2Fwos%2Fwoscc%2Ffull-record%2FWOS:000276440000027","View Full Record in Web of Science")</f>
        <v>View Full Record in Web of Science</v>
      </c>
    </row>
    <row r="230" spans="1:72" x14ac:dyDescent="0.15">
      <c r="A230" t="s">
        <v>72</v>
      </c>
      <c r="B230" t="s">
        <v>4561</v>
      </c>
      <c r="C230" t="s">
        <v>74</v>
      </c>
      <c r="D230" t="s">
        <v>74</v>
      </c>
      <c r="E230" t="s">
        <v>74</v>
      </c>
      <c r="F230" t="s">
        <v>4562</v>
      </c>
      <c r="G230" t="s">
        <v>74</v>
      </c>
      <c r="H230" t="s">
        <v>74</v>
      </c>
      <c r="I230" t="s">
        <v>4563</v>
      </c>
      <c r="J230" t="s">
        <v>4541</v>
      </c>
      <c r="K230" t="s">
        <v>74</v>
      </c>
      <c r="L230" t="s">
        <v>74</v>
      </c>
      <c r="M230" t="s">
        <v>78</v>
      </c>
      <c r="N230" t="s">
        <v>79</v>
      </c>
      <c r="O230" t="s">
        <v>74</v>
      </c>
      <c r="P230" t="s">
        <v>74</v>
      </c>
      <c r="Q230" t="s">
        <v>74</v>
      </c>
      <c r="R230" t="s">
        <v>74</v>
      </c>
      <c r="S230" t="s">
        <v>74</v>
      </c>
      <c r="T230" t="s">
        <v>74</v>
      </c>
      <c r="U230" t="s">
        <v>4564</v>
      </c>
      <c r="V230" t="s">
        <v>4565</v>
      </c>
      <c r="W230" t="s">
        <v>4566</v>
      </c>
      <c r="X230" t="s">
        <v>4567</v>
      </c>
      <c r="Y230" t="s">
        <v>4568</v>
      </c>
      <c r="Z230" t="s">
        <v>4569</v>
      </c>
      <c r="AA230" t="s">
        <v>4570</v>
      </c>
      <c r="AB230" t="s">
        <v>4571</v>
      </c>
      <c r="AC230" t="s">
        <v>4572</v>
      </c>
      <c r="AD230" t="s">
        <v>4573</v>
      </c>
      <c r="AE230" t="s">
        <v>4574</v>
      </c>
      <c r="AF230" t="s">
        <v>74</v>
      </c>
      <c r="AG230">
        <v>43</v>
      </c>
      <c r="AH230">
        <v>106</v>
      </c>
      <c r="AI230">
        <v>114</v>
      </c>
      <c r="AJ230">
        <v>3</v>
      </c>
      <c r="AK230">
        <v>50</v>
      </c>
      <c r="AL230" t="s">
        <v>991</v>
      </c>
      <c r="AM230" t="s">
        <v>992</v>
      </c>
      <c r="AN230" t="s">
        <v>993</v>
      </c>
      <c r="AO230" t="s">
        <v>4553</v>
      </c>
      <c r="AP230" t="s">
        <v>4554</v>
      </c>
      <c r="AQ230" t="s">
        <v>74</v>
      </c>
      <c r="AR230" t="s">
        <v>4555</v>
      </c>
      <c r="AS230" t="s">
        <v>4556</v>
      </c>
      <c r="AT230" t="s">
        <v>3762</v>
      </c>
      <c r="AU230">
        <v>2010</v>
      </c>
      <c r="AV230">
        <v>55</v>
      </c>
      <c r="AW230">
        <v>2</v>
      </c>
      <c r="AX230" t="s">
        <v>74</v>
      </c>
      <c r="AY230" t="s">
        <v>74</v>
      </c>
      <c r="AZ230" t="s">
        <v>74</v>
      </c>
      <c r="BA230" t="s">
        <v>74</v>
      </c>
      <c r="BB230">
        <v>831</v>
      </c>
      <c r="BC230">
        <v>845</v>
      </c>
      <c r="BD230" t="s">
        <v>74</v>
      </c>
      <c r="BE230" t="s">
        <v>4575</v>
      </c>
      <c r="BF230" t="str">
        <f>HYPERLINK("http://dx.doi.org/10.4319/lo.2009.55.2.0831","http://dx.doi.org/10.4319/lo.2009.55.2.0831")</f>
        <v>http://dx.doi.org/10.4319/lo.2009.55.2.0831</v>
      </c>
      <c r="BG230" t="s">
        <v>74</v>
      </c>
      <c r="BH230" t="s">
        <v>74</v>
      </c>
      <c r="BI230">
        <v>15</v>
      </c>
      <c r="BJ230" t="s">
        <v>4558</v>
      </c>
      <c r="BK230" t="s">
        <v>102</v>
      </c>
      <c r="BL230" t="s">
        <v>3310</v>
      </c>
      <c r="BM230" t="s">
        <v>4559</v>
      </c>
      <c r="BN230" t="s">
        <v>74</v>
      </c>
      <c r="BO230" t="s">
        <v>104</v>
      </c>
      <c r="BP230" t="s">
        <v>74</v>
      </c>
      <c r="BQ230" t="s">
        <v>74</v>
      </c>
      <c r="BR230" t="s">
        <v>105</v>
      </c>
      <c r="BS230" t="s">
        <v>4576</v>
      </c>
      <c r="BT230" t="str">
        <f>HYPERLINK("https%3A%2F%2Fwww.webofscience.com%2Fwos%2Fwoscc%2Ffull-record%2FWOS:000276440000031","View Full Record in Web of Science")</f>
        <v>View Full Record in Web of Science</v>
      </c>
    </row>
    <row r="231" spans="1:72" x14ac:dyDescent="0.15">
      <c r="A231" t="s">
        <v>72</v>
      </c>
      <c r="B231" t="s">
        <v>4577</v>
      </c>
      <c r="C231" t="s">
        <v>74</v>
      </c>
      <c r="D231" t="s">
        <v>74</v>
      </c>
      <c r="E231" t="s">
        <v>74</v>
      </c>
      <c r="F231" t="s">
        <v>4578</v>
      </c>
      <c r="G231" t="s">
        <v>74</v>
      </c>
      <c r="H231" t="s">
        <v>74</v>
      </c>
      <c r="I231" t="s">
        <v>4579</v>
      </c>
      <c r="J231" t="s">
        <v>2169</v>
      </c>
      <c r="K231" t="s">
        <v>74</v>
      </c>
      <c r="L231" t="s">
        <v>74</v>
      </c>
      <c r="M231" t="s">
        <v>78</v>
      </c>
      <c r="N231" t="s">
        <v>79</v>
      </c>
      <c r="O231" t="s">
        <v>74</v>
      </c>
      <c r="P231" t="s">
        <v>74</v>
      </c>
      <c r="Q231" t="s">
        <v>74</v>
      </c>
      <c r="R231" t="s">
        <v>74</v>
      </c>
      <c r="S231" t="s">
        <v>74</v>
      </c>
      <c r="T231" t="s">
        <v>74</v>
      </c>
      <c r="U231" t="s">
        <v>4580</v>
      </c>
      <c r="V231" t="s">
        <v>4581</v>
      </c>
      <c r="W231" t="s">
        <v>4582</v>
      </c>
      <c r="X231" t="s">
        <v>4583</v>
      </c>
      <c r="Y231" t="s">
        <v>4584</v>
      </c>
      <c r="Z231" t="s">
        <v>4585</v>
      </c>
      <c r="AA231" t="s">
        <v>74</v>
      </c>
      <c r="AB231" t="s">
        <v>4586</v>
      </c>
      <c r="AC231" t="s">
        <v>4587</v>
      </c>
      <c r="AD231" t="s">
        <v>3326</v>
      </c>
      <c r="AE231" t="s">
        <v>4588</v>
      </c>
      <c r="AF231" t="s">
        <v>74</v>
      </c>
      <c r="AG231">
        <v>64</v>
      </c>
      <c r="AH231">
        <v>28</v>
      </c>
      <c r="AI231">
        <v>34</v>
      </c>
      <c r="AJ231">
        <v>1</v>
      </c>
      <c r="AK231">
        <v>30</v>
      </c>
      <c r="AL231" t="s">
        <v>813</v>
      </c>
      <c r="AM231" t="s">
        <v>225</v>
      </c>
      <c r="AN231" t="s">
        <v>2228</v>
      </c>
      <c r="AO231" t="s">
        <v>2181</v>
      </c>
      <c r="AP231" t="s">
        <v>74</v>
      </c>
      <c r="AQ231" t="s">
        <v>74</v>
      </c>
      <c r="AR231" t="s">
        <v>2183</v>
      </c>
      <c r="AS231" t="s">
        <v>2184</v>
      </c>
      <c r="AT231" t="s">
        <v>3762</v>
      </c>
      <c r="AU231">
        <v>2010</v>
      </c>
      <c r="AV231">
        <v>157</v>
      </c>
      <c r="AW231">
        <v>3</v>
      </c>
      <c r="AX231" t="s">
        <v>74</v>
      </c>
      <c r="AY231" t="s">
        <v>74</v>
      </c>
      <c r="AZ231" t="s">
        <v>74</v>
      </c>
      <c r="BA231" t="s">
        <v>74</v>
      </c>
      <c r="BB231">
        <v>463</v>
      </c>
      <c r="BC231">
        <v>471</v>
      </c>
      <c r="BD231" t="s">
        <v>74</v>
      </c>
      <c r="BE231" t="s">
        <v>4589</v>
      </c>
      <c r="BF231" t="str">
        <f>HYPERLINK("http://dx.doi.org/10.1007/s00227-009-1332-9","http://dx.doi.org/10.1007/s00227-009-1332-9")</f>
        <v>http://dx.doi.org/10.1007/s00227-009-1332-9</v>
      </c>
      <c r="BG231" t="s">
        <v>74</v>
      </c>
      <c r="BH231" t="s">
        <v>74</v>
      </c>
      <c r="BI231">
        <v>9</v>
      </c>
      <c r="BJ231" t="s">
        <v>2186</v>
      </c>
      <c r="BK231" t="s">
        <v>102</v>
      </c>
      <c r="BL231" t="s">
        <v>2186</v>
      </c>
      <c r="BM231" t="s">
        <v>4590</v>
      </c>
      <c r="BN231" t="s">
        <v>74</v>
      </c>
      <c r="BO231" t="s">
        <v>74</v>
      </c>
      <c r="BP231" t="s">
        <v>74</v>
      </c>
      <c r="BQ231" t="s">
        <v>74</v>
      </c>
      <c r="BR231" t="s">
        <v>105</v>
      </c>
      <c r="BS231" t="s">
        <v>4591</v>
      </c>
      <c r="BT231" t="str">
        <f>HYPERLINK("https%3A%2F%2Fwww.webofscience.com%2Fwos%2Fwoscc%2Ffull-record%2FWOS:000274386400002","View Full Record in Web of Science")</f>
        <v>View Full Record in Web of Science</v>
      </c>
    </row>
    <row r="232" spans="1:72" x14ac:dyDescent="0.15">
      <c r="A232" t="s">
        <v>72</v>
      </c>
      <c r="B232" t="s">
        <v>4592</v>
      </c>
      <c r="C232" t="s">
        <v>74</v>
      </c>
      <c r="D232" t="s">
        <v>74</v>
      </c>
      <c r="E232" t="s">
        <v>74</v>
      </c>
      <c r="F232" t="s">
        <v>4593</v>
      </c>
      <c r="G232" t="s">
        <v>74</v>
      </c>
      <c r="H232" t="s">
        <v>74</v>
      </c>
      <c r="I232" t="s">
        <v>4594</v>
      </c>
      <c r="J232" t="s">
        <v>4595</v>
      </c>
      <c r="K232" t="s">
        <v>74</v>
      </c>
      <c r="L232" t="s">
        <v>74</v>
      </c>
      <c r="M232" t="s">
        <v>78</v>
      </c>
      <c r="N232" t="s">
        <v>79</v>
      </c>
      <c r="O232" t="s">
        <v>74</v>
      </c>
      <c r="P232" t="s">
        <v>74</v>
      </c>
      <c r="Q232" t="s">
        <v>74</v>
      </c>
      <c r="R232" t="s">
        <v>74</v>
      </c>
      <c r="S232" t="s">
        <v>74</v>
      </c>
      <c r="T232" t="s">
        <v>4596</v>
      </c>
      <c r="U232" t="s">
        <v>4597</v>
      </c>
      <c r="V232" t="s">
        <v>4598</v>
      </c>
      <c r="W232" t="s">
        <v>4599</v>
      </c>
      <c r="X232" t="s">
        <v>4600</v>
      </c>
      <c r="Y232" t="s">
        <v>4601</v>
      </c>
      <c r="Z232" t="s">
        <v>4602</v>
      </c>
      <c r="AA232" t="s">
        <v>4603</v>
      </c>
      <c r="AB232" t="s">
        <v>4604</v>
      </c>
      <c r="AC232" t="s">
        <v>4605</v>
      </c>
      <c r="AD232" t="s">
        <v>4606</v>
      </c>
      <c r="AE232" t="s">
        <v>4607</v>
      </c>
      <c r="AF232" t="s">
        <v>74</v>
      </c>
      <c r="AG232">
        <v>56</v>
      </c>
      <c r="AH232">
        <v>49</v>
      </c>
      <c r="AI232">
        <v>58</v>
      </c>
      <c r="AJ232">
        <v>1</v>
      </c>
      <c r="AK232">
        <v>24</v>
      </c>
      <c r="AL232" t="s">
        <v>991</v>
      </c>
      <c r="AM232" t="s">
        <v>992</v>
      </c>
      <c r="AN232" t="s">
        <v>993</v>
      </c>
      <c r="AO232" t="s">
        <v>4608</v>
      </c>
      <c r="AP232" t="s">
        <v>4609</v>
      </c>
      <c r="AQ232" t="s">
        <v>74</v>
      </c>
      <c r="AR232" t="s">
        <v>4610</v>
      </c>
      <c r="AS232" t="s">
        <v>4611</v>
      </c>
      <c r="AT232" t="s">
        <v>3762</v>
      </c>
      <c r="AU232">
        <v>2010</v>
      </c>
      <c r="AV232">
        <v>31</v>
      </c>
      <c r="AW232">
        <v>1</v>
      </c>
      <c r="AX232" t="s">
        <v>74</v>
      </c>
      <c r="AY232" t="s">
        <v>74</v>
      </c>
      <c r="AZ232" t="s">
        <v>152</v>
      </c>
      <c r="BA232" t="s">
        <v>74</v>
      </c>
      <c r="BB232">
        <v>111</v>
      </c>
      <c r="BC232">
        <v>124</v>
      </c>
      <c r="BD232" t="s">
        <v>74</v>
      </c>
      <c r="BE232" t="s">
        <v>4612</v>
      </c>
      <c r="BF232" t="str">
        <f>HYPERLINK("http://dx.doi.org/10.1111/j.1439-0485.2009.00332.x","http://dx.doi.org/10.1111/j.1439-0485.2009.00332.x")</f>
        <v>http://dx.doi.org/10.1111/j.1439-0485.2009.00332.x</v>
      </c>
      <c r="BG232" t="s">
        <v>74</v>
      </c>
      <c r="BH232" t="s">
        <v>74</v>
      </c>
      <c r="BI232">
        <v>14</v>
      </c>
      <c r="BJ232" t="s">
        <v>2186</v>
      </c>
      <c r="BK232" t="s">
        <v>102</v>
      </c>
      <c r="BL232" t="s">
        <v>2186</v>
      </c>
      <c r="BM232" t="s">
        <v>4613</v>
      </c>
      <c r="BN232" t="s">
        <v>74</v>
      </c>
      <c r="BO232" t="s">
        <v>1807</v>
      </c>
      <c r="BP232" t="s">
        <v>74</v>
      </c>
      <c r="BQ232" t="s">
        <v>74</v>
      </c>
      <c r="BR232" t="s">
        <v>105</v>
      </c>
      <c r="BS232" t="s">
        <v>4614</v>
      </c>
      <c r="BT232" t="str">
        <f>HYPERLINK("https%3A%2F%2Fwww.webofscience.com%2Fwos%2Fwoscc%2Ffull-record%2FWOS:000275769300008","View Full Record in Web of Science")</f>
        <v>View Full Record in Web of Science</v>
      </c>
    </row>
    <row r="233" spans="1:72" x14ac:dyDescent="0.15">
      <c r="A233" t="s">
        <v>72</v>
      </c>
      <c r="B233" t="s">
        <v>4615</v>
      </c>
      <c r="C233" t="s">
        <v>74</v>
      </c>
      <c r="D233" t="s">
        <v>74</v>
      </c>
      <c r="E233" t="s">
        <v>74</v>
      </c>
      <c r="F233" t="s">
        <v>4616</v>
      </c>
      <c r="G233" t="s">
        <v>74</v>
      </c>
      <c r="H233" t="s">
        <v>74</v>
      </c>
      <c r="I233" t="s">
        <v>4617</v>
      </c>
      <c r="J233" t="s">
        <v>4595</v>
      </c>
      <c r="K233" t="s">
        <v>74</v>
      </c>
      <c r="L233" t="s">
        <v>74</v>
      </c>
      <c r="M233" t="s">
        <v>78</v>
      </c>
      <c r="N233" t="s">
        <v>79</v>
      </c>
      <c r="O233" t="s">
        <v>74</v>
      </c>
      <c r="P233" t="s">
        <v>74</v>
      </c>
      <c r="Q233" t="s">
        <v>74</v>
      </c>
      <c r="R233" t="s">
        <v>74</v>
      </c>
      <c r="S233" t="s">
        <v>74</v>
      </c>
      <c r="T233" t="s">
        <v>4618</v>
      </c>
      <c r="U233" t="s">
        <v>4619</v>
      </c>
      <c r="V233" t="s">
        <v>4620</v>
      </c>
      <c r="W233" t="s">
        <v>4621</v>
      </c>
      <c r="X233" t="s">
        <v>4622</v>
      </c>
      <c r="Y233" t="s">
        <v>4623</v>
      </c>
      <c r="Z233" t="s">
        <v>4624</v>
      </c>
      <c r="AA233" t="s">
        <v>4625</v>
      </c>
      <c r="AB233" t="s">
        <v>4626</v>
      </c>
      <c r="AC233" t="s">
        <v>4627</v>
      </c>
      <c r="AD233" t="s">
        <v>4628</v>
      </c>
      <c r="AE233" t="s">
        <v>4629</v>
      </c>
      <c r="AF233" t="s">
        <v>74</v>
      </c>
      <c r="AG233">
        <v>58</v>
      </c>
      <c r="AH233">
        <v>55</v>
      </c>
      <c r="AI233">
        <v>57</v>
      </c>
      <c r="AJ233">
        <v>1</v>
      </c>
      <c r="AK233">
        <v>51</v>
      </c>
      <c r="AL233" t="s">
        <v>991</v>
      </c>
      <c r="AM233" t="s">
        <v>992</v>
      </c>
      <c r="AN233" t="s">
        <v>993</v>
      </c>
      <c r="AO233" t="s">
        <v>4608</v>
      </c>
      <c r="AP233" t="s">
        <v>4609</v>
      </c>
      <c r="AQ233" t="s">
        <v>74</v>
      </c>
      <c r="AR233" t="s">
        <v>4610</v>
      </c>
      <c r="AS233" t="s">
        <v>4611</v>
      </c>
      <c r="AT233" t="s">
        <v>3762</v>
      </c>
      <c r="AU233">
        <v>2010</v>
      </c>
      <c r="AV233">
        <v>31</v>
      </c>
      <c r="AW233">
        <v>1</v>
      </c>
      <c r="AX233" t="s">
        <v>74</v>
      </c>
      <c r="AY233" t="s">
        <v>74</v>
      </c>
      <c r="AZ233" t="s">
        <v>152</v>
      </c>
      <c r="BA233" t="s">
        <v>74</v>
      </c>
      <c r="BB233">
        <v>247</v>
      </c>
      <c r="BC233">
        <v>260</v>
      </c>
      <c r="BD233" t="s">
        <v>74</v>
      </c>
      <c r="BE233" t="s">
        <v>4630</v>
      </c>
      <c r="BF233" t="str">
        <f>HYPERLINK("http://dx.doi.org/10.1111/j.1439-0485.2009.00330.x","http://dx.doi.org/10.1111/j.1439-0485.2009.00330.x")</f>
        <v>http://dx.doi.org/10.1111/j.1439-0485.2009.00330.x</v>
      </c>
      <c r="BG233" t="s">
        <v>74</v>
      </c>
      <c r="BH233" t="s">
        <v>74</v>
      </c>
      <c r="BI233">
        <v>14</v>
      </c>
      <c r="BJ233" t="s">
        <v>2186</v>
      </c>
      <c r="BK233" t="s">
        <v>102</v>
      </c>
      <c r="BL233" t="s">
        <v>2186</v>
      </c>
      <c r="BM233" t="s">
        <v>4613</v>
      </c>
      <c r="BN233" t="s">
        <v>74</v>
      </c>
      <c r="BO233" t="s">
        <v>104</v>
      </c>
      <c r="BP233" t="s">
        <v>74</v>
      </c>
      <c r="BQ233" t="s">
        <v>74</v>
      </c>
      <c r="BR233" t="s">
        <v>105</v>
      </c>
      <c r="BS233" t="s">
        <v>4631</v>
      </c>
      <c r="BT233" t="str">
        <f>HYPERLINK("https%3A%2F%2Fwww.webofscience.com%2Fwos%2Fwoscc%2Ffull-record%2FWOS:000275769300016","View Full Record in Web of Science")</f>
        <v>View Full Record in Web of Science</v>
      </c>
    </row>
    <row r="234" spans="1:72" x14ac:dyDescent="0.15">
      <c r="A234" t="s">
        <v>72</v>
      </c>
      <c r="B234" t="s">
        <v>4632</v>
      </c>
      <c r="C234" t="s">
        <v>74</v>
      </c>
      <c r="D234" t="s">
        <v>74</v>
      </c>
      <c r="E234" t="s">
        <v>74</v>
      </c>
      <c r="F234" t="s">
        <v>4633</v>
      </c>
      <c r="G234" t="s">
        <v>74</v>
      </c>
      <c r="H234" t="s">
        <v>74</v>
      </c>
      <c r="I234" t="s">
        <v>4634</v>
      </c>
      <c r="J234" t="s">
        <v>4635</v>
      </c>
      <c r="K234" t="s">
        <v>74</v>
      </c>
      <c r="L234" t="s">
        <v>74</v>
      </c>
      <c r="M234" t="s">
        <v>78</v>
      </c>
      <c r="N234" t="s">
        <v>79</v>
      </c>
      <c r="O234" t="s">
        <v>74</v>
      </c>
      <c r="P234" t="s">
        <v>74</v>
      </c>
      <c r="Q234" t="s">
        <v>74</v>
      </c>
      <c r="R234" t="s">
        <v>74</v>
      </c>
      <c r="S234" t="s">
        <v>74</v>
      </c>
      <c r="T234" t="s">
        <v>4636</v>
      </c>
      <c r="U234" t="s">
        <v>4637</v>
      </c>
      <c r="V234" t="s">
        <v>4638</v>
      </c>
      <c r="W234" t="s">
        <v>4639</v>
      </c>
      <c r="X234" t="s">
        <v>656</v>
      </c>
      <c r="Y234" t="s">
        <v>4640</v>
      </c>
      <c r="Z234" t="s">
        <v>4641</v>
      </c>
      <c r="AA234" t="s">
        <v>4642</v>
      </c>
      <c r="AB234" t="s">
        <v>4643</v>
      </c>
      <c r="AC234" t="s">
        <v>4644</v>
      </c>
      <c r="AD234" t="s">
        <v>4645</v>
      </c>
      <c r="AE234" t="s">
        <v>4646</v>
      </c>
      <c r="AF234" t="s">
        <v>74</v>
      </c>
      <c r="AG234">
        <v>89</v>
      </c>
      <c r="AH234">
        <v>56</v>
      </c>
      <c r="AI234">
        <v>59</v>
      </c>
      <c r="AJ234">
        <v>0</v>
      </c>
      <c r="AK234">
        <v>32</v>
      </c>
      <c r="AL234" t="s">
        <v>144</v>
      </c>
      <c r="AM234" t="s">
        <v>145</v>
      </c>
      <c r="AN234" t="s">
        <v>146</v>
      </c>
      <c r="AO234" t="s">
        <v>4647</v>
      </c>
      <c r="AP234" t="s">
        <v>4648</v>
      </c>
      <c r="AQ234" t="s">
        <v>74</v>
      </c>
      <c r="AR234" t="s">
        <v>4649</v>
      </c>
      <c r="AS234" t="s">
        <v>4650</v>
      </c>
      <c r="AT234" t="s">
        <v>3762</v>
      </c>
      <c r="AU234">
        <v>2010</v>
      </c>
      <c r="AV234">
        <v>3</v>
      </c>
      <c r="AW234">
        <v>1</v>
      </c>
      <c r="AX234" t="s">
        <v>74</v>
      </c>
      <c r="AY234" t="s">
        <v>74</v>
      </c>
      <c r="AZ234" t="s">
        <v>74</v>
      </c>
      <c r="BA234" t="s">
        <v>74</v>
      </c>
      <c r="BB234">
        <v>35</v>
      </c>
      <c r="BC234">
        <v>44</v>
      </c>
      <c r="BD234" t="s">
        <v>74</v>
      </c>
      <c r="BE234" t="s">
        <v>4651</v>
      </c>
      <c r="BF234" t="str">
        <f>HYPERLINK("http://dx.doi.org/10.1016/j.margen.2010.02.002","http://dx.doi.org/10.1016/j.margen.2010.02.002")</f>
        <v>http://dx.doi.org/10.1016/j.margen.2010.02.002</v>
      </c>
      <c r="BG234" t="s">
        <v>74</v>
      </c>
      <c r="BH234" t="s">
        <v>74</v>
      </c>
      <c r="BI234">
        <v>10</v>
      </c>
      <c r="BJ234" t="s">
        <v>4652</v>
      </c>
      <c r="BK234" t="s">
        <v>102</v>
      </c>
      <c r="BL234" t="s">
        <v>4652</v>
      </c>
      <c r="BM234" t="s">
        <v>4653</v>
      </c>
      <c r="BN234">
        <v>21798195</v>
      </c>
      <c r="BO234" t="s">
        <v>74</v>
      </c>
      <c r="BP234" t="s">
        <v>74</v>
      </c>
      <c r="BQ234" t="s">
        <v>74</v>
      </c>
      <c r="BR234" t="s">
        <v>105</v>
      </c>
      <c r="BS234" t="s">
        <v>4654</v>
      </c>
      <c r="BT234" t="str">
        <f>HYPERLINK("https%3A%2F%2Fwww.webofscience.com%2Fwos%2Fwoscc%2Ffull-record%2FWOS:000278728800005","View Full Record in Web of Science")</f>
        <v>View Full Record in Web of Science</v>
      </c>
    </row>
    <row r="235" spans="1:72" x14ac:dyDescent="0.15">
      <c r="A235" t="s">
        <v>72</v>
      </c>
      <c r="B235" t="s">
        <v>4655</v>
      </c>
      <c r="C235" t="s">
        <v>74</v>
      </c>
      <c r="D235" t="s">
        <v>74</v>
      </c>
      <c r="E235" t="s">
        <v>74</v>
      </c>
      <c r="F235" t="s">
        <v>4656</v>
      </c>
      <c r="G235" t="s">
        <v>74</v>
      </c>
      <c r="H235" t="s">
        <v>74</v>
      </c>
      <c r="I235" t="s">
        <v>4657</v>
      </c>
      <c r="J235" t="s">
        <v>2337</v>
      </c>
      <c r="K235" t="s">
        <v>74</v>
      </c>
      <c r="L235" t="s">
        <v>74</v>
      </c>
      <c r="M235" t="s">
        <v>78</v>
      </c>
      <c r="N235" t="s">
        <v>79</v>
      </c>
      <c r="O235" t="s">
        <v>74</v>
      </c>
      <c r="P235" t="s">
        <v>74</v>
      </c>
      <c r="Q235" t="s">
        <v>74</v>
      </c>
      <c r="R235" t="s">
        <v>74</v>
      </c>
      <c r="S235" t="s">
        <v>74</v>
      </c>
      <c r="T235" t="s">
        <v>74</v>
      </c>
      <c r="U235" t="s">
        <v>4658</v>
      </c>
      <c r="V235" t="s">
        <v>4659</v>
      </c>
      <c r="W235" t="s">
        <v>4660</v>
      </c>
      <c r="X235" t="s">
        <v>4661</v>
      </c>
      <c r="Y235" t="s">
        <v>4662</v>
      </c>
      <c r="Z235" t="s">
        <v>4663</v>
      </c>
      <c r="AA235" t="s">
        <v>74</v>
      </c>
      <c r="AB235" t="s">
        <v>74</v>
      </c>
      <c r="AC235" t="s">
        <v>4664</v>
      </c>
      <c r="AD235" t="s">
        <v>4665</v>
      </c>
      <c r="AE235" t="s">
        <v>4666</v>
      </c>
      <c r="AF235" t="s">
        <v>74</v>
      </c>
      <c r="AG235">
        <v>95</v>
      </c>
      <c r="AH235">
        <v>19</v>
      </c>
      <c r="AI235">
        <v>19</v>
      </c>
      <c r="AJ235">
        <v>0</v>
      </c>
      <c r="AK235">
        <v>15</v>
      </c>
      <c r="AL235" t="s">
        <v>991</v>
      </c>
      <c r="AM235" t="s">
        <v>992</v>
      </c>
      <c r="AN235" t="s">
        <v>993</v>
      </c>
      <c r="AO235" t="s">
        <v>2347</v>
      </c>
      <c r="AP235" t="s">
        <v>2348</v>
      </c>
      <c r="AQ235" t="s">
        <v>74</v>
      </c>
      <c r="AR235" t="s">
        <v>2349</v>
      </c>
      <c r="AS235" t="s">
        <v>2350</v>
      </c>
      <c r="AT235" t="s">
        <v>3762</v>
      </c>
      <c r="AU235">
        <v>2010</v>
      </c>
      <c r="AV235">
        <v>45</v>
      </c>
      <c r="AW235">
        <v>3</v>
      </c>
      <c r="AX235" t="s">
        <v>74</v>
      </c>
      <c r="AY235" t="s">
        <v>74</v>
      </c>
      <c r="AZ235" t="s">
        <v>74</v>
      </c>
      <c r="BA235" t="s">
        <v>74</v>
      </c>
      <c r="BB235">
        <v>339</v>
      </c>
      <c r="BC235">
        <v>360</v>
      </c>
      <c r="BD235" t="s">
        <v>74</v>
      </c>
      <c r="BE235" t="s">
        <v>4667</v>
      </c>
      <c r="BF235" t="str">
        <f>HYPERLINK("http://dx.doi.org/10.1111/j.1945-5100.2010.01025.x","http://dx.doi.org/10.1111/j.1945-5100.2010.01025.x")</f>
        <v>http://dx.doi.org/10.1111/j.1945-5100.2010.01025.x</v>
      </c>
      <c r="BG235" t="s">
        <v>74</v>
      </c>
      <c r="BH235" t="s">
        <v>74</v>
      </c>
      <c r="BI235">
        <v>22</v>
      </c>
      <c r="BJ235" t="s">
        <v>507</v>
      </c>
      <c r="BK235" t="s">
        <v>102</v>
      </c>
      <c r="BL235" t="s">
        <v>507</v>
      </c>
      <c r="BM235" t="s">
        <v>4668</v>
      </c>
      <c r="BN235" t="s">
        <v>74</v>
      </c>
      <c r="BO235" t="s">
        <v>74</v>
      </c>
      <c r="BP235" t="s">
        <v>74</v>
      </c>
      <c r="BQ235" t="s">
        <v>74</v>
      </c>
      <c r="BR235" t="s">
        <v>105</v>
      </c>
      <c r="BS235" t="s">
        <v>4669</v>
      </c>
      <c r="BT235" t="str">
        <f>HYPERLINK("https%3A%2F%2Fwww.webofscience.com%2Fwos%2Fwoscc%2Ffull-record%2FWOS:000279904700001","View Full Record in Web of Science")</f>
        <v>View Full Record in Web of Science</v>
      </c>
    </row>
    <row r="236" spans="1:72" x14ac:dyDescent="0.15">
      <c r="A236" t="s">
        <v>72</v>
      </c>
      <c r="B236" t="s">
        <v>4670</v>
      </c>
      <c r="C236" t="s">
        <v>74</v>
      </c>
      <c r="D236" t="s">
        <v>74</v>
      </c>
      <c r="E236" t="s">
        <v>74</v>
      </c>
      <c r="F236" t="s">
        <v>4671</v>
      </c>
      <c r="G236" t="s">
        <v>74</v>
      </c>
      <c r="H236" t="s">
        <v>74</v>
      </c>
      <c r="I236" t="s">
        <v>4672</v>
      </c>
      <c r="J236" t="s">
        <v>2337</v>
      </c>
      <c r="K236" t="s">
        <v>74</v>
      </c>
      <c r="L236" t="s">
        <v>74</v>
      </c>
      <c r="M236" t="s">
        <v>78</v>
      </c>
      <c r="N236" t="s">
        <v>79</v>
      </c>
      <c r="O236" t="s">
        <v>74</v>
      </c>
      <c r="P236" t="s">
        <v>74</v>
      </c>
      <c r="Q236" t="s">
        <v>74</v>
      </c>
      <c r="R236" t="s">
        <v>74</v>
      </c>
      <c r="S236" t="s">
        <v>74</v>
      </c>
      <c r="T236" t="s">
        <v>74</v>
      </c>
      <c r="U236" t="s">
        <v>74</v>
      </c>
      <c r="V236" t="s">
        <v>4673</v>
      </c>
      <c r="W236" t="s">
        <v>4674</v>
      </c>
      <c r="X236" t="s">
        <v>4675</v>
      </c>
      <c r="Y236" t="s">
        <v>4676</v>
      </c>
      <c r="Z236" t="s">
        <v>4677</v>
      </c>
      <c r="AA236" t="s">
        <v>4678</v>
      </c>
      <c r="AB236" t="s">
        <v>4679</v>
      </c>
      <c r="AC236" t="s">
        <v>74</v>
      </c>
      <c r="AD236" t="s">
        <v>74</v>
      </c>
      <c r="AE236" t="s">
        <v>74</v>
      </c>
      <c r="AF236" t="s">
        <v>74</v>
      </c>
      <c r="AG236">
        <v>1</v>
      </c>
      <c r="AH236">
        <v>15</v>
      </c>
      <c r="AI236">
        <v>21</v>
      </c>
      <c r="AJ236">
        <v>0</v>
      </c>
      <c r="AK236">
        <v>7</v>
      </c>
      <c r="AL236" t="s">
        <v>2312</v>
      </c>
      <c r="AM236" t="s">
        <v>1655</v>
      </c>
      <c r="AN236" t="s">
        <v>1656</v>
      </c>
      <c r="AO236" t="s">
        <v>2347</v>
      </c>
      <c r="AP236" t="s">
        <v>74</v>
      </c>
      <c r="AQ236" t="s">
        <v>74</v>
      </c>
      <c r="AR236" t="s">
        <v>2349</v>
      </c>
      <c r="AS236" t="s">
        <v>2350</v>
      </c>
      <c r="AT236" t="s">
        <v>3762</v>
      </c>
      <c r="AU236">
        <v>2010</v>
      </c>
      <c r="AV236">
        <v>45</v>
      </c>
      <c r="AW236">
        <v>3</v>
      </c>
      <c r="AX236" t="s">
        <v>74</v>
      </c>
      <c r="AY236" t="s">
        <v>74</v>
      </c>
      <c r="AZ236" t="s">
        <v>74</v>
      </c>
      <c r="BA236" t="s">
        <v>74</v>
      </c>
      <c r="BB236">
        <v>449</v>
      </c>
      <c r="BC236">
        <v>493</v>
      </c>
      <c r="BD236" t="s">
        <v>74</v>
      </c>
      <c r="BE236" t="s">
        <v>4680</v>
      </c>
      <c r="BF236" t="str">
        <f>HYPERLINK("http://dx.doi.org/10.1111/j.1945-5100.2010.01036.x","http://dx.doi.org/10.1111/j.1945-5100.2010.01036.x")</f>
        <v>http://dx.doi.org/10.1111/j.1945-5100.2010.01036.x</v>
      </c>
      <c r="BG236" t="s">
        <v>74</v>
      </c>
      <c r="BH236" t="s">
        <v>74</v>
      </c>
      <c r="BI236">
        <v>45</v>
      </c>
      <c r="BJ236" t="s">
        <v>507</v>
      </c>
      <c r="BK236" t="s">
        <v>102</v>
      </c>
      <c r="BL236" t="s">
        <v>507</v>
      </c>
      <c r="BM236" t="s">
        <v>4668</v>
      </c>
      <c r="BN236" t="s">
        <v>74</v>
      </c>
      <c r="BO236" t="s">
        <v>104</v>
      </c>
      <c r="BP236" t="s">
        <v>74</v>
      </c>
      <c r="BQ236" t="s">
        <v>74</v>
      </c>
      <c r="BR236" t="s">
        <v>105</v>
      </c>
      <c r="BS236" t="s">
        <v>4681</v>
      </c>
      <c r="BT236" t="str">
        <f>HYPERLINK("https%3A%2F%2Fwww.webofscience.com%2Fwos%2Fwoscc%2Ffull-record%2FWOS:000279904700009","View Full Record in Web of Science")</f>
        <v>View Full Record in Web of Science</v>
      </c>
    </row>
    <row r="237" spans="1:72" x14ac:dyDescent="0.15">
      <c r="A237" t="s">
        <v>72</v>
      </c>
      <c r="B237" t="s">
        <v>4682</v>
      </c>
      <c r="C237" t="s">
        <v>74</v>
      </c>
      <c r="D237" t="s">
        <v>74</v>
      </c>
      <c r="E237" t="s">
        <v>74</v>
      </c>
      <c r="F237" t="s">
        <v>4683</v>
      </c>
      <c r="G237" t="s">
        <v>74</v>
      </c>
      <c r="H237" t="s">
        <v>74</v>
      </c>
      <c r="I237" t="s">
        <v>4684</v>
      </c>
      <c r="J237" t="s">
        <v>4685</v>
      </c>
      <c r="K237" t="s">
        <v>74</v>
      </c>
      <c r="L237" t="s">
        <v>74</v>
      </c>
      <c r="M237" t="s">
        <v>78</v>
      </c>
      <c r="N237" t="s">
        <v>79</v>
      </c>
      <c r="O237" t="s">
        <v>74</v>
      </c>
      <c r="P237" t="s">
        <v>74</v>
      </c>
      <c r="Q237" t="s">
        <v>74</v>
      </c>
      <c r="R237" t="s">
        <v>74</v>
      </c>
      <c r="S237" t="s">
        <v>74</v>
      </c>
      <c r="T237" t="s">
        <v>74</v>
      </c>
      <c r="U237" t="s">
        <v>4686</v>
      </c>
      <c r="V237" t="s">
        <v>4687</v>
      </c>
      <c r="W237" t="s">
        <v>4688</v>
      </c>
      <c r="X237" t="s">
        <v>4689</v>
      </c>
      <c r="Y237" t="s">
        <v>4690</v>
      </c>
      <c r="Z237" t="s">
        <v>4691</v>
      </c>
      <c r="AA237" t="s">
        <v>4692</v>
      </c>
      <c r="AB237" t="s">
        <v>74</v>
      </c>
      <c r="AC237" t="s">
        <v>74</v>
      </c>
      <c r="AD237" t="s">
        <v>74</v>
      </c>
      <c r="AE237" t="s">
        <v>74</v>
      </c>
      <c r="AF237" t="s">
        <v>74</v>
      </c>
      <c r="AG237">
        <v>57</v>
      </c>
      <c r="AH237">
        <v>13</v>
      </c>
      <c r="AI237">
        <v>14</v>
      </c>
      <c r="AJ237">
        <v>0</v>
      </c>
      <c r="AK237">
        <v>11</v>
      </c>
      <c r="AL237" t="s">
        <v>4693</v>
      </c>
      <c r="AM237" t="s">
        <v>4694</v>
      </c>
      <c r="AN237" t="s">
        <v>4695</v>
      </c>
      <c r="AO237" t="s">
        <v>4696</v>
      </c>
      <c r="AP237" t="s">
        <v>4697</v>
      </c>
      <c r="AQ237" t="s">
        <v>74</v>
      </c>
      <c r="AR237" t="s">
        <v>4698</v>
      </c>
      <c r="AS237" t="s">
        <v>4699</v>
      </c>
      <c r="AT237" t="s">
        <v>3762</v>
      </c>
      <c r="AU237">
        <v>2010</v>
      </c>
      <c r="AV237">
        <v>106</v>
      </c>
      <c r="AW237" t="s">
        <v>971</v>
      </c>
      <c r="AX237" t="s">
        <v>74</v>
      </c>
      <c r="AY237" t="s">
        <v>74</v>
      </c>
      <c r="AZ237" t="s">
        <v>74</v>
      </c>
      <c r="BA237" t="s">
        <v>74</v>
      </c>
      <c r="BB237">
        <v>149</v>
      </c>
      <c r="BC237">
        <v>162</v>
      </c>
      <c r="BD237" t="s">
        <v>74</v>
      </c>
      <c r="BE237" t="s">
        <v>4700</v>
      </c>
      <c r="BF237" t="str">
        <f>HYPERLINK("http://dx.doi.org/10.1007/s00703-009-0055-2","http://dx.doi.org/10.1007/s00703-009-0055-2")</f>
        <v>http://dx.doi.org/10.1007/s00703-009-0055-2</v>
      </c>
      <c r="BG237" t="s">
        <v>74</v>
      </c>
      <c r="BH237" t="s">
        <v>74</v>
      </c>
      <c r="BI237">
        <v>14</v>
      </c>
      <c r="BJ237" t="s">
        <v>258</v>
      </c>
      <c r="BK237" t="s">
        <v>102</v>
      </c>
      <c r="BL237" t="s">
        <v>258</v>
      </c>
      <c r="BM237" t="s">
        <v>4701</v>
      </c>
      <c r="BN237" t="s">
        <v>74</v>
      </c>
      <c r="BO237" t="s">
        <v>74</v>
      </c>
      <c r="BP237" t="s">
        <v>74</v>
      </c>
      <c r="BQ237" t="s">
        <v>74</v>
      </c>
      <c r="BR237" t="s">
        <v>105</v>
      </c>
      <c r="BS237" t="s">
        <v>4702</v>
      </c>
      <c r="BT237" t="str">
        <f>HYPERLINK("https%3A%2F%2Fwww.webofscience.com%2Fwos%2Fwoscc%2Ffull-record%2FWOS:000274519500003","View Full Record in Web of Science")</f>
        <v>View Full Record in Web of Science</v>
      </c>
    </row>
    <row r="238" spans="1:72" x14ac:dyDescent="0.15">
      <c r="A238" t="s">
        <v>72</v>
      </c>
      <c r="B238" t="s">
        <v>4703</v>
      </c>
      <c r="C238" t="s">
        <v>74</v>
      </c>
      <c r="D238" t="s">
        <v>74</v>
      </c>
      <c r="E238" t="s">
        <v>74</v>
      </c>
      <c r="F238" t="s">
        <v>4704</v>
      </c>
      <c r="G238" t="s">
        <v>74</v>
      </c>
      <c r="H238" t="s">
        <v>74</v>
      </c>
      <c r="I238" t="s">
        <v>4705</v>
      </c>
      <c r="J238" t="s">
        <v>2404</v>
      </c>
      <c r="K238" t="s">
        <v>74</v>
      </c>
      <c r="L238" t="s">
        <v>74</v>
      </c>
      <c r="M238" t="s">
        <v>78</v>
      </c>
      <c r="N238" t="s">
        <v>79</v>
      </c>
      <c r="O238" t="s">
        <v>74</v>
      </c>
      <c r="P238" t="s">
        <v>74</v>
      </c>
      <c r="Q238" t="s">
        <v>74</v>
      </c>
      <c r="R238" t="s">
        <v>74</v>
      </c>
      <c r="S238" t="s">
        <v>74</v>
      </c>
      <c r="T238" t="s">
        <v>4706</v>
      </c>
      <c r="U238" t="s">
        <v>4707</v>
      </c>
      <c r="V238" t="s">
        <v>4708</v>
      </c>
      <c r="W238" t="s">
        <v>4709</v>
      </c>
      <c r="X238" t="s">
        <v>4710</v>
      </c>
      <c r="Y238" t="s">
        <v>4711</v>
      </c>
      <c r="Z238" t="s">
        <v>4712</v>
      </c>
      <c r="AA238" t="s">
        <v>4713</v>
      </c>
      <c r="AB238" t="s">
        <v>4714</v>
      </c>
      <c r="AC238" t="s">
        <v>4715</v>
      </c>
      <c r="AD238" t="s">
        <v>4716</v>
      </c>
      <c r="AE238" t="s">
        <v>4717</v>
      </c>
      <c r="AF238" t="s">
        <v>74</v>
      </c>
      <c r="AG238">
        <v>45</v>
      </c>
      <c r="AH238">
        <v>9</v>
      </c>
      <c r="AI238">
        <v>10</v>
      </c>
      <c r="AJ238">
        <v>4</v>
      </c>
      <c r="AK238">
        <v>19</v>
      </c>
      <c r="AL238" t="s">
        <v>2417</v>
      </c>
      <c r="AM238" t="s">
        <v>2418</v>
      </c>
      <c r="AN238" t="s">
        <v>2419</v>
      </c>
      <c r="AO238" t="s">
        <v>2420</v>
      </c>
      <c r="AP238" t="s">
        <v>2421</v>
      </c>
      <c r="AQ238" t="s">
        <v>74</v>
      </c>
      <c r="AR238" t="s">
        <v>2422</v>
      </c>
      <c r="AS238" t="s">
        <v>2423</v>
      </c>
      <c r="AT238" t="s">
        <v>3762</v>
      </c>
      <c r="AU238">
        <v>2010</v>
      </c>
      <c r="AV238">
        <v>54</v>
      </c>
      <c r="AW238">
        <v>3</v>
      </c>
      <c r="AX238" t="s">
        <v>74</v>
      </c>
      <c r="AY238" t="s">
        <v>74</v>
      </c>
      <c r="AZ238" t="s">
        <v>74</v>
      </c>
      <c r="BA238" t="s">
        <v>74</v>
      </c>
      <c r="BB238">
        <v>701</v>
      </c>
      <c r="BC238">
        <v>708</v>
      </c>
      <c r="BD238" t="s">
        <v>74</v>
      </c>
      <c r="BE238" t="s">
        <v>4718</v>
      </c>
      <c r="BF238" t="str">
        <f>HYPERLINK("http://dx.doi.org/10.1016/j.ympev.2009.11.017","http://dx.doi.org/10.1016/j.ympev.2009.11.017")</f>
        <v>http://dx.doi.org/10.1016/j.ympev.2009.11.017</v>
      </c>
      <c r="BG238" t="s">
        <v>74</v>
      </c>
      <c r="BH238" t="s">
        <v>74</v>
      </c>
      <c r="BI238">
        <v>8</v>
      </c>
      <c r="BJ238" t="s">
        <v>2425</v>
      </c>
      <c r="BK238" t="s">
        <v>102</v>
      </c>
      <c r="BL238" t="s">
        <v>2425</v>
      </c>
      <c r="BM238" t="s">
        <v>4719</v>
      </c>
      <c r="BN238">
        <v>19941965</v>
      </c>
      <c r="BO238" t="s">
        <v>74</v>
      </c>
      <c r="BP238" t="s">
        <v>74</v>
      </c>
      <c r="BQ238" t="s">
        <v>74</v>
      </c>
      <c r="BR238" t="s">
        <v>105</v>
      </c>
      <c r="BS238" t="s">
        <v>4720</v>
      </c>
      <c r="BT238" t="str">
        <f>HYPERLINK("https%3A%2F%2Fwww.webofscience.com%2Fwos%2Fwoscc%2Ffull-record%2FWOS:000275176500004","View Full Record in Web of Science")</f>
        <v>View Full Record in Web of Science</v>
      </c>
    </row>
    <row r="239" spans="1:72" x14ac:dyDescent="0.15">
      <c r="A239" t="s">
        <v>72</v>
      </c>
      <c r="B239" t="s">
        <v>4721</v>
      </c>
      <c r="C239" t="s">
        <v>74</v>
      </c>
      <c r="D239" t="s">
        <v>74</v>
      </c>
      <c r="E239" t="s">
        <v>74</v>
      </c>
      <c r="F239" t="s">
        <v>4722</v>
      </c>
      <c r="G239" t="s">
        <v>74</v>
      </c>
      <c r="H239" t="s">
        <v>74</v>
      </c>
      <c r="I239" t="s">
        <v>4723</v>
      </c>
      <c r="J239" t="s">
        <v>2447</v>
      </c>
      <c r="K239" t="s">
        <v>74</v>
      </c>
      <c r="L239" t="s">
        <v>74</v>
      </c>
      <c r="M239" t="s">
        <v>78</v>
      </c>
      <c r="N239" t="s">
        <v>3202</v>
      </c>
      <c r="O239" t="s">
        <v>74</v>
      </c>
      <c r="P239" t="s">
        <v>74</v>
      </c>
      <c r="Q239" t="s">
        <v>74</v>
      </c>
      <c r="R239" t="s">
        <v>74</v>
      </c>
      <c r="S239" t="s">
        <v>74</v>
      </c>
      <c r="T239" t="s">
        <v>74</v>
      </c>
      <c r="U239" t="s">
        <v>4724</v>
      </c>
      <c r="V239" t="s">
        <v>74</v>
      </c>
      <c r="W239" t="s">
        <v>4725</v>
      </c>
      <c r="X239" t="s">
        <v>656</v>
      </c>
      <c r="Y239" t="s">
        <v>4726</v>
      </c>
      <c r="Z239" t="s">
        <v>4727</v>
      </c>
      <c r="AA239" t="s">
        <v>74</v>
      </c>
      <c r="AB239" t="s">
        <v>74</v>
      </c>
      <c r="AC239" t="s">
        <v>4728</v>
      </c>
      <c r="AD239" t="s">
        <v>4729</v>
      </c>
      <c r="AE239" t="s">
        <v>74</v>
      </c>
      <c r="AF239" t="s">
        <v>74</v>
      </c>
      <c r="AG239">
        <v>12</v>
      </c>
      <c r="AH239">
        <v>2</v>
      </c>
      <c r="AI239">
        <v>2</v>
      </c>
      <c r="AJ239">
        <v>0</v>
      </c>
      <c r="AK239">
        <v>6</v>
      </c>
      <c r="AL239" t="s">
        <v>2459</v>
      </c>
      <c r="AM239" t="s">
        <v>225</v>
      </c>
      <c r="AN239" t="s">
        <v>2460</v>
      </c>
      <c r="AO239" t="s">
        <v>2461</v>
      </c>
      <c r="AP239" t="s">
        <v>74</v>
      </c>
      <c r="AQ239" t="s">
        <v>74</v>
      </c>
      <c r="AR239" t="s">
        <v>2463</v>
      </c>
      <c r="AS239" t="s">
        <v>2464</v>
      </c>
      <c r="AT239" t="s">
        <v>3762</v>
      </c>
      <c r="AU239">
        <v>2010</v>
      </c>
      <c r="AV239">
        <v>3</v>
      </c>
      <c r="AW239">
        <v>3</v>
      </c>
      <c r="AX239" t="s">
        <v>74</v>
      </c>
      <c r="AY239" t="s">
        <v>74</v>
      </c>
      <c r="AZ239" t="s">
        <v>74</v>
      </c>
      <c r="BA239" t="s">
        <v>74</v>
      </c>
      <c r="BB239">
        <v>147</v>
      </c>
      <c r="BC239">
        <v>148</v>
      </c>
      <c r="BD239" t="s">
        <v>74</v>
      </c>
      <c r="BE239" t="s">
        <v>4730</v>
      </c>
      <c r="BF239" t="str">
        <f>HYPERLINK("http://dx.doi.org/10.1038/ngeo801","http://dx.doi.org/10.1038/ngeo801")</f>
        <v>http://dx.doi.org/10.1038/ngeo801</v>
      </c>
      <c r="BG239" t="s">
        <v>74</v>
      </c>
      <c r="BH239" t="s">
        <v>74</v>
      </c>
      <c r="BI239">
        <v>2</v>
      </c>
      <c r="BJ239" t="s">
        <v>913</v>
      </c>
      <c r="BK239" t="s">
        <v>102</v>
      </c>
      <c r="BL239" t="s">
        <v>914</v>
      </c>
      <c r="BM239" t="s">
        <v>4731</v>
      </c>
      <c r="BN239" t="s">
        <v>74</v>
      </c>
      <c r="BO239" t="s">
        <v>74</v>
      </c>
      <c r="BP239" t="s">
        <v>74</v>
      </c>
      <c r="BQ239" t="s">
        <v>74</v>
      </c>
      <c r="BR239" t="s">
        <v>105</v>
      </c>
      <c r="BS239" t="s">
        <v>4732</v>
      </c>
      <c r="BT239" t="str">
        <f>HYPERLINK("https%3A%2F%2Fwww.webofscience.com%2Fwos%2Fwoscc%2Ffull-record%2FWOS:000274974700005","View Full Record in Web of Science")</f>
        <v>View Full Record in Web of Science</v>
      </c>
    </row>
    <row r="240" spans="1:72" x14ac:dyDescent="0.15">
      <c r="A240" t="s">
        <v>72</v>
      </c>
      <c r="B240" t="s">
        <v>4733</v>
      </c>
      <c r="C240" t="s">
        <v>74</v>
      </c>
      <c r="D240" t="s">
        <v>74</v>
      </c>
      <c r="E240" t="s">
        <v>74</v>
      </c>
      <c r="F240" t="s">
        <v>4734</v>
      </c>
      <c r="G240" t="s">
        <v>74</v>
      </c>
      <c r="H240" t="s">
        <v>74</v>
      </c>
      <c r="I240" t="s">
        <v>4735</v>
      </c>
      <c r="J240" t="s">
        <v>2447</v>
      </c>
      <c r="K240" t="s">
        <v>74</v>
      </c>
      <c r="L240" t="s">
        <v>74</v>
      </c>
      <c r="M240" t="s">
        <v>78</v>
      </c>
      <c r="N240" t="s">
        <v>79</v>
      </c>
      <c r="O240" t="s">
        <v>74</v>
      </c>
      <c r="P240" t="s">
        <v>74</v>
      </c>
      <c r="Q240" t="s">
        <v>74</v>
      </c>
      <c r="R240" t="s">
        <v>74</v>
      </c>
      <c r="S240" t="s">
        <v>74</v>
      </c>
      <c r="T240" t="s">
        <v>74</v>
      </c>
      <c r="U240" t="s">
        <v>4736</v>
      </c>
      <c r="V240" t="s">
        <v>4737</v>
      </c>
      <c r="W240" t="s">
        <v>4738</v>
      </c>
      <c r="X240" t="s">
        <v>4739</v>
      </c>
      <c r="Y240" t="s">
        <v>4740</v>
      </c>
      <c r="Z240" t="s">
        <v>4741</v>
      </c>
      <c r="AA240" t="s">
        <v>4742</v>
      </c>
      <c r="AB240" t="s">
        <v>4743</v>
      </c>
      <c r="AC240" t="s">
        <v>4744</v>
      </c>
      <c r="AD240" t="s">
        <v>4745</v>
      </c>
      <c r="AE240" t="s">
        <v>4746</v>
      </c>
      <c r="AF240" t="s">
        <v>74</v>
      </c>
      <c r="AG240">
        <v>27</v>
      </c>
      <c r="AH240">
        <v>73</v>
      </c>
      <c r="AI240">
        <v>84</v>
      </c>
      <c r="AJ240">
        <v>0</v>
      </c>
      <c r="AK240">
        <v>25</v>
      </c>
      <c r="AL240" t="s">
        <v>2459</v>
      </c>
      <c r="AM240" t="s">
        <v>225</v>
      </c>
      <c r="AN240" t="s">
        <v>2460</v>
      </c>
      <c r="AO240" t="s">
        <v>2461</v>
      </c>
      <c r="AP240" t="s">
        <v>74</v>
      </c>
      <c r="AQ240" t="s">
        <v>74</v>
      </c>
      <c r="AR240" t="s">
        <v>2463</v>
      </c>
      <c r="AS240" t="s">
        <v>2464</v>
      </c>
      <c r="AT240" t="s">
        <v>3762</v>
      </c>
      <c r="AU240">
        <v>2010</v>
      </c>
      <c r="AV240">
        <v>3</v>
      </c>
      <c r="AW240">
        <v>3</v>
      </c>
      <c r="AX240" t="s">
        <v>74</v>
      </c>
      <c r="AY240" t="s">
        <v>74</v>
      </c>
      <c r="AZ240" t="s">
        <v>74</v>
      </c>
      <c r="BA240" t="s">
        <v>74</v>
      </c>
      <c r="BB240">
        <v>192</v>
      </c>
      <c r="BC240">
        <v>195</v>
      </c>
      <c r="BD240" t="s">
        <v>74</v>
      </c>
      <c r="BE240" t="s">
        <v>4747</v>
      </c>
      <c r="BF240" t="str">
        <f>HYPERLINK("http://dx.doi.org/10.1038/NGEO745","http://dx.doi.org/10.1038/NGEO745")</f>
        <v>http://dx.doi.org/10.1038/NGEO745</v>
      </c>
      <c r="BG240" t="s">
        <v>74</v>
      </c>
      <c r="BH240" t="s">
        <v>74</v>
      </c>
      <c r="BI240">
        <v>4</v>
      </c>
      <c r="BJ240" t="s">
        <v>913</v>
      </c>
      <c r="BK240" t="s">
        <v>102</v>
      </c>
      <c r="BL240" t="s">
        <v>914</v>
      </c>
      <c r="BM240" t="s">
        <v>4731</v>
      </c>
      <c r="BN240" t="s">
        <v>74</v>
      </c>
      <c r="BO240" t="s">
        <v>74</v>
      </c>
      <c r="BP240" t="s">
        <v>74</v>
      </c>
      <c r="BQ240" t="s">
        <v>74</v>
      </c>
      <c r="BR240" t="s">
        <v>105</v>
      </c>
      <c r="BS240" t="s">
        <v>4748</v>
      </c>
      <c r="BT240" t="str">
        <f>HYPERLINK("https%3A%2F%2Fwww.webofscience.com%2Fwos%2Fwoscc%2Ffull-record%2FWOS:000274974700021","View Full Record in Web of Science")</f>
        <v>View Full Record in Web of Science</v>
      </c>
    </row>
    <row r="241" spans="1:72" x14ac:dyDescent="0.15">
      <c r="A241" t="s">
        <v>72</v>
      </c>
      <c r="B241" t="s">
        <v>4749</v>
      </c>
      <c r="C241" t="s">
        <v>74</v>
      </c>
      <c r="D241" t="s">
        <v>74</v>
      </c>
      <c r="E241" t="s">
        <v>74</v>
      </c>
      <c r="F241" t="s">
        <v>4750</v>
      </c>
      <c r="G241" t="s">
        <v>74</v>
      </c>
      <c r="H241" t="s">
        <v>74</v>
      </c>
      <c r="I241" t="s">
        <v>4751</v>
      </c>
      <c r="J241" t="s">
        <v>4752</v>
      </c>
      <c r="K241" t="s">
        <v>74</v>
      </c>
      <c r="L241" t="s">
        <v>74</v>
      </c>
      <c r="M241" t="s">
        <v>78</v>
      </c>
      <c r="N241" t="s">
        <v>79</v>
      </c>
      <c r="O241" t="s">
        <v>74</v>
      </c>
      <c r="P241" t="s">
        <v>74</v>
      </c>
      <c r="Q241" t="s">
        <v>74</v>
      </c>
      <c r="R241" t="s">
        <v>74</v>
      </c>
      <c r="S241" t="s">
        <v>74</v>
      </c>
      <c r="T241" t="s">
        <v>4753</v>
      </c>
      <c r="U241" t="s">
        <v>4754</v>
      </c>
      <c r="V241" t="s">
        <v>4755</v>
      </c>
      <c r="W241" t="s">
        <v>4756</v>
      </c>
      <c r="X241" t="s">
        <v>4757</v>
      </c>
      <c r="Y241" t="s">
        <v>4758</v>
      </c>
      <c r="Z241" t="s">
        <v>4759</v>
      </c>
      <c r="AA241" t="s">
        <v>4760</v>
      </c>
      <c r="AB241" t="s">
        <v>4761</v>
      </c>
      <c r="AC241" t="s">
        <v>4762</v>
      </c>
      <c r="AD241" t="s">
        <v>4763</v>
      </c>
      <c r="AE241" t="s">
        <v>4764</v>
      </c>
      <c r="AF241" t="s">
        <v>74</v>
      </c>
      <c r="AG241">
        <v>74</v>
      </c>
      <c r="AH241">
        <v>102</v>
      </c>
      <c r="AI241">
        <v>113</v>
      </c>
      <c r="AJ241">
        <v>1</v>
      </c>
      <c r="AK241">
        <v>84</v>
      </c>
      <c r="AL241" t="s">
        <v>813</v>
      </c>
      <c r="AM241" t="s">
        <v>225</v>
      </c>
      <c r="AN241" t="s">
        <v>2228</v>
      </c>
      <c r="AO241" t="s">
        <v>4765</v>
      </c>
      <c r="AP241" t="s">
        <v>4766</v>
      </c>
      <c r="AQ241" t="s">
        <v>74</v>
      </c>
      <c r="AR241" t="s">
        <v>4752</v>
      </c>
      <c r="AS241" t="s">
        <v>4767</v>
      </c>
      <c r="AT241" t="s">
        <v>3762</v>
      </c>
      <c r="AU241">
        <v>2010</v>
      </c>
      <c r="AV241">
        <v>162</v>
      </c>
      <c r="AW241">
        <v>3</v>
      </c>
      <c r="AX241" t="s">
        <v>74</v>
      </c>
      <c r="AY241" t="s">
        <v>74</v>
      </c>
      <c r="AZ241" t="s">
        <v>74</v>
      </c>
      <c r="BA241" t="s">
        <v>74</v>
      </c>
      <c r="BB241">
        <v>733</v>
      </c>
      <c r="BC241">
        <v>745</v>
      </c>
      <c r="BD241" t="s">
        <v>74</v>
      </c>
      <c r="BE241" t="s">
        <v>4768</v>
      </c>
      <c r="BF241" t="str">
        <f>HYPERLINK("http://dx.doi.org/10.1007/s00442-009-1484-9","http://dx.doi.org/10.1007/s00442-009-1484-9")</f>
        <v>http://dx.doi.org/10.1007/s00442-009-1484-9</v>
      </c>
      <c r="BG241" t="s">
        <v>74</v>
      </c>
      <c r="BH241" t="s">
        <v>74</v>
      </c>
      <c r="BI241">
        <v>13</v>
      </c>
      <c r="BJ241" t="s">
        <v>1346</v>
      </c>
      <c r="BK241" t="s">
        <v>102</v>
      </c>
      <c r="BL241" t="s">
        <v>1348</v>
      </c>
      <c r="BM241" t="s">
        <v>4769</v>
      </c>
      <c r="BN241">
        <v>19902260</v>
      </c>
      <c r="BO241" t="s">
        <v>74</v>
      </c>
      <c r="BP241" t="s">
        <v>74</v>
      </c>
      <c r="BQ241" t="s">
        <v>74</v>
      </c>
      <c r="BR241" t="s">
        <v>105</v>
      </c>
      <c r="BS241" t="s">
        <v>4770</v>
      </c>
      <c r="BT241" t="str">
        <f>HYPERLINK("https%3A%2F%2Fwww.webofscience.com%2Fwos%2Fwoscc%2Ffull-record%2FWOS:000274518000019","View Full Record in Web of Science")</f>
        <v>View Full Record in Web of Science</v>
      </c>
    </row>
    <row r="242" spans="1:72" x14ac:dyDescent="0.15">
      <c r="A242" t="s">
        <v>72</v>
      </c>
      <c r="B242" t="s">
        <v>4771</v>
      </c>
      <c r="C242" t="s">
        <v>74</v>
      </c>
      <c r="D242" t="s">
        <v>74</v>
      </c>
      <c r="E242" t="s">
        <v>74</v>
      </c>
      <c r="F242" t="s">
        <v>4772</v>
      </c>
      <c r="G242" t="s">
        <v>74</v>
      </c>
      <c r="H242" t="s">
        <v>74</v>
      </c>
      <c r="I242" t="s">
        <v>4773</v>
      </c>
      <c r="J242" t="s">
        <v>4774</v>
      </c>
      <c r="K242" t="s">
        <v>74</v>
      </c>
      <c r="L242" t="s">
        <v>74</v>
      </c>
      <c r="M242" t="s">
        <v>78</v>
      </c>
      <c r="N242" t="s">
        <v>79</v>
      </c>
      <c r="O242" t="s">
        <v>74</v>
      </c>
      <c r="P242" t="s">
        <v>74</v>
      </c>
      <c r="Q242" t="s">
        <v>74</v>
      </c>
      <c r="R242" t="s">
        <v>74</v>
      </c>
      <c r="S242" t="s">
        <v>74</v>
      </c>
      <c r="T242" t="s">
        <v>4775</v>
      </c>
      <c r="U242" t="s">
        <v>4776</v>
      </c>
      <c r="V242" t="s">
        <v>4777</v>
      </c>
      <c r="W242" t="s">
        <v>4778</v>
      </c>
      <c r="X242" t="s">
        <v>2278</v>
      </c>
      <c r="Y242" t="s">
        <v>4779</v>
      </c>
      <c r="Z242" t="s">
        <v>4780</v>
      </c>
      <c r="AA242" t="s">
        <v>74</v>
      </c>
      <c r="AB242" t="s">
        <v>4781</v>
      </c>
      <c r="AC242" t="s">
        <v>4782</v>
      </c>
      <c r="AD242" t="s">
        <v>4783</v>
      </c>
      <c r="AE242" t="s">
        <v>4784</v>
      </c>
      <c r="AF242" t="s">
        <v>74</v>
      </c>
      <c r="AG242">
        <v>93</v>
      </c>
      <c r="AH242">
        <v>51</v>
      </c>
      <c r="AI242">
        <v>64</v>
      </c>
      <c r="AJ242">
        <v>1</v>
      </c>
      <c r="AK242">
        <v>27</v>
      </c>
      <c r="AL242" t="s">
        <v>144</v>
      </c>
      <c r="AM242" t="s">
        <v>145</v>
      </c>
      <c r="AN242" t="s">
        <v>146</v>
      </c>
      <c r="AO242" t="s">
        <v>4785</v>
      </c>
      <c r="AP242" t="s">
        <v>4786</v>
      </c>
      <c r="AQ242" t="s">
        <v>74</v>
      </c>
      <c r="AR242" t="s">
        <v>4787</v>
      </c>
      <c r="AS242" t="s">
        <v>4788</v>
      </c>
      <c r="AT242" t="s">
        <v>3970</v>
      </c>
      <c r="AU242">
        <v>2010</v>
      </c>
      <c r="AV242">
        <v>287</v>
      </c>
      <c r="AW242" t="s">
        <v>151</v>
      </c>
      <c r="AX242" t="s">
        <v>74</v>
      </c>
      <c r="AY242" t="s">
        <v>74</v>
      </c>
      <c r="AZ242" t="s">
        <v>74</v>
      </c>
      <c r="BA242" t="s">
        <v>74</v>
      </c>
      <c r="BB242">
        <v>1</v>
      </c>
      <c r="BC242">
        <v>27</v>
      </c>
      <c r="BD242" t="s">
        <v>74</v>
      </c>
      <c r="BE242" t="s">
        <v>4789</v>
      </c>
      <c r="BF242" t="str">
        <f>HYPERLINK("http://dx.doi.org/10.1016/j.palaeo.2009.12.006","http://dx.doi.org/10.1016/j.palaeo.2009.12.006")</f>
        <v>http://dx.doi.org/10.1016/j.palaeo.2009.12.006</v>
      </c>
      <c r="BG242" t="s">
        <v>74</v>
      </c>
      <c r="BH242" t="s">
        <v>74</v>
      </c>
      <c r="BI242">
        <v>27</v>
      </c>
      <c r="BJ242" t="s">
        <v>4790</v>
      </c>
      <c r="BK242" t="s">
        <v>102</v>
      </c>
      <c r="BL242" t="s">
        <v>4791</v>
      </c>
      <c r="BM242" t="s">
        <v>4792</v>
      </c>
      <c r="BN242" t="s">
        <v>74</v>
      </c>
      <c r="BO242" t="s">
        <v>74</v>
      </c>
      <c r="BP242" t="s">
        <v>74</v>
      </c>
      <c r="BQ242" t="s">
        <v>74</v>
      </c>
      <c r="BR242" t="s">
        <v>105</v>
      </c>
      <c r="BS242" t="s">
        <v>4793</v>
      </c>
      <c r="BT242" t="str">
        <f>HYPERLINK("https%3A%2F%2Fwww.webofscience.com%2Fwos%2Fwoscc%2Ffull-record%2FWOS:000276180100001","View Full Record in Web of Science")</f>
        <v>View Full Record in Web of Science</v>
      </c>
    </row>
    <row r="243" spans="1:72" x14ac:dyDescent="0.15">
      <c r="A243" t="s">
        <v>72</v>
      </c>
      <c r="B243" t="s">
        <v>4794</v>
      </c>
      <c r="C243" t="s">
        <v>74</v>
      </c>
      <c r="D243" t="s">
        <v>74</v>
      </c>
      <c r="E243" t="s">
        <v>74</v>
      </c>
      <c r="F243" t="s">
        <v>4795</v>
      </c>
      <c r="G243" t="s">
        <v>74</v>
      </c>
      <c r="H243" t="s">
        <v>74</v>
      </c>
      <c r="I243" t="s">
        <v>4796</v>
      </c>
      <c r="J243" t="s">
        <v>4774</v>
      </c>
      <c r="K243" t="s">
        <v>74</v>
      </c>
      <c r="L243" t="s">
        <v>74</v>
      </c>
      <c r="M243" t="s">
        <v>78</v>
      </c>
      <c r="N243" t="s">
        <v>79</v>
      </c>
      <c r="O243" t="s">
        <v>74</v>
      </c>
      <c r="P243" t="s">
        <v>74</v>
      </c>
      <c r="Q243" t="s">
        <v>74</v>
      </c>
      <c r="R243" t="s">
        <v>74</v>
      </c>
      <c r="S243" t="s">
        <v>74</v>
      </c>
      <c r="T243" t="s">
        <v>4797</v>
      </c>
      <c r="U243" t="s">
        <v>4798</v>
      </c>
      <c r="V243" t="s">
        <v>4799</v>
      </c>
      <c r="W243" t="s">
        <v>4800</v>
      </c>
      <c r="X243" t="s">
        <v>4801</v>
      </c>
      <c r="Y243" t="s">
        <v>4802</v>
      </c>
      <c r="Z243" t="s">
        <v>4803</v>
      </c>
      <c r="AA243" t="s">
        <v>4804</v>
      </c>
      <c r="AB243" t="s">
        <v>4805</v>
      </c>
      <c r="AC243" t="s">
        <v>4806</v>
      </c>
      <c r="AD243" t="s">
        <v>4806</v>
      </c>
      <c r="AE243" t="s">
        <v>4807</v>
      </c>
      <c r="AF243" t="s">
        <v>74</v>
      </c>
      <c r="AG243">
        <v>63</v>
      </c>
      <c r="AH243">
        <v>24</v>
      </c>
      <c r="AI243">
        <v>27</v>
      </c>
      <c r="AJ243">
        <v>0</v>
      </c>
      <c r="AK243">
        <v>36</v>
      </c>
      <c r="AL243" t="s">
        <v>173</v>
      </c>
      <c r="AM243" t="s">
        <v>145</v>
      </c>
      <c r="AN243" t="s">
        <v>174</v>
      </c>
      <c r="AO243" t="s">
        <v>4785</v>
      </c>
      <c r="AP243" t="s">
        <v>4786</v>
      </c>
      <c r="AQ243" t="s">
        <v>74</v>
      </c>
      <c r="AR243" t="s">
        <v>4787</v>
      </c>
      <c r="AS243" t="s">
        <v>4788</v>
      </c>
      <c r="AT243" t="s">
        <v>3970</v>
      </c>
      <c r="AU243">
        <v>2010</v>
      </c>
      <c r="AV243">
        <v>287</v>
      </c>
      <c r="AW243" t="s">
        <v>151</v>
      </c>
      <c r="AX243" t="s">
        <v>74</v>
      </c>
      <c r="AY243" t="s">
        <v>74</v>
      </c>
      <c r="AZ243" t="s">
        <v>74</v>
      </c>
      <c r="BA243" t="s">
        <v>74</v>
      </c>
      <c r="BB243">
        <v>143</v>
      </c>
      <c r="BC243">
        <v>151</v>
      </c>
      <c r="BD243" t="s">
        <v>74</v>
      </c>
      <c r="BE243" t="s">
        <v>4808</v>
      </c>
      <c r="BF243" t="str">
        <f>HYPERLINK("http://dx.doi.org/10.1016/j.palaeo.2010.01.033","http://dx.doi.org/10.1016/j.palaeo.2010.01.033")</f>
        <v>http://dx.doi.org/10.1016/j.palaeo.2010.01.033</v>
      </c>
      <c r="BG243" t="s">
        <v>74</v>
      </c>
      <c r="BH243" t="s">
        <v>74</v>
      </c>
      <c r="BI243">
        <v>9</v>
      </c>
      <c r="BJ243" t="s">
        <v>4790</v>
      </c>
      <c r="BK243" t="s">
        <v>102</v>
      </c>
      <c r="BL243" t="s">
        <v>4791</v>
      </c>
      <c r="BM243" t="s">
        <v>4792</v>
      </c>
      <c r="BN243" t="s">
        <v>74</v>
      </c>
      <c r="BO243" t="s">
        <v>74</v>
      </c>
      <c r="BP243" t="s">
        <v>74</v>
      </c>
      <c r="BQ243" t="s">
        <v>74</v>
      </c>
      <c r="BR243" t="s">
        <v>105</v>
      </c>
      <c r="BS243" t="s">
        <v>4809</v>
      </c>
      <c r="BT243" t="str">
        <f>HYPERLINK("https%3A%2F%2Fwww.webofscience.com%2Fwos%2Fwoscc%2Ffull-record%2FWOS:000276180100011","View Full Record in Web of Science")</f>
        <v>View Full Record in Web of Science</v>
      </c>
    </row>
    <row r="244" spans="1:72" x14ac:dyDescent="0.15">
      <c r="A244" t="s">
        <v>72</v>
      </c>
      <c r="B244" t="s">
        <v>4810</v>
      </c>
      <c r="C244" t="s">
        <v>74</v>
      </c>
      <c r="D244" t="s">
        <v>74</v>
      </c>
      <c r="E244" t="s">
        <v>74</v>
      </c>
      <c r="F244" t="s">
        <v>4811</v>
      </c>
      <c r="G244" t="s">
        <v>74</v>
      </c>
      <c r="H244" t="s">
        <v>74</v>
      </c>
      <c r="I244" t="s">
        <v>4812</v>
      </c>
      <c r="J244" t="s">
        <v>4813</v>
      </c>
      <c r="K244" t="s">
        <v>74</v>
      </c>
      <c r="L244" t="s">
        <v>74</v>
      </c>
      <c r="M244" t="s">
        <v>78</v>
      </c>
      <c r="N244" t="s">
        <v>79</v>
      </c>
      <c r="O244" t="s">
        <v>74</v>
      </c>
      <c r="P244" t="s">
        <v>74</v>
      </c>
      <c r="Q244" t="s">
        <v>74</v>
      </c>
      <c r="R244" t="s">
        <v>74</v>
      </c>
      <c r="S244" t="s">
        <v>74</v>
      </c>
      <c r="T244" t="s">
        <v>74</v>
      </c>
      <c r="U244" t="s">
        <v>4814</v>
      </c>
      <c r="V244" t="s">
        <v>4815</v>
      </c>
      <c r="W244" t="s">
        <v>4816</v>
      </c>
      <c r="X244" t="s">
        <v>4817</v>
      </c>
      <c r="Y244" t="s">
        <v>4818</v>
      </c>
      <c r="Z244" t="s">
        <v>4819</v>
      </c>
      <c r="AA244" t="s">
        <v>4820</v>
      </c>
      <c r="AB244" t="s">
        <v>4821</v>
      </c>
      <c r="AC244" t="s">
        <v>4822</v>
      </c>
      <c r="AD244" t="s">
        <v>4823</v>
      </c>
      <c r="AE244" t="s">
        <v>4824</v>
      </c>
      <c r="AF244" t="s">
        <v>74</v>
      </c>
      <c r="AG244">
        <v>38</v>
      </c>
      <c r="AH244">
        <v>1</v>
      </c>
      <c r="AI244">
        <v>1</v>
      </c>
      <c r="AJ244">
        <v>0</v>
      </c>
      <c r="AK244">
        <v>3</v>
      </c>
      <c r="AL244" t="s">
        <v>4825</v>
      </c>
      <c r="AM244" t="s">
        <v>4826</v>
      </c>
      <c r="AN244" t="s">
        <v>4827</v>
      </c>
      <c r="AO244" t="s">
        <v>4828</v>
      </c>
      <c r="AP244" t="s">
        <v>4829</v>
      </c>
      <c r="AQ244" t="s">
        <v>74</v>
      </c>
      <c r="AR244" t="s">
        <v>4830</v>
      </c>
      <c r="AS244" t="s">
        <v>4831</v>
      </c>
      <c r="AT244" t="s">
        <v>3762</v>
      </c>
      <c r="AU244">
        <v>2010</v>
      </c>
      <c r="AV244">
        <v>81</v>
      </c>
      <c r="AW244">
        <v>3</v>
      </c>
      <c r="AX244" t="s">
        <v>74</v>
      </c>
      <c r="AY244" t="s">
        <v>74</v>
      </c>
      <c r="AZ244" t="s">
        <v>74</v>
      </c>
      <c r="BA244" t="s">
        <v>74</v>
      </c>
      <c r="BB244" t="s">
        <v>74</v>
      </c>
      <c r="BC244" t="s">
        <v>74</v>
      </c>
      <c r="BD244">
        <v>35901</v>
      </c>
      <c r="BE244" t="s">
        <v>4832</v>
      </c>
      <c r="BF244" t="str">
        <f>HYPERLINK("http://dx.doi.org/10.1088/0031-8949/81/03/035901","http://dx.doi.org/10.1088/0031-8949/81/03/035901")</f>
        <v>http://dx.doi.org/10.1088/0031-8949/81/03/035901</v>
      </c>
      <c r="BG244" t="s">
        <v>74</v>
      </c>
      <c r="BH244" t="s">
        <v>74</v>
      </c>
      <c r="BI244">
        <v>5</v>
      </c>
      <c r="BJ244" t="s">
        <v>4833</v>
      </c>
      <c r="BK244" t="s">
        <v>102</v>
      </c>
      <c r="BL244" t="s">
        <v>4834</v>
      </c>
      <c r="BM244" t="s">
        <v>4835</v>
      </c>
      <c r="BN244" t="s">
        <v>74</v>
      </c>
      <c r="BO244" t="s">
        <v>74</v>
      </c>
      <c r="BP244" t="s">
        <v>74</v>
      </c>
      <c r="BQ244" t="s">
        <v>74</v>
      </c>
      <c r="BR244" t="s">
        <v>105</v>
      </c>
      <c r="BS244" t="s">
        <v>4836</v>
      </c>
      <c r="BT244" t="str">
        <f>HYPERLINK("https%3A%2F%2Fwww.webofscience.com%2Fwos%2Fwoscc%2Ffull-record%2FWOS:000275223000026","View Full Record in Web of Science")</f>
        <v>View Full Record in Web of Science</v>
      </c>
    </row>
    <row r="245" spans="1:72" x14ac:dyDescent="0.15">
      <c r="A245" t="s">
        <v>72</v>
      </c>
      <c r="B245" t="s">
        <v>4837</v>
      </c>
      <c r="C245" t="s">
        <v>74</v>
      </c>
      <c r="D245" t="s">
        <v>74</v>
      </c>
      <c r="E245" t="s">
        <v>74</v>
      </c>
      <c r="F245" t="s">
        <v>4838</v>
      </c>
      <c r="G245" t="s">
        <v>74</v>
      </c>
      <c r="H245" t="s">
        <v>74</v>
      </c>
      <c r="I245" t="s">
        <v>4839</v>
      </c>
      <c r="J245" t="s">
        <v>4840</v>
      </c>
      <c r="K245" t="s">
        <v>74</v>
      </c>
      <c r="L245" t="s">
        <v>74</v>
      </c>
      <c r="M245" t="s">
        <v>78</v>
      </c>
      <c r="N245" t="s">
        <v>79</v>
      </c>
      <c r="O245" t="s">
        <v>74</v>
      </c>
      <c r="P245" t="s">
        <v>74</v>
      </c>
      <c r="Q245" t="s">
        <v>74</v>
      </c>
      <c r="R245" t="s">
        <v>74</v>
      </c>
      <c r="S245" t="s">
        <v>74</v>
      </c>
      <c r="T245" t="s">
        <v>4841</v>
      </c>
      <c r="U245" t="s">
        <v>4842</v>
      </c>
      <c r="V245" t="s">
        <v>4843</v>
      </c>
      <c r="W245" t="s">
        <v>4844</v>
      </c>
      <c r="X245" t="s">
        <v>4845</v>
      </c>
      <c r="Y245" t="s">
        <v>4846</v>
      </c>
      <c r="Z245" t="s">
        <v>4847</v>
      </c>
      <c r="AA245" t="s">
        <v>4848</v>
      </c>
      <c r="AB245" t="s">
        <v>4849</v>
      </c>
      <c r="AC245" t="s">
        <v>4850</v>
      </c>
      <c r="AD245" t="s">
        <v>4851</v>
      </c>
      <c r="AE245" t="s">
        <v>4852</v>
      </c>
      <c r="AF245" t="s">
        <v>74</v>
      </c>
      <c r="AG245">
        <v>79</v>
      </c>
      <c r="AH245">
        <v>23</v>
      </c>
      <c r="AI245">
        <v>27</v>
      </c>
      <c r="AJ245">
        <v>0</v>
      </c>
      <c r="AK245">
        <v>8</v>
      </c>
      <c r="AL245" t="s">
        <v>173</v>
      </c>
      <c r="AM245" t="s">
        <v>145</v>
      </c>
      <c r="AN245" t="s">
        <v>174</v>
      </c>
      <c r="AO245" t="s">
        <v>4853</v>
      </c>
      <c r="AP245" t="s">
        <v>74</v>
      </c>
      <c r="AQ245" t="s">
        <v>74</v>
      </c>
      <c r="AR245" t="s">
        <v>4854</v>
      </c>
      <c r="AS245" t="s">
        <v>4855</v>
      </c>
      <c r="AT245" t="s">
        <v>3762</v>
      </c>
      <c r="AU245">
        <v>2010</v>
      </c>
      <c r="AV245">
        <v>179</v>
      </c>
      <c r="AW245" t="s">
        <v>1854</v>
      </c>
      <c r="AX245" t="s">
        <v>74</v>
      </c>
      <c r="AY245" t="s">
        <v>74</v>
      </c>
      <c r="AZ245" t="s">
        <v>74</v>
      </c>
      <c r="BA245" t="s">
        <v>74</v>
      </c>
      <c r="BB245">
        <v>72</v>
      </c>
      <c r="BC245">
        <v>86</v>
      </c>
      <c r="BD245" t="s">
        <v>74</v>
      </c>
      <c r="BE245" t="s">
        <v>4856</v>
      </c>
      <c r="BF245" t="str">
        <f>HYPERLINK("http://dx.doi.org/10.1016/j.pepi.2009.12.002","http://dx.doi.org/10.1016/j.pepi.2009.12.002")</f>
        <v>http://dx.doi.org/10.1016/j.pepi.2009.12.002</v>
      </c>
      <c r="BG245" t="s">
        <v>74</v>
      </c>
      <c r="BH245" t="s">
        <v>74</v>
      </c>
      <c r="BI245">
        <v>15</v>
      </c>
      <c r="BJ245" t="s">
        <v>507</v>
      </c>
      <c r="BK245" t="s">
        <v>102</v>
      </c>
      <c r="BL245" t="s">
        <v>507</v>
      </c>
      <c r="BM245" t="s">
        <v>4857</v>
      </c>
      <c r="BN245" t="s">
        <v>74</v>
      </c>
      <c r="BO245" t="s">
        <v>555</v>
      </c>
      <c r="BP245" t="s">
        <v>74</v>
      </c>
      <c r="BQ245" t="s">
        <v>74</v>
      </c>
      <c r="BR245" t="s">
        <v>105</v>
      </c>
      <c r="BS245" t="s">
        <v>4858</v>
      </c>
      <c r="BT245" t="str">
        <f>HYPERLINK("https%3A%2F%2Fwww.webofscience.com%2Fwos%2Fwoscc%2Ffull-record%2FWOS:000278082200007","View Full Record in Web of Science")</f>
        <v>View Full Record in Web of Science</v>
      </c>
    </row>
    <row r="246" spans="1:72" x14ac:dyDescent="0.15">
      <c r="A246" t="s">
        <v>72</v>
      </c>
      <c r="B246" t="s">
        <v>4859</v>
      </c>
      <c r="C246" t="s">
        <v>74</v>
      </c>
      <c r="D246" t="s">
        <v>74</v>
      </c>
      <c r="E246" t="s">
        <v>74</v>
      </c>
      <c r="F246" t="s">
        <v>4860</v>
      </c>
      <c r="G246" t="s">
        <v>74</v>
      </c>
      <c r="H246" t="s">
        <v>74</v>
      </c>
      <c r="I246" t="s">
        <v>4861</v>
      </c>
      <c r="J246" t="s">
        <v>4862</v>
      </c>
      <c r="K246" t="s">
        <v>74</v>
      </c>
      <c r="L246" t="s">
        <v>74</v>
      </c>
      <c r="M246" t="s">
        <v>78</v>
      </c>
      <c r="N246" t="s">
        <v>79</v>
      </c>
      <c r="O246" t="s">
        <v>74</v>
      </c>
      <c r="P246" t="s">
        <v>74</v>
      </c>
      <c r="Q246" t="s">
        <v>74</v>
      </c>
      <c r="R246" t="s">
        <v>74</v>
      </c>
      <c r="S246" t="s">
        <v>74</v>
      </c>
      <c r="T246" t="s">
        <v>74</v>
      </c>
      <c r="U246" t="s">
        <v>4863</v>
      </c>
      <c r="V246" t="s">
        <v>4864</v>
      </c>
      <c r="W246" t="s">
        <v>4865</v>
      </c>
      <c r="X246" t="s">
        <v>4866</v>
      </c>
      <c r="Y246" t="s">
        <v>4867</v>
      </c>
      <c r="Z246" t="s">
        <v>4868</v>
      </c>
      <c r="AA246" t="s">
        <v>4869</v>
      </c>
      <c r="AB246" t="s">
        <v>4870</v>
      </c>
      <c r="AC246" t="s">
        <v>4871</v>
      </c>
      <c r="AD246" t="s">
        <v>4872</v>
      </c>
      <c r="AE246" t="s">
        <v>4873</v>
      </c>
      <c r="AF246" t="s">
        <v>74</v>
      </c>
      <c r="AG246">
        <v>29</v>
      </c>
      <c r="AH246">
        <v>0</v>
      </c>
      <c r="AI246">
        <v>0</v>
      </c>
      <c r="AJ246">
        <v>0</v>
      </c>
      <c r="AK246">
        <v>33</v>
      </c>
      <c r="AL246" t="s">
        <v>2828</v>
      </c>
      <c r="AM246" t="s">
        <v>2829</v>
      </c>
      <c r="AN246" t="s">
        <v>2830</v>
      </c>
      <c r="AO246" t="s">
        <v>4874</v>
      </c>
      <c r="AP246" t="s">
        <v>74</v>
      </c>
      <c r="AQ246" t="s">
        <v>74</v>
      </c>
      <c r="AR246" t="s">
        <v>4875</v>
      </c>
      <c r="AS246" t="s">
        <v>4876</v>
      </c>
      <c r="AT246" t="s">
        <v>3738</v>
      </c>
      <c r="AU246">
        <v>2010</v>
      </c>
      <c r="AV246">
        <v>83</v>
      </c>
      <c r="AW246">
        <v>2</v>
      </c>
      <c r="AX246" t="s">
        <v>74</v>
      </c>
      <c r="AY246" t="s">
        <v>74</v>
      </c>
      <c r="AZ246" t="s">
        <v>74</v>
      </c>
      <c r="BA246" t="s">
        <v>74</v>
      </c>
      <c r="BB246">
        <v>232</v>
      </c>
      <c r="BC246">
        <v>238</v>
      </c>
      <c r="BD246" t="s">
        <v>74</v>
      </c>
      <c r="BE246" t="s">
        <v>4877</v>
      </c>
      <c r="BF246" t="str">
        <f>HYPERLINK("http://dx.doi.org/10.1086/597517","http://dx.doi.org/10.1086/597517")</f>
        <v>http://dx.doi.org/10.1086/597517</v>
      </c>
      <c r="BG246" t="s">
        <v>74</v>
      </c>
      <c r="BH246" t="s">
        <v>74</v>
      </c>
      <c r="BI246">
        <v>7</v>
      </c>
      <c r="BJ246" t="s">
        <v>4347</v>
      </c>
      <c r="BK246" t="s">
        <v>102</v>
      </c>
      <c r="BL246" t="s">
        <v>4347</v>
      </c>
      <c r="BM246" t="s">
        <v>4878</v>
      </c>
      <c r="BN246">
        <v>19302032</v>
      </c>
      <c r="BO246" t="s">
        <v>326</v>
      </c>
      <c r="BP246" t="s">
        <v>74</v>
      </c>
      <c r="BQ246" t="s">
        <v>74</v>
      </c>
      <c r="BR246" t="s">
        <v>105</v>
      </c>
      <c r="BS246" t="s">
        <v>4879</v>
      </c>
      <c r="BT246" t="str">
        <f>HYPERLINK("https%3A%2F%2Fwww.webofscience.com%2Fwos%2Fwoscc%2Ffull-record%2FWOS:000274443400004","View Full Record in Web of Science")</f>
        <v>View Full Record in Web of Science</v>
      </c>
    </row>
    <row r="247" spans="1:72" x14ac:dyDescent="0.15">
      <c r="A247" t="s">
        <v>72</v>
      </c>
      <c r="B247" t="s">
        <v>2755</v>
      </c>
      <c r="C247" t="s">
        <v>74</v>
      </c>
      <c r="D247" t="s">
        <v>74</v>
      </c>
      <c r="E247" t="s">
        <v>74</v>
      </c>
      <c r="F247" t="s">
        <v>2756</v>
      </c>
      <c r="G247" t="s">
        <v>74</v>
      </c>
      <c r="H247" t="s">
        <v>74</v>
      </c>
      <c r="I247" t="s">
        <v>4880</v>
      </c>
      <c r="J247" t="s">
        <v>2634</v>
      </c>
      <c r="K247" t="s">
        <v>74</v>
      </c>
      <c r="L247" t="s">
        <v>74</v>
      </c>
      <c r="M247" t="s">
        <v>78</v>
      </c>
      <c r="N247" t="s">
        <v>79</v>
      </c>
      <c r="O247" t="s">
        <v>74</v>
      </c>
      <c r="P247" t="s">
        <v>74</v>
      </c>
      <c r="Q247" t="s">
        <v>74</v>
      </c>
      <c r="R247" t="s">
        <v>74</v>
      </c>
      <c r="S247" t="s">
        <v>74</v>
      </c>
      <c r="T247" t="s">
        <v>4881</v>
      </c>
      <c r="U247" t="s">
        <v>4882</v>
      </c>
      <c r="V247" t="s">
        <v>4883</v>
      </c>
      <c r="W247" t="s">
        <v>4884</v>
      </c>
      <c r="X247" t="s">
        <v>2760</v>
      </c>
      <c r="Y247" t="s">
        <v>4885</v>
      </c>
      <c r="Z247" t="s">
        <v>2762</v>
      </c>
      <c r="AA247" t="s">
        <v>2763</v>
      </c>
      <c r="AB247" t="s">
        <v>2764</v>
      </c>
      <c r="AC247" t="s">
        <v>4886</v>
      </c>
      <c r="AD247" t="s">
        <v>4887</v>
      </c>
      <c r="AE247" t="s">
        <v>4888</v>
      </c>
      <c r="AF247" t="s">
        <v>74</v>
      </c>
      <c r="AG247">
        <v>62</v>
      </c>
      <c r="AH247">
        <v>86</v>
      </c>
      <c r="AI247">
        <v>93</v>
      </c>
      <c r="AJ247">
        <v>1</v>
      </c>
      <c r="AK247">
        <v>21</v>
      </c>
      <c r="AL247" t="s">
        <v>813</v>
      </c>
      <c r="AM247" t="s">
        <v>225</v>
      </c>
      <c r="AN247" t="s">
        <v>907</v>
      </c>
      <c r="AO247" t="s">
        <v>2646</v>
      </c>
      <c r="AP247" t="s">
        <v>2647</v>
      </c>
      <c r="AQ247" t="s">
        <v>74</v>
      </c>
      <c r="AR247" t="s">
        <v>2648</v>
      </c>
      <c r="AS247" t="s">
        <v>2649</v>
      </c>
      <c r="AT247" t="s">
        <v>3762</v>
      </c>
      <c r="AU247">
        <v>2010</v>
      </c>
      <c r="AV247">
        <v>33</v>
      </c>
      <c r="AW247">
        <v>3</v>
      </c>
      <c r="AX247" t="s">
        <v>74</v>
      </c>
      <c r="AY247" t="s">
        <v>74</v>
      </c>
      <c r="AZ247" t="s">
        <v>74</v>
      </c>
      <c r="BA247" t="s">
        <v>74</v>
      </c>
      <c r="BB247">
        <v>281</v>
      </c>
      <c r="BC247">
        <v>292</v>
      </c>
      <c r="BD247" t="s">
        <v>74</v>
      </c>
      <c r="BE247" t="s">
        <v>4889</v>
      </c>
      <c r="BF247" t="str">
        <f>HYPERLINK("http://dx.doi.org/10.1007/s00300-009-0703-5","http://dx.doi.org/10.1007/s00300-009-0703-5")</f>
        <v>http://dx.doi.org/10.1007/s00300-009-0703-5</v>
      </c>
      <c r="BG247" t="s">
        <v>74</v>
      </c>
      <c r="BH247" t="s">
        <v>74</v>
      </c>
      <c r="BI247">
        <v>12</v>
      </c>
      <c r="BJ247" t="s">
        <v>843</v>
      </c>
      <c r="BK247" t="s">
        <v>102</v>
      </c>
      <c r="BL247" t="s">
        <v>844</v>
      </c>
      <c r="BM247" t="s">
        <v>4890</v>
      </c>
      <c r="BN247" t="s">
        <v>74</v>
      </c>
      <c r="BO247" t="s">
        <v>555</v>
      </c>
      <c r="BP247" t="s">
        <v>74</v>
      </c>
      <c r="BQ247" t="s">
        <v>74</v>
      </c>
      <c r="BR247" t="s">
        <v>105</v>
      </c>
      <c r="BS247" t="s">
        <v>4891</v>
      </c>
      <c r="BT247" t="str">
        <f>HYPERLINK("https%3A%2F%2Fwww.webofscience.com%2Fwos%2Fwoscc%2Ffull-record%2FWOS:000275462500002","View Full Record in Web of Science")</f>
        <v>View Full Record in Web of Science</v>
      </c>
    </row>
    <row r="248" spans="1:72" x14ac:dyDescent="0.15">
      <c r="A248" t="s">
        <v>72</v>
      </c>
      <c r="B248" t="s">
        <v>4892</v>
      </c>
      <c r="C248" t="s">
        <v>74</v>
      </c>
      <c r="D248" t="s">
        <v>74</v>
      </c>
      <c r="E248" t="s">
        <v>74</v>
      </c>
      <c r="F248" t="s">
        <v>4893</v>
      </c>
      <c r="G248" t="s">
        <v>74</v>
      </c>
      <c r="H248" t="s">
        <v>74</v>
      </c>
      <c r="I248" t="s">
        <v>4894</v>
      </c>
      <c r="J248" t="s">
        <v>2634</v>
      </c>
      <c r="K248" t="s">
        <v>74</v>
      </c>
      <c r="L248" t="s">
        <v>74</v>
      </c>
      <c r="M248" t="s">
        <v>78</v>
      </c>
      <c r="N248" t="s">
        <v>79</v>
      </c>
      <c r="O248" t="s">
        <v>74</v>
      </c>
      <c r="P248" t="s">
        <v>74</v>
      </c>
      <c r="Q248" t="s">
        <v>74</v>
      </c>
      <c r="R248" t="s">
        <v>74</v>
      </c>
      <c r="S248" t="s">
        <v>74</v>
      </c>
      <c r="T248" t="s">
        <v>4895</v>
      </c>
      <c r="U248" t="s">
        <v>4896</v>
      </c>
      <c r="V248" t="s">
        <v>4897</v>
      </c>
      <c r="W248" t="s">
        <v>4898</v>
      </c>
      <c r="X248" t="s">
        <v>656</v>
      </c>
      <c r="Y248" t="s">
        <v>4899</v>
      </c>
      <c r="Z248" t="s">
        <v>4900</v>
      </c>
      <c r="AA248" t="s">
        <v>74</v>
      </c>
      <c r="AB248" t="s">
        <v>4901</v>
      </c>
      <c r="AC248" t="s">
        <v>4902</v>
      </c>
      <c r="AD248" t="s">
        <v>1972</v>
      </c>
      <c r="AE248" t="s">
        <v>74</v>
      </c>
      <c r="AF248" t="s">
        <v>74</v>
      </c>
      <c r="AG248">
        <v>53</v>
      </c>
      <c r="AH248">
        <v>22</v>
      </c>
      <c r="AI248">
        <v>25</v>
      </c>
      <c r="AJ248">
        <v>1</v>
      </c>
      <c r="AK248">
        <v>24</v>
      </c>
      <c r="AL248" t="s">
        <v>813</v>
      </c>
      <c r="AM248" t="s">
        <v>225</v>
      </c>
      <c r="AN248" t="s">
        <v>2228</v>
      </c>
      <c r="AO248" t="s">
        <v>2646</v>
      </c>
      <c r="AP248" t="s">
        <v>74</v>
      </c>
      <c r="AQ248" t="s">
        <v>74</v>
      </c>
      <c r="AR248" t="s">
        <v>2648</v>
      </c>
      <c r="AS248" t="s">
        <v>2649</v>
      </c>
      <c r="AT248" t="s">
        <v>3762</v>
      </c>
      <c r="AU248">
        <v>2010</v>
      </c>
      <c r="AV248">
        <v>33</v>
      </c>
      <c r="AW248">
        <v>3</v>
      </c>
      <c r="AX248" t="s">
        <v>74</v>
      </c>
      <c r="AY248" t="s">
        <v>74</v>
      </c>
      <c r="AZ248" t="s">
        <v>74</v>
      </c>
      <c r="BA248" t="s">
        <v>74</v>
      </c>
      <c r="BB248">
        <v>305</v>
      </c>
      <c r="BC248">
        <v>312</v>
      </c>
      <c r="BD248" t="s">
        <v>74</v>
      </c>
      <c r="BE248" t="s">
        <v>4903</v>
      </c>
      <c r="BF248" t="str">
        <f>HYPERLINK("http://dx.doi.org/10.1007/s00300-009-0706-2","http://dx.doi.org/10.1007/s00300-009-0706-2")</f>
        <v>http://dx.doi.org/10.1007/s00300-009-0706-2</v>
      </c>
      <c r="BG248" t="s">
        <v>74</v>
      </c>
      <c r="BH248" t="s">
        <v>74</v>
      </c>
      <c r="BI248">
        <v>8</v>
      </c>
      <c r="BJ248" t="s">
        <v>843</v>
      </c>
      <c r="BK248" t="s">
        <v>102</v>
      </c>
      <c r="BL248" t="s">
        <v>844</v>
      </c>
      <c r="BM248" t="s">
        <v>4890</v>
      </c>
      <c r="BN248" t="s">
        <v>74</v>
      </c>
      <c r="BO248" t="s">
        <v>74</v>
      </c>
      <c r="BP248" t="s">
        <v>74</v>
      </c>
      <c r="BQ248" t="s">
        <v>74</v>
      </c>
      <c r="BR248" t="s">
        <v>105</v>
      </c>
      <c r="BS248" t="s">
        <v>4904</v>
      </c>
      <c r="BT248" t="str">
        <f>HYPERLINK("https%3A%2F%2Fwww.webofscience.com%2Fwos%2Fwoscc%2Ffull-record%2FWOS:000275462500004","View Full Record in Web of Science")</f>
        <v>View Full Record in Web of Science</v>
      </c>
    </row>
    <row r="249" spans="1:72" x14ac:dyDescent="0.15">
      <c r="A249" t="s">
        <v>72</v>
      </c>
      <c r="B249" t="s">
        <v>4905</v>
      </c>
      <c r="C249" t="s">
        <v>74</v>
      </c>
      <c r="D249" t="s">
        <v>74</v>
      </c>
      <c r="E249" t="s">
        <v>74</v>
      </c>
      <c r="F249" t="s">
        <v>4906</v>
      </c>
      <c r="G249" t="s">
        <v>74</v>
      </c>
      <c r="H249" t="s">
        <v>74</v>
      </c>
      <c r="I249" t="s">
        <v>4907</v>
      </c>
      <c r="J249" t="s">
        <v>2634</v>
      </c>
      <c r="K249" t="s">
        <v>74</v>
      </c>
      <c r="L249" t="s">
        <v>74</v>
      </c>
      <c r="M249" t="s">
        <v>78</v>
      </c>
      <c r="N249" t="s">
        <v>79</v>
      </c>
      <c r="O249" t="s">
        <v>74</v>
      </c>
      <c r="P249" t="s">
        <v>74</v>
      </c>
      <c r="Q249" t="s">
        <v>74</v>
      </c>
      <c r="R249" t="s">
        <v>74</v>
      </c>
      <c r="S249" t="s">
        <v>74</v>
      </c>
      <c r="T249" t="s">
        <v>4908</v>
      </c>
      <c r="U249" t="s">
        <v>4909</v>
      </c>
      <c r="V249" t="s">
        <v>4910</v>
      </c>
      <c r="W249" t="s">
        <v>4911</v>
      </c>
      <c r="X249" t="s">
        <v>4912</v>
      </c>
      <c r="Y249" t="s">
        <v>4913</v>
      </c>
      <c r="Z249" t="s">
        <v>4914</v>
      </c>
      <c r="AA249" t="s">
        <v>4915</v>
      </c>
      <c r="AB249" t="s">
        <v>4916</v>
      </c>
      <c r="AC249" t="s">
        <v>4917</v>
      </c>
      <c r="AD249" t="s">
        <v>4918</v>
      </c>
      <c r="AE249" t="s">
        <v>4919</v>
      </c>
      <c r="AF249" t="s">
        <v>74</v>
      </c>
      <c r="AG249">
        <v>28</v>
      </c>
      <c r="AH249">
        <v>14</v>
      </c>
      <c r="AI249">
        <v>16</v>
      </c>
      <c r="AJ249">
        <v>0</v>
      </c>
      <c r="AK249">
        <v>6</v>
      </c>
      <c r="AL249" t="s">
        <v>813</v>
      </c>
      <c r="AM249" t="s">
        <v>225</v>
      </c>
      <c r="AN249" t="s">
        <v>2228</v>
      </c>
      <c r="AO249" t="s">
        <v>2646</v>
      </c>
      <c r="AP249" t="s">
        <v>2647</v>
      </c>
      <c r="AQ249" t="s">
        <v>74</v>
      </c>
      <c r="AR249" t="s">
        <v>2648</v>
      </c>
      <c r="AS249" t="s">
        <v>2649</v>
      </c>
      <c r="AT249" t="s">
        <v>3762</v>
      </c>
      <c r="AU249">
        <v>2010</v>
      </c>
      <c r="AV249">
        <v>33</v>
      </c>
      <c r="AW249">
        <v>3</v>
      </c>
      <c r="AX249" t="s">
        <v>74</v>
      </c>
      <c r="AY249" t="s">
        <v>74</v>
      </c>
      <c r="AZ249" t="s">
        <v>74</v>
      </c>
      <c r="BA249" t="s">
        <v>74</v>
      </c>
      <c r="BB249">
        <v>313</v>
      </c>
      <c r="BC249">
        <v>320</v>
      </c>
      <c r="BD249" t="s">
        <v>74</v>
      </c>
      <c r="BE249" t="s">
        <v>4920</v>
      </c>
      <c r="BF249" t="str">
        <f>HYPERLINK("http://dx.doi.org/10.1007/s00300-009-0707-1","http://dx.doi.org/10.1007/s00300-009-0707-1")</f>
        <v>http://dx.doi.org/10.1007/s00300-009-0707-1</v>
      </c>
      <c r="BG249" t="s">
        <v>74</v>
      </c>
      <c r="BH249" t="s">
        <v>74</v>
      </c>
      <c r="BI249">
        <v>8</v>
      </c>
      <c r="BJ249" t="s">
        <v>843</v>
      </c>
      <c r="BK249" t="s">
        <v>102</v>
      </c>
      <c r="BL249" t="s">
        <v>844</v>
      </c>
      <c r="BM249" t="s">
        <v>4890</v>
      </c>
      <c r="BN249" t="s">
        <v>74</v>
      </c>
      <c r="BO249" t="s">
        <v>74</v>
      </c>
      <c r="BP249" t="s">
        <v>74</v>
      </c>
      <c r="BQ249" t="s">
        <v>74</v>
      </c>
      <c r="BR249" t="s">
        <v>105</v>
      </c>
      <c r="BS249" t="s">
        <v>4921</v>
      </c>
      <c r="BT249" t="str">
        <f>HYPERLINK("https%3A%2F%2Fwww.webofscience.com%2Fwos%2Fwoscc%2Ffull-record%2FWOS:000275462500005","View Full Record in Web of Science")</f>
        <v>View Full Record in Web of Science</v>
      </c>
    </row>
    <row r="250" spans="1:72" x14ac:dyDescent="0.15">
      <c r="A250" t="s">
        <v>72</v>
      </c>
      <c r="B250" t="s">
        <v>4922</v>
      </c>
      <c r="C250" t="s">
        <v>74</v>
      </c>
      <c r="D250" t="s">
        <v>74</v>
      </c>
      <c r="E250" t="s">
        <v>74</v>
      </c>
      <c r="F250" t="s">
        <v>4923</v>
      </c>
      <c r="G250" t="s">
        <v>74</v>
      </c>
      <c r="H250" t="s">
        <v>74</v>
      </c>
      <c r="I250" t="s">
        <v>4924</v>
      </c>
      <c r="J250" t="s">
        <v>2634</v>
      </c>
      <c r="K250" t="s">
        <v>74</v>
      </c>
      <c r="L250" t="s">
        <v>74</v>
      </c>
      <c r="M250" t="s">
        <v>78</v>
      </c>
      <c r="N250" t="s">
        <v>79</v>
      </c>
      <c r="O250" t="s">
        <v>74</v>
      </c>
      <c r="P250" t="s">
        <v>74</v>
      </c>
      <c r="Q250" t="s">
        <v>74</v>
      </c>
      <c r="R250" t="s">
        <v>74</v>
      </c>
      <c r="S250" t="s">
        <v>74</v>
      </c>
      <c r="T250" t="s">
        <v>4925</v>
      </c>
      <c r="U250" t="s">
        <v>4926</v>
      </c>
      <c r="V250" t="s">
        <v>4927</v>
      </c>
      <c r="W250" t="s">
        <v>4928</v>
      </c>
      <c r="X250" t="s">
        <v>4929</v>
      </c>
      <c r="Y250" t="s">
        <v>4930</v>
      </c>
      <c r="Z250" t="s">
        <v>4931</v>
      </c>
      <c r="AA250" t="s">
        <v>4932</v>
      </c>
      <c r="AB250" t="s">
        <v>4933</v>
      </c>
      <c r="AC250" t="s">
        <v>4934</v>
      </c>
      <c r="AD250" t="s">
        <v>4935</v>
      </c>
      <c r="AE250" t="s">
        <v>4936</v>
      </c>
      <c r="AF250" t="s">
        <v>74</v>
      </c>
      <c r="AG250">
        <v>51</v>
      </c>
      <c r="AH250">
        <v>7</v>
      </c>
      <c r="AI250">
        <v>7</v>
      </c>
      <c r="AJ250">
        <v>0</v>
      </c>
      <c r="AK250">
        <v>7</v>
      </c>
      <c r="AL250" t="s">
        <v>813</v>
      </c>
      <c r="AM250" t="s">
        <v>225</v>
      </c>
      <c r="AN250" t="s">
        <v>2228</v>
      </c>
      <c r="AO250" t="s">
        <v>2646</v>
      </c>
      <c r="AP250" t="s">
        <v>2647</v>
      </c>
      <c r="AQ250" t="s">
        <v>74</v>
      </c>
      <c r="AR250" t="s">
        <v>2648</v>
      </c>
      <c r="AS250" t="s">
        <v>2649</v>
      </c>
      <c r="AT250" t="s">
        <v>3762</v>
      </c>
      <c r="AU250">
        <v>2010</v>
      </c>
      <c r="AV250">
        <v>33</v>
      </c>
      <c r="AW250">
        <v>3</v>
      </c>
      <c r="AX250" t="s">
        <v>74</v>
      </c>
      <c r="AY250" t="s">
        <v>74</v>
      </c>
      <c r="AZ250" t="s">
        <v>74</v>
      </c>
      <c r="BA250" t="s">
        <v>74</v>
      </c>
      <c r="BB250">
        <v>337</v>
      </c>
      <c r="BC250">
        <v>346</v>
      </c>
      <c r="BD250" t="s">
        <v>74</v>
      </c>
      <c r="BE250" t="s">
        <v>4937</v>
      </c>
      <c r="BF250" t="str">
        <f>HYPERLINK("http://dx.doi.org/10.1007/s00300-009-0710-6","http://dx.doi.org/10.1007/s00300-009-0710-6")</f>
        <v>http://dx.doi.org/10.1007/s00300-009-0710-6</v>
      </c>
      <c r="BG250" t="s">
        <v>74</v>
      </c>
      <c r="BH250" t="s">
        <v>74</v>
      </c>
      <c r="BI250">
        <v>10</v>
      </c>
      <c r="BJ250" t="s">
        <v>843</v>
      </c>
      <c r="BK250" t="s">
        <v>102</v>
      </c>
      <c r="BL250" t="s">
        <v>844</v>
      </c>
      <c r="BM250" t="s">
        <v>4890</v>
      </c>
      <c r="BN250" t="s">
        <v>74</v>
      </c>
      <c r="BO250" t="s">
        <v>74</v>
      </c>
      <c r="BP250" t="s">
        <v>74</v>
      </c>
      <c r="BQ250" t="s">
        <v>74</v>
      </c>
      <c r="BR250" t="s">
        <v>105</v>
      </c>
      <c r="BS250" t="s">
        <v>4938</v>
      </c>
      <c r="BT250" t="str">
        <f>HYPERLINK("https%3A%2F%2Fwww.webofscience.com%2Fwos%2Fwoscc%2Ffull-record%2FWOS:000275462500007","View Full Record in Web of Science")</f>
        <v>View Full Record in Web of Science</v>
      </c>
    </row>
    <row r="251" spans="1:72" x14ac:dyDescent="0.15">
      <c r="A251" t="s">
        <v>72</v>
      </c>
      <c r="B251" t="s">
        <v>4939</v>
      </c>
      <c r="C251" t="s">
        <v>74</v>
      </c>
      <c r="D251" t="s">
        <v>74</v>
      </c>
      <c r="E251" t="s">
        <v>74</v>
      </c>
      <c r="F251" t="s">
        <v>4940</v>
      </c>
      <c r="G251" t="s">
        <v>74</v>
      </c>
      <c r="H251" t="s">
        <v>74</v>
      </c>
      <c r="I251" t="s">
        <v>4941</v>
      </c>
      <c r="J251" t="s">
        <v>2634</v>
      </c>
      <c r="K251" t="s">
        <v>74</v>
      </c>
      <c r="L251" t="s">
        <v>74</v>
      </c>
      <c r="M251" t="s">
        <v>78</v>
      </c>
      <c r="N251" t="s">
        <v>79</v>
      </c>
      <c r="O251" t="s">
        <v>74</v>
      </c>
      <c r="P251" t="s">
        <v>74</v>
      </c>
      <c r="Q251" t="s">
        <v>74</v>
      </c>
      <c r="R251" t="s">
        <v>74</v>
      </c>
      <c r="S251" t="s">
        <v>74</v>
      </c>
      <c r="T251" t="s">
        <v>4942</v>
      </c>
      <c r="U251" t="s">
        <v>4943</v>
      </c>
      <c r="V251" t="s">
        <v>4944</v>
      </c>
      <c r="W251" t="s">
        <v>4945</v>
      </c>
      <c r="X251" t="s">
        <v>4946</v>
      </c>
      <c r="Y251" t="s">
        <v>4947</v>
      </c>
      <c r="Z251" t="s">
        <v>4948</v>
      </c>
      <c r="AA251" t="s">
        <v>74</v>
      </c>
      <c r="AB251" t="s">
        <v>4949</v>
      </c>
      <c r="AC251" t="s">
        <v>4950</v>
      </c>
      <c r="AD251" t="s">
        <v>4951</v>
      </c>
      <c r="AE251" t="s">
        <v>4952</v>
      </c>
      <c r="AF251" t="s">
        <v>74</v>
      </c>
      <c r="AG251">
        <v>59</v>
      </c>
      <c r="AH251">
        <v>31</v>
      </c>
      <c r="AI251">
        <v>32</v>
      </c>
      <c r="AJ251">
        <v>0</v>
      </c>
      <c r="AK251">
        <v>12</v>
      </c>
      <c r="AL251" t="s">
        <v>813</v>
      </c>
      <c r="AM251" t="s">
        <v>225</v>
      </c>
      <c r="AN251" t="s">
        <v>907</v>
      </c>
      <c r="AO251" t="s">
        <v>2646</v>
      </c>
      <c r="AP251" t="s">
        <v>2647</v>
      </c>
      <c r="AQ251" t="s">
        <v>74</v>
      </c>
      <c r="AR251" t="s">
        <v>2648</v>
      </c>
      <c r="AS251" t="s">
        <v>2649</v>
      </c>
      <c r="AT251" t="s">
        <v>3762</v>
      </c>
      <c r="AU251">
        <v>2010</v>
      </c>
      <c r="AV251">
        <v>33</v>
      </c>
      <c r="AW251">
        <v>3</v>
      </c>
      <c r="AX251" t="s">
        <v>74</v>
      </c>
      <c r="AY251" t="s">
        <v>74</v>
      </c>
      <c r="AZ251" t="s">
        <v>74</v>
      </c>
      <c r="BA251" t="s">
        <v>74</v>
      </c>
      <c r="BB251">
        <v>389</v>
      </c>
      <c r="BC251">
        <v>401</v>
      </c>
      <c r="BD251" t="s">
        <v>74</v>
      </c>
      <c r="BE251" t="s">
        <v>4953</v>
      </c>
      <c r="BF251" t="str">
        <f>HYPERLINK("http://dx.doi.org/10.1007/s00300-009-0716-0","http://dx.doi.org/10.1007/s00300-009-0716-0")</f>
        <v>http://dx.doi.org/10.1007/s00300-009-0716-0</v>
      </c>
      <c r="BG251" t="s">
        <v>74</v>
      </c>
      <c r="BH251" t="s">
        <v>74</v>
      </c>
      <c r="BI251">
        <v>13</v>
      </c>
      <c r="BJ251" t="s">
        <v>843</v>
      </c>
      <c r="BK251" t="s">
        <v>102</v>
      </c>
      <c r="BL251" t="s">
        <v>844</v>
      </c>
      <c r="BM251" t="s">
        <v>4890</v>
      </c>
      <c r="BN251" t="s">
        <v>74</v>
      </c>
      <c r="BO251" t="s">
        <v>74</v>
      </c>
      <c r="BP251" t="s">
        <v>74</v>
      </c>
      <c r="BQ251" t="s">
        <v>74</v>
      </c>
      <c r="BR251" t="s">
        <v>105</v>
      </c>
      <c r="BS251" t="s">
        <v>4954</v>
      </c>
      <c r="BT251" t="str">
        <f>HYPERLINK("https%3A%2F%2Fwww.webofscience.com%2Fwos%2Fwoscc%2Ffull-record%2FWOS:000275462500012","View Full Record in Web of Science")</f>
        <v>View Full Record in Web of Science</v>
      </c>
    </row>
    <row r="252" spans="1:72" x14ac:dyDescent="0.15">
      <c r="A252" t="s">
        <v>72</v>
      </c>
      <c r="B252" t="s">
        <v>4955</v>
      </c>
      <c r="C252" t="s">
        <v>74</v>
      </c>
      <c r="D252" t="s">
        <v>74</v>
      </c>
      <c r="E252" t="s">
        <v>74</v>
      </c>
      <c r="F252" t="s">
        <v>4956</v>
      </c>
      <c r="G252" t="s">
        <v>74</v>
      </c>
      <c r="H252" t="s">
        <v>74</v>
      </c>
      <c r="I252" t="s">
        <v>4957</v>
      </c>
      <c r="J252" t="s">
        <v>2634</v>
      </c>
      <c r="K252" t="s">
        <v>74</v>
      </c>
      <c r="L252" t="s">
        <v>74</v>
      </c>
      <c r="M252" t="s">
        <v>78</v>
      </c>
      <c r="N252" t="s">
        <v>79</v>
      </c>
      <c r="O252" t="s">
        <v>74</v>
      </c>
      <c r="P252" t="s">
        <v>74</v>
      </c>
      <c r="Q252" t="s">
        <v>74</v>
      </c>
      <c r="R252" t="s">
        <v>74</v>
      </c>
      <c r="S252" t="s">
        <v>74</v>
      </c>
      <c r="T252" t="s">
        <v>4958</v>
      </c>
      <c r="U252" t="s">
        <v>4959</v>
      </c>
      <c r="V252" t="s">
        <v>4960</v>
      </c>
      <c r="W252" t="s">
        <v>4961</v>
      </c>
      <c r="X252" t="s">
        <v>4962</v>
      </c>
      <c r="Y252" t="s">
        <v>4963</v>
      </c>
      <c r="Z252" t="s">
        <v>4964</v>
      </c>
      <c r="AA252" t="s">
        <v>4965</v>
      </c>
      <c r="AB252" t="s">
        <v>4966</v>
      </c>
      <c r="AC252" t="s">
        <v>4967</v>
      </c>
      <c r="AD252" t="s">
        <v>4968</v>
      </c>
      <c r="AE252" t="s">
        <v>4969</v>
      </c>
      <c r="AF252" t="s">
        <v>74</v>
      </c>
      <c r="AG252">
        <v>8</v>
      </c>
      <c r="AH252">
        <v>11</v>
      </c>
      <c r="AI252">
        <v>11</v>
      </c>
      <c r="AJ252">
        <v>2</v>
      </c>
      <c r="AK252">
        <v>45</v>
      </c>
      <c r="AL252" t="s">
        <v>813</v>
      </c>
      <c r="AM252" t="s">
        <v>225</v>
      </c>
      <c r="AN252" t="s">
        <v>2228</v>
      </c>
      <c r="AO252" t="s">
        <v>2646</v>
      </c>
      <c r="AP252" t="s">
        <v>74</v>
      </c>
      <c r="AQ252" t="s">
        <v>74</v>
      </c>
      <c r="AR252" t="s">
        <v>2648</v>
      </c>
      <c r="AS252" t="s">
        <v>2649</v>
      </c>
      <c r="AT252" t="s">
        <v>3762</v>
      </c>
      <c r="AU252">
        <v>2010</v>
      </c>
      <c r="AV252">
        <v>33</v>
      </c>
      <c r="AW252">
        <v>3</v>
      </c>
      <c r="AX252" t="s">
        <v>74</v>
      </c>
      <c r="AY252" t="s">
        <v>74</v>
      </c>
      <c r="AZ252" t="s">
        <v>74</v>
      </c>
      <c r="BA252" t="s">
        <v>74</v>
      </c>
      <c r="BB252">
        <v>403</v>
      </c>
      <c r="BC252">
        <v>405</v>
      </c>
      <c r="BD252" t="s">
        <v>74</v>
      </c>
      <c r="BE252" t="s">
        <v>4970</v>
      </c>
      <c r="BF252" t="str">
        <f>HYPERLINK("http://dx.doi.org/10.1007/s00300-009-0709-z","http://dx.doi.org/10.1007/s00300-009-0709-z")</f>
        <v>http://dx.doi.org/10.1007/s00300-009-0709-z</v>
      </c>
      <c r="BG252" t="s">
        <v>74</v>
      </c>
      <c r="BH252" t="s">
        <v>74</v>
      </c>
      <c r="BI252">
        <v>3</v>
      </c>
      <c r="BJ252" t="s">
        <v>843</v>
      </c>
      <c r="BK252" t="s">
        <v>102</v>
      </c>
      <c r="BL252" t="s">
        <v>844</v>
      </c>
      <c r="BM252" t="s">
        <v>4890</v>
      </c>
      <c r="BN252" t="s">
        <v>74</v>
      </c>
      <c r="BO252" t="s">
        <v>74</v>
      </c>
      <c r="BP252" t="s">
        <v>74</v>
      </c>
      <c r="BQ252" t="s">
        <v>74</v>
      </c>
      <c r="BR252" t="s">
        <v>105</v>
      </c>
      <c r="BS252" t="s">
        <v>4971</v>
      </c>
      <c r="BT252" t="str">
        <f>HYPERLINK("https%3A%2F%2Fwww.webofscience.com%2Fwos%2Fwoscc%2Ffull-record%2FWOS:000275462500013","View Full Record in Web of Science")</f>
        <v>View Full Record in Web of Science</v>
      </c>
    </row>
    <row r="253" spans="1:72" x14ac:dyDescent="0.15">
      <c r="A253" t="s">
        <v>72</v>
      </c>
      <c r="B253" t="s">
        <v>4972</v>
      </c>
      <c r="C253" t="s">
        <v>74</v>
      </c>
      <c r="D253" t="s">
        <v>74</v>
      </c>
      <c r="E253" t="s">
        <v>74</v>
      </c>
      <c r="F253" t="s">
        <v>4973</v>
      </c>
      <c r="G253" t="s">
        <v>74</v>
      </c>
      <c r="H253" t="s">
        <v>74</v>
      </c>
      <c r="I253" t="s">
        <v>4974</v>
      </c>
      <c r="J253" t="s">
        <v>2634</v>
      </c>
      <c r="K253" t="s">
        <v>74</v>
      </c>
      <c r="L253" t="s">
        <v>74</v>
      </c>
      <c r="M253" t="s">
        <v>78</v>
      </c>
      <c r="N253" t="s">
        <v>79</v>
      </c>
      <c r="O253" t="s">
        <v>74</v>
      </c>
      <c r="P253" t="s">
        <v>74</v>
      </c>
      <c r="Q253" t="s">
        <v>74</v>
      </c>
      <c r="R253" t="s">
        <v>74</v>
      </c>
      <c r="S253" t="s">
        <v>74</v>
      </c>
      <c r="T253" t="s">
        <v>4975</v>
      </c>
      <c r="U253" t="s">
        <v>4976</v>
      </c>
      <c r="V253" t="s">
        <v>4977</v>
      </c>
      <c r="W253" t="s">
        <v>4978</v>
      </c>
      <c r="X253" t="s">
        <v>4979</v>
      </c>
      <c r="Y253" t="s">
        <v>4980</v>
      </c>
      <c r="Z253" t="s">
        <v>4981</v>
      </c>
      <c r="AA253" t="s">
        <v>4982</v>
      </c>
      <c r="AB253" t="s">
        <v>4983</v>
      </c>
      <c r="AC253" t="s">
        <v>4984</v>
      </c>
      <c r="AD253" t="s">
        <v>4985</v>
      </c>
      <c r="AE253" t="s">
        <v>4986</v>
      </c>
      <c r="AF253" t="s">
        <v>74</v>
      </c>
      <c r="AG253">
        <v>33</v>
      </c>
      <c r="AH253">
        <v>22</v>
      </c>
      <c r="AI253">
        <v>30</v>
      </c>
      <c r="AJ253">
        <v>0</v>
      </c>
      <c r="AK253">
        <v>32</v>
      </c>
      <c r="AL253" t="s">
        <v>813</v>
      </c>
      <c r="AM253" t="s">
        <v>225</v>
      </c>
      <c r="AN253" t="s">
        <v>2228</v>
      </c>
      <c r="AO253" t="s">
        <v>2646</v>
      </c>
      <c r="AP253" t="s">
        <v>2647</v>
      </c>
      <c r="AQ253" t="s">
        <v>74</v>
      </c>
      <c r="AR253" t="s">
        <v>2648</v>
      </c>
      <c r="AS253" t="s">
        <v>2649</v>
      </c>
      <c r="AT253" t="s">
        <v>3762</v>
      </c>
      <c r="AU253">
        <v>2010</v>
      </c>
      <c r="AV253">
        <v>33</v>
      </c>
      <c r="AW253">
        <v>3</v>
      </c>
      <c r="AX253" t="s">
        <v>74</v>
      </c>
      <c r="AY253" t="s">
        <v>74</v>
      </c>
      <c r="AZ253" t="s">
        <v>74</v>
      </c>
      <c r="BA253" t="s">
        <v>74</v>
      </c>
      <c r="BB253">
        <v>407</v>
      </c>
      <c r="BC253">
        <v>414</v>
      </c>
      <c r="BD253" t="s">
        <v>74</v>
      </c>
      <c r="BE253" t="s">
        <v>4987</v>
      </c>
      <c r="BF253" t="str">
        <f>HYPERLINK("http://dx.doi.org/10.1007/s00300-009-0714-2","http://dx.doi.org/10.1007/s00300-009-0714-2")</f>
        <v>http://dx.doi.org/10.1007/s00300-009-0714-2</v>
      </c>
      <c r="BG253" t="s">
        <v>74</v>
      </c>
      <c r="BH253" t="s">
        <v>74</v>
      </c>
      <c r="BI253">
        <v>8</v>
      </c>
      <c r="BJ253" t="s">
        <v>843</v>
      </c>
      <c r="BK253" t="s">
        <v>102</v>
      </c>
      <c r="BL253" t="s">
        <v>844</v>
      </c>
      <c r="BM253" t="s">
        <v>4890</v>
      </c>
      <c r="BN253" t="s">
        <v>74</v>
      </c>
      <c r="BO253" t="s">
        <v>74</v>
      </c>
      <c r="BP253" t="s">
        <v>74</v>
      </c>
      <c r="BQ253" t="s">
        <v>74</v>
      </c>
      <c r="BR253" t="s">
        <v>105</v>
      </c>
      <c r="BS253" t="s">
        <v>4988</v>
      </c>
      <c r="BT253" t="str">
        <f>HYPERLINK("https%3A%2F%2Fwww.webofscience.com%2Fwos%2Fwoscc%2Ffull-record%2FWOS:000275462500014","View Full Record in Web of Science")</f>
        <v>View Full Record in Web of Science</v>
      </c>
    </row>
    <row r="254" spans="1:72" x14ac:dyDescent="0.15">
      <c r="A254" t="s">
        <v>72</v>
      </c>
      <c r="B254" t="s">
        <v>4989</v>
      </c>
      <c r="C254" t="s">
        <v>74</v>
      </c>
      <c r="D254" t="s">
        <v>74</v>
      </c>
      <c r="E254" t="s">
        <v>74</v>
      </c>
      <c r="F254" t="s">
        <v>4990</v>
      </c>
      <c r="G254" t="s">
        <v>74</v>
      </c>
      <c r="H254" t="s">
        <v>74</v>
      </c>
      <c r="I254" t="s">
        <v>4991</v>
      </c>
      <c r="J254" t="s">
        <v>4992</v>
      </c>
      <c r="K254" t="s">
        <v>74</v>
      </c>
      <c r="L254" t="s">
        <v>74</v>
      </c>
      <c r="M254" t="s">
        <v>78</v>
      </c>
      <c r="N254" t="s">
        <v>600</v>
      </c>
      <c r="O254" t="s">
        <v>74</v>
      </c>
      <c r="P254" t="s">
        <v>74</v>
      </c>
      <c r="Q254" t="s">
        <v>74</v>
      </c>
      <c r="R254" t="s">
        <v>74</v>
      </c>
      <c r="S254" t="s">
        <v>74</v>
      </c>
      <c r="T254" t="s">
        <v>74</v>
      </c>
      <c r="U254" t="s">
        <v>4993</v>
      </c>
      <c r="V254" t="s">
        <v>4994</v>
      </c>
      <c r="W254" t="s">
        <v>4995</v>
      </c>
      <c r="X254" t="s">
        <v>4996</v>
      </c>
      <c r="Y254" t="s">
        <v>4997</v>
      </c>
      <c r="Z254" t="s">
        <v>74</v>
      </c>
      <c r="AA254" t="s">
        <v>74</v>
      </c>
      <c r="AB254" t="s">
        <v>4998</v>
      </c>
      <c r="AC254" t="s">
        <v>4999</v>
      </c>
      <c r="AD254" t="s">
        <v>5000</v>
      </c>
      <c r="AE254" t="s">
        <v>5001</v>
      </c>
      <c r="AF254" t="s">
        <v>74</v>
      </c>
      <c r="AG254">
        <v>60</v>
      </c>
      <c r="AH254">
        <v>24</v>
      </c>
      <c r="AI254">
        <v>25</v>
      </c>
      <c r="AJ254">
        <v>0</v>
      </c>
      <c r="AK254">
        <v>14</v>
      </c>
      <c r="AL254" t="s">
        <v>1063</v>
      </c>
      <c r="AM254" t="s">
        <v>1064</v>
      </c>
      <c r="AN254" t="s">
        <v>1065</v>
      </c>
      <c r="AO254" t="s">
        <v>5002</v>
      </c>
      <c r="AP254" t="s">
        <v>74</v>
      </c>
      <c r="AQ254" t="s">
        <v>74</v>
      </c>
      <c r="AR254" t="s">
        <v>5003</v>
      </c>
      <c r="AS254" t="s">
        <v>5004</v>
      </c>
      <c r="AT254" t="s">
        <v>3762</v>
      </c>
      <c r="AU254">
        <v>2010</v>
      </c>
      <c r="AV254">
        <v>84</v>
      </c>
      <c r="AW254" t="s">
        <v>971</v>
      </c>
      <c r="AX254" t="s">
        <v>74</v>
      </c>
      <c r="AY254" t="s">
        <v>74</v>
      </c>
      <c r="AZ254" t="s">
        <v>74</v>
      </c>
      <c r="BA254" t="s">
        <v>74</v>
      </c>
      <c r="BB254">
        <v>139</v>
      </c>
      <c r="BC254">
        <v>157</v>
      </c>
      <c r="BD254" t="s">
        <v>74</v>
      </c>
      <c r="BE254" t="s">
        <v>5005</v>
      </c>
      <c r="BF254" t="str">
        <f>HYPERLINK("http://dx.doi.org/10.1016/j.pocean.2009.11.002","http://dx.doi.org/10.1016/j.pocean.2009.11.002")</f>
        <v>http://dx.doi.org/10.1016/j.pocean.2009.11.002</v>
      </c>
      <c r="BG254" t="s">
        <v>74</v>
      </c>
      <c r="BH254" t="s">
        <v>74</v>
      </c>
      <c r="BI254">
        <v>19</v>
      </c>
      <c r="BJ254" t="s">
        <v>101</v>
      </c>
      <c r="BK254" t="s">
        <v>102</v>
      </c>
      <c r="BL254" t="s">
        <v>101</v>
      </c>
      <c r="BM254" t="s">
        <v>5006</v>
      </c>
      <c r="BN254" t="s">
        <v>74</v>
      </c>
      <c r="BO254" t="s">
        <v>74</v>
      </c>
      <c r="BP254" t="s">
        <v>74</v>
      </c>
      <c r="BQ254" t="s">
        <v>74</v>
      </c>
      <c r="BR254" t="s">
        <v>105</v>
      </c>
      <c r="BS254" t="s">
        <v>5007</v>
      </c>
      <c r="BT254" t="str">
        <f>HYPERLINK("https%3A%2F%2Fwww.webofscience.com%2Fwos%2Fwoscc%2Ffull-record%2FWOS:000276145600001","View Full Record in Web of Science")</f>
        <v>View Full Record in Web of Science</v>
      </c>
    </row>
    <row r="255" spans="1:72" x14ac:dyDescent="0.15">
      <c r="A255" t="s">
        <v>72</v>
      </c>
      <c r="B255" t="s">
        <v>5008</v>
      </c>
      <c r="C255" t="s">
        <v>74</v>
      </c>
      <c r="D255" t="s">
        <v>74</v>
      </c>
      <c r="E255" t="s">
        <v>74</v>
      </c>
      <c r="F255" t="s">
        <v>5009</v>
      </c>
      <c r="G255" t="s">
        <v>74</v>
      </c>
      <c r="H255" t="s">
        <v>74</v>
      </c>
      <c r="I255" t="s">
        <v>5010</v>
      </c>
      <c r="J255" t="s">
        <v>4992</v>
      </c>
      <c r="K255" t="s">
        <v>74</v>
      </c>
      <c r="L255" t="s">
        <v>74</v>
      </c>
      <c r="M255" t="s">
        <v>78</v>
      </c>
      <c r="N255" t="s">
        <v>600</v>
      </c>
      <c r="O255" t="s">
        <v>74</v>
      </c>
      <c r="P255" t="s">
        <v>74</v>
      </c>
      <c r="Q255" t="s">
        <v>74</v>
      </c>
      <c r="R255" t="s">
        <v>74</v>
      </c>
      <c r="S255" t="s">
        <v>74</v>
      </c>
      <c r="T255" t="s">
        <v>74</v>
      </c>
      <c r="U255" t="s">
        <v>5011</v>
      </c>
      <c r="V255" t="s">
        <v>5012</v>
      </c>
      <c r="W255" t="s">
        <v>5013</v>
      </c>
      <c r="X255" t="s">
        <v>5014</v>
      </c>
      <c r="Y255" t="s">
        <v>5015</v>
      </c>
      <c r="Z255" t="s">
        <v>74</v>
      </c>
      <c r="AA255" t="s">
        <v>5016</v>
      </c>
      <c r="AB255" t="s">
        <v>5017</v>
      </c>
      <c r="AC255" t="s">
        <v>5018</v>
      </c>
      <c r="AD255" t="s">
        <v>5019</v>
      </c>
      <c r="AE255" t="s">
        <v>5020</v>
      </c>
      <c r="AF255" t="s">
        <v>74</v>
      </c>
      <c r="AG255">
        <v>62</v>
      </c>
      <c r="AH255">
        <v>38</v>
      </c>
      <c r="AI255">
        <v>38</v>
      </c>
      <c r="AJ255">
        <v>0</v>
      </c>
      <c r="AK255">
        <v>20</v>
      </c>
      <c r="AL255" t="s">
        <v>1063</v>
      </c>
      <c r="AM255" t="s">
        <v>1064</v>
      </c>
      <c r="AN255" t="s">
        <v>1065</v>
      </c>
      <c r="AO255" t="s">
        <v>5002</v>
      </c>
      <c r="AP255" t="s">
        <v>74</v>
      </c>
      <c r="AQ255" t="s">
        <v>74</v>
      </c>
      <c r="AR255" t="s">
        <v>5003</v>
      </c>
      <c r="AS255" t="s">
        <v>5004</v>
      </c>
      <c r="AT255" t="s">
        <v>3762</v>
      </c>
      <c r="AU255">
        <v>2010</v>
      </c>
      <c r="AV255">
        <v>84</v>
      </c>
      <c r="AW255" t="s">
        <v>971</v>
      </c>
      <c r="AX255" t="s">
        <v>74</v>
      </c>
      <c r="AY255" t="s">
        <v>74</v>
      </c>
      <c r="AZ255" t="s">
        <v>74</v>
      </c>
      <c r="BA255" t="s">
        <v>74</v>
      </c>
      <c r="BB255">
        <v>204</v>
      </c>
      <c r="BC255">
        <v>224</v>
      </c>
      <c r="BD255" t="s">
        <v>74</v>
      </c>
      <c r="BE255" t="s">
        <v>5021</v>
      </c>
      <c r="BF255" t="str">
        <f>HYPERLINK("http://dx.doi.org/10.1016/j.pocean.2009.10.003","http://dx.doi.org/10.1016/j.pocean.2009.10.003")</f>
        <v>http://dx.doi.org/10.1016/j.pocean.2009.10.003</v>
      </c>
      <c r="BG255" t="s">
        <v>74</v>
      </c>
      <c r="BH255" t="s">
        <v>74</v>
      </c>
      <c r="BI255">
        <v>21</v>
      </c>
      <c r="BJ255" t="s">
        <v>101</v>
      </c>
      <c r="BK255" t="s">
        <v>102</v>
      </c>
      <c r="BL255" t="s">
        <v>101</v>
      </c>
      <c r="BM255" t="s">
        <v>5006</v>
      </c>
      <c r="BN255" t="s">
        <v>74</v>
      </c>
      <c r="BO255" t="s">
        <v>74</v>
      </c>
      <c r="BP255" t="s">
        <v>74</v>
      </c>
      <c r="BQ255" t="s">
        <v>74</v>
      </c>
      <c r="BR255" t="s">
        <v>105</v>
      </c>
      <c r="BS255" t="s">
        <v>5022</v>
      </c>
      <c r="BT255" t="str">
        <f>HYPERLINK("https%3A%2F%2Fwww.webofscience.com%2Fwos%2Fwoscc%2Ffull-record%2FWOS:000276145600005","View Full Record in Web of Science")</f>
        <v>View Full Record in Web of Science</v>
      </c>
    </row>
    <row r="256" spans="1:72" x14ac:dyDescent="0.15">
      <c r="A256" t="s">
        <v>72</v>
      </c>
      <c r="B256" t="s">
        <v>5023</v>
      </c>
      <c r="C256" t="s">
        <v>74</v>
      </c>
      <c r="D256" t="s">
        <v>74</v>
      </c>
      <c r="E256" t="s">
        <v>74</v>
      </c>
      <c r="F256" t="s">
        <v>5024</v>
      </c>
      <c r="G256" t="s">
        <v>74</v>
      </c>
      <c r="H256" t="s">
        <v>74</v>
      </c>
      <c r="I256" t="s">
        <v>5025</v>
      </c>
      <c r="J256" t="s">
        <v>2819</v>
      </c>
      <c r="K256" t="s">
        <v>74</v>
      </c>
      <c r="L256" t="s">
        <v>74</v>
      </c>
      <c r="M256" t="s">
        <v>78</v>
      </c>
      <c r="N256" t="s">
        <v>79</v>
      </c>
      <c r="O256" t="s">
        <v>74</v>
      </c>
      <c r="P256" t="s">
        <v>74</v>
      </c>
      <c r="Q256" t="s">
        <v>74</v>
      </c>
      <c r="R256" t="s">
        <v>74</v>
      </c>
      <c r="S256" t="s">
        <v>74</v>
      </c>
      <c r="T256" t="s">
        <v>74</v>
      </c>
      <c r="U256" t="s">
        <v>5026</v>
      </c>
      <c r="V256" t="s">
        <v>5027</v>
      </c>
      <c r="W256" t="s">
        <v>5028</v>
      </c>
      <c r="X256" t="s">
        <v>5029</v>
      </c>
      <c r="Y256" t="s">
        <v>5030</v>
      </c>
      <c r="Z256" t="s">
        <v>5031</v>
      </c>
      <c r="AA256" t="s">
        <v>5032</v>
      </c>
      <c r="AB256" t="s">
        <v>5033</v>
      </c>
      <c r="AC256" t="s">
        <v>5034</v>
      </c>
      <c r="AD256" t="s">
        <v>5035</v>
      </c>
      <c r="AE256" t="s">
        <v>5036</v>
      </c>
      <c r="AF256" t="s">
        <v>74</v>
      </c>
      <c r="AG256">
        <v>18</v>
      </c>
      <c r="AH256">
        <v>30</v>
      </c>
      <c r="AI256">
        <v>35</v>
      </c>
      <c r="AJ256">
        <v>1</v>
      </c>
      <c r="AK256">
        <v>12</v>
      </c>
      <c r="AL256" t="s">
        <v>2828</v>
      </c>
      <c r="AM256" t="s">
        <v>2829</v>
      </c>
      <c r="AN256" t="s">
        <v>2830</v>
      </c>
      <c r="AO256" t="s">
        <v>2831</v>
      </c>
      <c r="AP256" t="s">
        <v>74</v>
      </c>
      <c r="AQ256" t="s">
        <v>74</v>
      </c>
      <c r="AR256" t="s">
        <v>2832</v>
      </c>
      <c r="AS256" t="s">
        <v>2833</v>
      </c>
      <c r="AT256" t="s">
        <v>3762</v>
      </c>
      <c r="AU256">
        <v>2010</v>
      </c>
      <c r="AV256">
        <v>122</v>
      </c>
      <c r="AW256">
        <v>889</v>
      </c>
      <c r="AX256" t="s">
        <v>74</v>
      </c>
      <c r="AY256" t="s">
        <v>74</v>
      </c>
      <c r="AZ256" t="s">
        <v>74</v>
      </c>
      <c r="BA256" t="s">
        <v>74</v>
      </c>
      <c r="BB256">
        <v>347</v>
      </c>
      <c r="BC256">
        <v>353</v>
      </c>
      <c r="BD256" t="s">
        <v>74</v>
      </c>
      <c r="BE256" t="s">
        <v>5037</v>
      </c>
      <c r="BF256" t="str">
        <f>HYPERLINK("http://dx.doi.org/10.1086/651526","http://dx.doi.org/10.1086/651526")</f>
        <v>http://dx.doi.org/10.1086/651526</v>
      </c>
      <c r="BG256" t="s">
        <v>74</v>
      </c>
      <c r="BH256" t="s">
        <v>74</v>
      </c>
      <c r="BI256">
        <v>7</v>
      </c>
      <c r="BJ256" t="s">
        <v>478</v>
      </c>
      <c r="BK256" t="s">
        <v>102</v>
      </c>
      <c r="BL256" t="s">
        <v>478</v>
      </c>
      <c r="BM256" t="s">
        <v>5038</v>
      </c>
      <c r="BN256" t="s">
        <v>74</v>
      </c>
      <c r="BO256" t="s">
        <v>5039</v>
      </c>
      <c r="BP256" t="s">
        <v>74</v>
      </c>
      <c r="BQ256" t="s">
        <v>74</v>
      </c>
      <c r="BR256" t="s">
        <v>105</v>
      </c>
      <c r="BS256" t="s">
        <v>5040</v>
      </c>
      <c r="BT256" t="str">
        <f>HYPERLINK("https%3A%2F%2Fwww.webofscience.com%2Fwos%2Fwoscc%2Ffull-record%2FWOS:000275129700008","View Full Record in Web of Science")</f>
        <v>View Full Record in Web of Science</v>
      </c>
    </row>
    <row r="257" spans="1:72" x14ac:dyDescent="0.15">
      <c r="A257" t="s">
        <v>72</v>
      </c>
      <c r="B257" t="s">
        <v>5041</v>
      </c>
      <c r="C257" t="s">
        <v>74</v>
      </c>
      <c r="D257" t="s">
        <v>74</v>
      </c>
      <c r="E257" t="s">
        <v>74</v>
      </c>
      <c r="F257" t="s">
        <v>5042</v>
      </c>
      <c r="G257" t="s">
        <v>74</v>
      </c>
      <c r="H257" t="s">
        <v>74</v>
      </c>
      <c r="I257" t="s">
        <v>5043</v>
      </c>
      <c r="J257" t="s">
        <v>5044</v>
      </c>
      <c r="K257" t="s">
        <v>74</v>
      </c>
      <c r="L257" t="s">
        <v>74</v>
      </c>
      <c r="M257" t="s">
        <v>78</v>
      </c>
      <c r="N257" t="s">
        <v>79</v>
      </c>
      <c r="O257" t="s">
        <v>74</v>
      </c>
      <c r="P257" t="s">
        <v>74</v>
      </c>
      <c r="Q257" t="s">
        <v>74</v>
      </c>
      <c r="R257" t="s">
        <v>74</v>
      </c>
      <c r="S257" t="s">
        <v>74</v>
      </c>
      <c r="T257" t="s">
        <v>74</v>
      </c>
      <c r="U257" t="s">
        <v>5045</v>
      </c>
      <c r="V257" t="s">
        <v>5046</v>
      </c>
      <c r="W257" t="s">
        <v>5047</v>
      </c>
      <c r="X257" t="s">
        <v>5048</v>
      </c>
      <c r="Y257" t="s">
        <v>5049</v>
      </c>
      <c r="Z257" t="s">
        <v>5050</v>
      </c>
      <c r="AA257" t="s">
        <v>5051</v>
      </c>
      <c r="AB257" t="s">
        <v>5052</v>
      </c>
      <c r="AC257" t="s">
        <v>5053</v>
      </c>
      <c r="AD257" t="s">
        <v>5054</v>
      </c>
      <c r="AE257" t="s">
        <v>5055</v>
      </c>
      <c r="AF257" t="s">
        <v>74</v>
      </c>
      <c r="AG257">
        <v>20</v>
      </c>
      <c r="AH257">
        <v>34</v>
      </c>
      <c r="AI257">
        <v>39</v>
      </c>
      <c r="AJ257">
        <v>1</v>
      </c>
      <c r="AK257">
        <v>18</v>
      </c>
      <c r="AL257" t="s">
        <v>2312</v>
      </c>
      <c r="AM257" t="s">
        <v>1655</v>
      </c>
      <c r="AN257" t="s">
        <v>1656</v>
      </c>
      <c r="AO257" t="s">
        <v>5056</v>
      </c>
      <c r="AP257" t="s">
        <v>74</v>
      </c>
      <c r="AQ257" t="s">
        <v>74</v>
      </c>
      <c r="AR257" t="s">
        <v>5057</v>
      </c>
      <c r="AS257" t="s">
        <v>5058</v>
      </c>
      <c r="AT257" t="s">
        <v>3762</v>
      </c>
      <c r="AU257">
        <v>2010</v>
      </c>
      <c r="AV257">
        <v>24</v>
      </c>
      <c r="AW257">
        <v>6</v>
      </c>
      <c r="AX257" t="s">
        <v>74</v>
      </c>
      <c r="AY257" t="s">
        <v>74</v>
      </c>
      <c r="AZ257" t="s">
        <v>74</v>
      </c>
      <c r="BA257" t="s">
        <v>74</v>
      </c>
      <c r="BB257">
        <v>773</v>
      </c>
      <c r="BC257">
        <v>776</v>
      </c>
      <c r="BD257" t="s">
        <v>74</v>
      </c>
      <c r="BE257" t="s">
        <v>5059</v>
      </c>
      <c r="BF257" t="str">
        <f>HYPERLINK("http://dx.doi.org/10.1002/rcm.4449","http://dx.doi.org/10.1002/rcm.4449")</f>
        <v>http://dx.doi.org/10.1002/rcm.4449</v>
      </c>
      <c r="BG257" t="s">
        <v>74</v>
      </c>
      <c r="BH257" t="s">
        <v>74</v>
      </c>
      <c r="BI257">
        <v>4</v>
      </c>
      <c r="BJ257" t="s">
        <v>5060</v>
      </c>
      <c r="BK257" t="s">
        <v>102</v>
      </c>
      <c r="BL257" t="s">
        <v>5061</v>
      </c>
      <c r="BM257" t="s">
        <v>5062</v>
      </c>
      <c r="BN257">
        <v>20169555</v>
      </c>
      <c r="BO257" t="s">
        <v>74</v>
      </c>
      <c r="BP257" t="s">
        <v>74</v>
      </c>
      <c r="BQ257" t="s">
        <v>74</v>
      </c>
      <c r="BR257" t="s">
        <v>105</v>
      </c>
      <c r="BS257" t="s">
        <v>5063</v>
      </c>
      <c r="BT257" t="str">
        <f>HYPERLINK("https%3A%2F%2Fwww.webofscience.com%2Fwos%2Fwoscc%2Ffull-record%2FWOS:000276111100009","View Full Record in Web of Science")</f>
        <v>View Full Record in Web of Science</v>
      </c>
    </row>
    <row r="258" spans="1:72" x14ac:dyDescent="0.15">
      <c r="A258" t="s">
        <v>72</v>
      </c>
      <c r="B258" t="s">
        <v>5064</v>
      </c>
      <c r="C258" t="s">
        <v>74</v>
      </c>
      <c r="D258" t="s">
        <v>74</v>
      </c>
      <c r="E258" t="s">
        <v>74</v>
      </c>
      <c r="F258" t="s">
        <v>5065</v>
      </c>
      <c r="G258" t="s">
        <v>74</v>
      </c>
      <c r="H258" t="s">
        <v>74</v>
      </c>
      <c r="I258" t="s">
        <v>5066</v>
      </c>
      <c r="J258" t="s">
        <v>5067</v>
      </c>
      <c r="K258" t="s">
        <v>74</v>
      </c>
      <c r="L258" t="s">
        <v>74</v>
      </c>
      <c r="M258" t="s">
        <v>78</v>
      </c>
      <c r="N258" t="s">
        <v>79</v>
      </c>
      <c r="O258" t="s">
        <v>74</v>
      </c>
      <c r="P258" t="s">
        <v>74</v>
      </c>
      <c r="Q258" t="s">
        <v>74</v>
      </c>
      <c r="R258" t="s">
        <v>74</v>
      </c>
      <c r="S258" t="s">
        <v>74</v>
      </c>
      <c r="T258" t="s">
        <v>5068</v>
      </c>
      <c r="U258" t="s">
        <v>5069</v>
      </c>
      <c r="V258" t="s">
        <v>5070</v>
      </c>
      <c r="W258" t="s">
        <v>5071</v>
      </c>
      <c r="X258" t="s">
        <v>5072</v>
      </c>
      <c r="Y258" t="s">
        <v>5030</v>
      </c>
      <c r="Z258" t="s">
        <v>5031</v>
      </c>
      <c r="AA258" t="s">
        <v>5073</v>
      </c>
      <c r="AB258" t="s">
        <v>74</v>
      </c>
      <c r="AC258" t="s">
        <v>5074</v>
      </c>
      <c r="AD258" t="s">
        <v>5075</v>
      </c>
      <c r="AE258" t="s">
        <v>5076</v>
      </c>
      <c r="AF258" t="s">
        <v>74</v>
      </c>
      <c r="AG258">
        <v>9</v>
      </c>
      <c r="AH258">
        <v>29</v>
      </c>
      <c r="AI258">
        <v>34</v>
      </c>
      <c r="AJ258">
        <v>0</v>
      </c>
      <c r="AK258">
        <v>6</v>
      </c>
      <c r="AL258" t="s">
        <v>5077</v>
      </c>
      <c r="AM258" t="s">
        <v>934</v>
      </c>
      <c r="AN258" t="s">
        <v>5078</v>
      </c>
      <c r="AO258" t="s">
        <v>5079</v>
      </c>
      <c r="AP258" t="s">
        <v>74</v>
      </c>
      <c r="AQ258" t="s">
        <v>74</v>
      </c>
      <c r="AR258" t="s">
        <v>5080</v>
      </c>
      <c r="AS258" t="s">
        <v>5081</v>
      </c>
      <c r="AT258" t="s">
        <v>3762</v>
      </c>
      <c r="AU258">
        <v>2010</v>
      </c>
      <c r="AV258">
        <v>10</v>
      </c>
      <c r="AW258">
        <v>3</v>
      </c>
      <c r="AX258" t="s">
        <v>74</v>
      </c>
      <c r="AY258" t="s">
        <v>74</v>
      </c>
      <c r="AZ258" t="s">
        <v>74</v>
      </c>
      <c r="BA258" t="s">
        <v>74</v>
      </c>
      <c r="BB258">
        <v>279</v>
      </c>
      <c r="BC258">
        <v>290</v>
      </c>
      <c r="BD258" t="s">
        <v>74</v>
      </c>
      <c r="BE258" t="s">
        <v>5082</v>
      </c>
      <c r="BF258" t="str">
        <f>HYPERLINK("http://dx.doi.org/10.1088/1674-4527/10/3/009","http://dx.doi.org/10.1088/1674-4527/10/3/009")</f>
        <v>http://dx.doi.org/10.1088/1674-4527/10/3/009</v>
      </c>
      <c r="BG258" t="s">
        <v>74</v>
      </c>
      <c r="BH258" t="s">
        <v>74</v>
      </c>
      <c r="BI258">
        <v>12</v>
      </c>
      <c r="BJ258" t="s">
        <v>478</v>
      </c>
      <c r="BK258" t="s">
        <v>102</v>
      </c>
      <c r="BL258" t="s">
        <v>478</v>
      </c>
      <c r="BM258" t="s">
        <v>5083</v>
      </c>
      <c r="BN258" t="s">
        <v>74</v>
      </c>
      <c r="BO258" t="s">
        <v>1807</v>
      </c>
      <c r="BP258" t="s">
        <v>74</v>
      </c>
      <c r="BQ258" t="s">
        <v>74</v>
      </c>
      <c r="BR258" t="s">
        <v>105</v>
      </c>
      <c r="BS258" t="s">
        <v>5084</v>
      </c>
      <c r="BT258" t="str">
        <f>HYPERLINK("https%3A%2F%2Fwww.webofscience.com%2Fwos%2Fwoscc%2Ffull-record%2FWOS:000275962900009","View Full Record in Web of Science")</f>
        <v>View Full Record in Web of Science</v>
      </c>
    </row>
    <row r="259" spans="1:72" x14ac:dyDescent="0.15">
      <c r="A259" t="s">
        <v>72</v>
      </c>
      <c r="B259" t="s">
        <v>5085</v>
      </c>
      <c r="C259" t="s">
        <v>74</v>
      </c>
      <c r="D259" t="s">
        <v>74</v>
      </c>
      <c r="E259" t="s">
        <v>74</v>
      </c>
      <c r="F259" t="s">
        <v>5086</v>
      </c>
      <c r="G259" t="s">
        <v>74</v>
      </c>
      <c r="H259" t="s">
        <v>74</v>
      </c>
      <c r="I259" t="s">
        <v>5087</v>
      </c>
      <c r="J259" t="s">
        <v>5088</v>
      </c>
      <c r="K259" t="s">
        <v>74</v>
      </c>
      <c r="L259" t="s">
        <v>74</v>
      </c>
      <c r="M259" t="s">
        <v>78</v>
      </c>
      <c r="N259" t="s">
        <v>79</v>
      </c>
      <c r="O259" t="s">
        <v>74</v>
      </c>
      <c r="P259" t="s">
        <v>74</v>
      </c>
      <c r="Q259" t="s">
        <v>74</v>
      </c>
      <c r="R259" t="s">
        <v>74</v>
      </c>
      <c r="S259" t="s">
        <v>74</v>
      </c>
      <c r="T259" t="s">
        <v>5089</v>
      </c>
      <c r="U259" t="s">
        <v>5090</v>
      </c>
      <c r="V259" t="s">
        <v>5091</v>
      </c>
      <c r="W259" t="s">
        <v>5092</v>
      </c>
      <c r="X259" t="s">
        <v>5093</v>
      </c>
      <c r="Y259" t="s">
        <v>5094</v>
      </c>
      <c r="Z259" t="s">
        <v>5095</v>
      </c>
      <c r="AA259" t="s">
        <v>5096</v>
      </c>
      <c r="AB259" t="s">
        <v>5097</v>
      </c>
      <c r="AC259" t="s">
        <v>5098</v>
      </c>
      <c r="AD259" t="s">
        <v>5099</v>
      </c>
      <c r="AE259" t="s">
        <v>5100</v>
      </c>
      <c r="AF259" t="s">
        <v>74</v>
      </c>
      <c r="AG259">
        <v>48</v>
      </c>
      <c r="AH259">
        <v>32</v>
      </c>
      <c r="AI259">
        <v>36</v>
      </c>
      <c r="AJ259">
        <v>0</v>
      </c>
      <c r="AK259">
        <v>9</v>
      </c>
      <c r="AL259" t="s">
        <v>144</v>
      </c>
      <c r="AM259" t="s">
        <v>145</v>
      </c>
      <c r="AN259" t="s">
        <v>146</v>
      </c>
      <c r="AO259" t="s">
        <v>5101</v>
      </c>
      <c r="AP259" t="s">
        <v>5102</v>
      </c>
      <c r="AQ259" t="s">
        <v>74</v>
      </c>
      <c r="AR259" t="s">
        <v>5103</v>
      </c>
      <c r="AS259" t="s">
        <v>5104</v>
      </c>
      <c r="AT259" t="s">
        <v>3762</v>
      </c>
      <c r="AU259">
        <v>2010</v>
      </c>
      <c r="AV259">
        <v>159</v>
      </c>
      <c r="AW259" t="s">
        <v>971</v>
      </c>
      <c r="AX259" t="s">
        <v>74</v>
      </c>
      <c r="AY259" t="s">
        <v>74</v>
      </c>
      <c r="AZ259" t="s">
        <v>74</v>
      </c>
      <c r="BA259" t="s">
        <v>74</v>
      </c>
      <c r="BB259">
        <v>166</v>
      </c>
      <c r="BC259">
        <v>176</v>
      </c>
      <c r="BD259" t="s">
        <v>74</v>
      </c>
      <c r="BE259" t="s">
        <v>5105</v>
      </c>
      <c r="BF259" t="str">
        <f>HYPERLINK("http://dx.doi.org/10.1016/j.revpalbo.2009.12.002","http://dx.doi.org/10.1016/j.revpalbo.2009.12.002")</f>
        <v>http://dx.doi.org/10.1016/j.revpalbo.2009.12.002</v>
      </c>
      <c r="BG259" t="s">
        <v>74</v>
      </c>
      <c r="BH259" t="s">
        <v>74</v>
      </c>
      <c r="BI259">
        <v>11</v>
      </c>
      <c r="BJ259" t="s">
        <v>5106</v>
      </c>
      <c r="BK259" t="s">
        <v>102</v>
      </c>
      <c r="BL259" t="s">
        <v>5106</v>
      </c>
      <c r="BM259" t="s">
        <v>5107</v>
      </c>
      <c r="BN259" t="s">
        <v>74</v>
      </c>
      <c r="BO259" t="s">
        <v>74</v>
      </c>
      <c r="BP259" t="s">
        <v>74</v>
      </c>
      <c r="BQ259" t="s">
        <v>74</v>
      </c>
      <c r="BR259" t="s">
        <v>105</v>
      </c>
      <c r="BS259" t="s">
        <v>5108</v>
      </c>
      <c r="BT259" t="str">
        <f>HYPERLINK("https%3A%2F%2Fwww.webofscience.com%2Fwos%2Fwoscc%2Ffull-record%2FWOS:000275688400003","View Full Record in Web of Science")</f>
        <v>View Full Record in Web of Science</v>
      </c>
    </row>
    <row r="260" spans="1:72" x14ac:dyDescent="0.15">
      <c r="A260" t="s">
        <v>72</v>
      </c>
      <c r="B260" t="s">
        <v>5109</v>
      </c>
      <c r="C260" t="s">
        <v>74</v>
      </c>
      <c r="D260" t="s">
        <v>74</v>
      </c>
      <c r="E260" t="s">
        <v>74</v>
      </c>
      <c r="F260" t="s">
        <v>5110</v>
      </c>
      <c r="G260" t="s">
        <v>74</v>
      </c>
      <c r="H260" t="s">
        <v>74</v>
      </c>
      <c r="I260" t="s">
        <v>5111</v>
      </c>
      <c r="J260" t="s">
        <v>5112</v>
      </c>
      <c r="K260" t="s">
        <v>74</v>
      </c>
      <c r="L260" t="s">
        <v>74</v>
      </c>
      <c r="M260" t="s">
        <v>2928</v>
      </c>
      <c r="N260" t="s">
        <v>536</v>
      </c>
      <c r="O260" t="s">
        <v>74</v>
      </c>
      <c r="P260" t="s">
        <v>74</v>
      </c>
      <c r="Q260" t="s">
        <v>74</v>
      </c>
      <c r="R260" t="s">
        <v>74</v>
      </c>
      <c r="S260" t="s">
        <v>74</v>
      </c>
      <c r="T260" t="s">
        <v>5113</v>
      </c>
      <c r="U260" t="s">
        <v>5114</v>
      </c>
      <c r="V260" t="s">
        <v>5115</v>
      </c>
      <c r="W260" t="s">
        <v>5116</v>
      </c>
      <c r="X260" t="s">
        <v>5117</v>
      </c>
      <c r="Y260" t="s">
        <v>5118</v>
      </c>
      <c r="Z260" t="s">
        <v>5119</v>
      </c>
      <c r="AA260" t="s">
        <v>5120</v>
      </c>
      <c r="AB260" t="s">
        <v>5121</v>
      </c>
      <c r="AC260" t="s">
        <v>74</v>
      </c>
      <c r="AD260" t="s">
        <v>74</v>
      </c>
      <c r="AE260" t="s">
        <v>74</v>
      </c>
      <c r="AF260" t="s">
        <v>74</v>
      </c>
      <c r="AG260">
        <v>25</v>
      </c>
      <c r="AH260">
        <v>12</v>
      </c>
      <c r="AI260">
        <v>13</v>
      </c>
      <c r="AJ260">
        <v>1</v>
      </c>
      <c r="AK260">
        <v>21</v>
      </c>
      <c r="AL260" t="s">
        <v>5122</v>
      </c>
      <c r="AM260" t="s">
        <v>5123</v>
      </c>
      <c r="AN260" t="s">
        <v>5124</v>
      </c>
      <c r="AO260" t="s">
        <v>5125</v>
      </c>
      <c r="AP260" t="s">
        <v>5126</v>
      </c>
      <c r="AQ260" t="s">
        <v>74</v>
      </c>
      <c r="AR260" t="s">
        <v>5127</v>
      </c>
      <c r="AS260" t="s">
        <v>5128</v>
      </c>
      <c r="AT260" t="s">
        <v>3762</v>
      </c>
      <c r="AU260">
        <v>2010</v>
      </c>
      <c r="AV260">
        <v>83</v>
      </c>
      <c r="AW260">
        <v>1</v>
      </c>
      <c r="AX260" t="s">
        <v>74</v>
      </c>
      <c r="AY260" t="s">
        <v>74</v>
      </c>
      <c r="AZ260" t="s">
        <v>74</v>
      </c>
      <c r="BA260" t="s">
        <v>74</v>
      </c>
      <c r="BB260">
        <v>1</v>
      </c>
      <c r="BC260">
        <v>11</v>
      </c>
      <c r="BD260" t="s">
        <v>74</v>
      </c>
      <c r="BE260" t="s">
        <v>74</v>
      </c>
      <c r="BF260" t="s">
        <v>74</v>
      </c>
      <c r="BG260" t="s">
        <v>74</v>
      </c>
      <c r="BH260" t="s">
        <v>74</v>
      </c>
      <c r="BI260">
        <v>11</v>
      </c>
      <c r="BJ260" t="s">
        <v>843</v>
      </c>
      <c r="BK260" t="s">
        <v>102</v>
      </c>
      <c r="BL260" t="s">
        <v>844</v>
      </c>
      <c r="BM260" t="s">
        <v>5129</v>
      </c>
      <c r="BN260" t="s">
        <v>74</v>
      </c>
      <c r="BO260" t="s">
        <v>74</v>
      </c>
      <c r="BP260" t="s">
        <v>74</v>
      </c>
      <c r="BQ260" t="s">
        <v>74</v>
      </c>
      <c r="BR260" t="s">
        <v>105</v>
      </c>
      <c r="BS260" t="s">
        <v>5130</v>
      </c>
      <c r="BT260" t="str">
        <f>HYPERLINK("https%3A%2F%2Fwww.webofscience.com%2Fwos%2Fwoscc%2Ffull-record%2FWOS:000278692100001","View Full Record in Web of Science")</f>
        <v>View Full Record in Web of Science</v>
      </c>
    </row>
    <row r="261" spans="1:72" x14ac:dyDescent="0.15">
      <c r="A261" t="s">
        <v>72</v>
      </c>
      <c r="B261" t="s">
        <v>5131</v>
      </c>
      <c r="C261" t="s">
        <v>74</v>
      </c>
      <c r="D261" t="s">
        <v>74</v>
      </c>
      <c r="E261" t="s">
        <v>74</v>
      </c>
      <c r="F261" t="s">
        <v>5132</v>
      </c>
      <c r="G261" t="s">
        <v>74</v>
      </c>
      <c r="H261" t="s">
        <v>74</v>
      </c>
      <c r="I261" t="s">
        <v>5133</v>
      </c>
      <c r="J261" t="s">
        <v>5112</v>
      </c>
      <c r="K261" t="s">
        <v>74</v>
      </c>
      <c r="L261" t="s">
        <v>74</v>
      </c>
      <c r="M261" t="s">
        <v>2928</v>
      </c>
      <c r="N261" t="s">
        <v>79</v>
      </c>
      <c r="O261" t="s">
        <v>74</v>
      </c>
      <c r="P261" t="s">
        <v>74</v>
      </c>
      <c r="Q261" t="s">
        <v>74</v>
      </c>
      <c r="R261" t="s">
        <v>74</v>
      </c>
      <c r="S261" t="s">
        <v>74</v>
      </c>
      <c r="T261" t="s">
        <v>5134</v>
      </c>
      <c r="U261" t="s">
        <v>5135</v>
      </c>
      <c r="V261" t="s">
        <v>5136</v>
      </c>
      <c r="W261" t="s">
        <v>5137</v>
      </c>
      <c r="X261" t="s">
        <v>5138</v>
      </c>
      <c r="Y261" t="s">
        <v>5139</v>
      </c>
      <c r="Z261" t="s">
        <v>5140</v>
      </c>
      <c r="AA261" t="s">
        <v>5141</v>
      </c>
      <c r="AB261" t="s">
        <v>5142</v>
      </c>
      <c r="AC261" t="s">
        <v>5143</v>
      </c>
      <c r="AD261" t="s">
        <v>5144</v>
      </c>
      <c r="AE261" t="s">
        <v>74</v>
      </c>
      <c r="AF261" t="s">
        <v>74</v>
      </c>
      <c r="AG261">
        <v>124</v>
      </c>
      <c r="AH261">
        <v>32</v>
      </c>
      <c r="AI261">
        <v>47</v>
      </c>
      <c r="AJ261">
        <v>0</v>
      </c>
      <c r="AK261">
        <v>75</v>
      </c>
      <c r="AL261" t="s">
        <v>5122</v>
      </c>
      <c r="AM261" t="s">
        <v>5123</v>
      </c>
      <c r="AN261" t="s">
        <v>5124</v>
      </c>
      <c r="AO261" t="s">
        <v>5125</v>
      </c>
      <c r="AP261" t="s">
        <v>5126</v>
      </c>
      <c r="AQ261" t="s">
        <v>74</v>
      </c>
      <c r="AR261" t="s">
        <v>5127</v>
      </c>
      <c r="AS261" t="s">
        <v>5128</v>
      </c>
      <c r="AT261" t="s">
        <v>3762</v>
      </c>
      <c r="AU261">
        <v>2010</v>
      </c>
      <c r="AV261">
        <v>83</v>
      </c>
      <c r="AW261">
        <v>1</v>
      </c>
      <c r="AX261" t="s">
        <v>74</v>
      </c>
      <c r="AY261" t="s">
        <v>74</v>
      </c>
      <c r="AZ261" t="s">
        <v>74</v>
      </c>
      <c r="BA261" t="s">
        <v>74</v>
      </c>
      <c r="BB261">
        <v>27</v>
      </c>
      <c r="BC261">
        <v>68</v>
      </c>
      <c r="BD261" t="s">
        <v>74</v>
      </c>
      <c r="BE261" t="s">
        <v>74</v>
      </c>
      <c r="BF261" t="s">
        <v>74</v>
      </c>
      <c r="BG261" t="s">
        <v>74</v>
      </c>
      <c r="BH261" t="s">
        <v>74</v>
      </c>
      <c r="BI261">
        <v>42</v>
      </c>
      <c r="BJ261" t="s">
        <v>843</v>
      </c>
      <c r="BK261" t="s">
        <v>2973</v>
      </c>
      <c r="BL261" t="s">
        <v>844</v>
      </c>
      <c r="BM261" t="s">
        <v>5129</v>
      </c>
      <c r="BN261" t="s">
        <v>74</v>
      </c>
      <c r="BO261" t="s">
        <v>74</v>
      </c>
      <c r="BP261" t="s">
        <v>74</v>
      </c>
      <c r="BQ261" t="s">
        <v>74</v>
      </c>
      <c r="BR261" t="s">
        <v>105</v>
      </c>
      <c r="BS261" t="s">
        <v>5145</v>
      </c>
      <c r="BT261" t="str">
        <f>HYPERLINK("https%3A%2F%2Fwww.webofscience.com%2Fwos%2Fwoscc%2Ffull-record%2FWOS:000278692100004","View Full Record in Web of Science")</f>
        <v>View Full Record in Web of Science</v>
      </c>
    </row>
    <row r="262" spans="1:72" x14ac:dyDescent="0.15">
      <c r="A262" t="s">
        <v>72</v>
      </c>
      <c r="B262" t="s">
        <v>5146</v>
      </c>
      <c r="C262" t="s">
        <v>74</v>
      </c>
      <c r="D262" t="s">
        <v>74</v>
      </c>
      <c r="E262" t="s">
        <v>74</v>
      </c>
      <c r="F262" t="s">
        <v>5147</v>
      </c>
      <c r="G262" t="s">
        <v>74</v>
      </c>
      <c r="H262" t="s">
        <v>74</v>
      </c>
      <c r="I262" t="s">
        <v>5148</v>
      </c>
      <c r="J262" t="s">
        <v>5112</v>
      </c>
      <c r="K262" t="s">
        <v>74</v>
      </c>
      <c r="L262" t="s">
        <v>74</v>
      </c>
      <c r="M262" t="s">
        <v>2928</v>
      </c>
      <c r="N262" t="s">
        <v>79</v>
      </c>
      <c r="O262" t="s">
        <v>74</v>
      </c>
      <c r="P262" t="s">
        <v>74</v>
      </c>
      <c r="Q262" t="s">
        <v>74</v>
      </c>
      <c r="R262" t="s">
        <v>74</v>
      </c>
      <c r="S262" t="s">
        <v>74</v>
      </c>
      <c r="T262" t="s">
        <v>5149</v>
      </c>
      <c r="U262" t="s">
        <v>5150</v>
      </c>
      <c r="V262" t="s">
        <v>5151</v>
      </c>
      <c r="W262" t="s">
        <v>5152</v>
      </c>
      <c r="X262" t="s">
        <v>5153</v>
      </c>
      <c r="Y262" t="s">
        <v>5154</v>
      </c>
      <c r="Z262" t="s">
        <v>5155</v>
      </c>
      <c r="AA262" t="s">
        <v>3863</v>
      </c>
      <c r="AB262" t="s">
        <v>5156</v>
      </c>
      <c r="AC262" t="s">
        <v>74</v>
      </c>
      <c r="AD262" t="s">
        <v>74</v>
      </c>
      <c r="AE262" t="s">
        <v>74</v>
      </c>
      <c r="AF262" t="s">
        <v>74</v>
      </c>
      <c r="AG262">
        <v>38</v>
      </c>
      <c r="AH262">
        <v>6</v>
      </c>
      <c r="AI262">
        <v>8</v>
      </c>
      <c r="AJ262">
        <v>0</v>
      </c>
      <c r="AK262">
        <v>16</v>
      </c>
      <c r="AL262" t="s">
        <v>5122</v>
      </c>
      <c r="AM262" t="s">
        <v>5123</v>
      </c>
      <c r="AN262" t="s">
        <v>5124</v>
      </c>
      <c r="AO262" t="s">
        <v>5125</v>
      </c>
      <c r="AP262" t="s">
        <v>5126</v>
      </c>
      <c r="AQ262" t="s">
        <v>74</v>
      </c>
      <c r="AR262" t="s">
        <v>5127</v>
      </c>
      <c r="AS262" t="s">
        <v>5128</v>
      </c>
      <c r="AT262" t="s">
        <v>3762</v>
      </c>
      <c r="AU262">
        <v>2010</v>
      </c>
      <c r="AV262">
        <v>83</v>
      </c>
      <c r="AW262">
        <v>1</v>
      </c>
      <c r="AX262" t="s">
        <v>74</v>
      </c>
      <c r="AY262" t="s">
        <v>74</v>
      </c>
      <c r="AZ262" t="s">
        <v>74</v>
      </c>
      <c r="BA262" t="s">
        <v>74</v>
      </c>
      <c r="BB262">
        <v>195</v>
      </c>
      <c r="BC262">
        <v>206</v>
      </c>
      <c r="BD262" t="s">
        <v>74</v>
      </c>
      <c r="BE262" t="s">
        <v>74</v>
      </c>
      <c r="BF262" t="s">
        <v>74</v>
      </c>
      <c r="BG262" t="s">
        <v>74</v>
      </c>
      <c r="BH262" t="s">
        <v>74</v>
      </c>
      <c r="BI262">
        <v>12</v>
      </c>
      <c r="BJ262" t="s">
        <v>843</v>
      </c>
      <c r="BK262" t="s">
        <v>102</v>
      </c>
      <c r="BL262" t="s">
        <v>844</v>
      </c>
      <c r="BM262" t="s">
        <v>5129</v>
      </c>
      <c r="BN262" t="s">
        <v>74</v>
      </c>
      <c r="BO262" t="s">
        <v>74</v>
      </c>
      <c r="BP262" t="s">
        <v>74</v>
      </c>
      <c r="BQ262" t="s">
        <v>74</v>
      </c>
      <c r="BR262" t="s">
        <v>105</v>
      </c>
      <c r="BS262" t="s">
        <v>5157</v>
      </c>
      <c r="BT262" t="str">
        <f>HYPERLINK("https%3A%2F%2Fwww.webofscience.com%2Fwos%2Fwoscc%2Ffull-record%2FWOS:000278692100012","View Full Record in Web of Science")</f>
        <v>View Full Record in Web of Science</v>
      </c>
    </row>
    <row r="263" spans="1:72" x14ac:dyDescent="0.15">
      <c r="A263" t="s">
        <v>72</v>
      </c>
      <c r="B263" t="s">
        <v>5158</v>
      </c>
      <c r="C263" t="s">
        <v>74</v>
      </c>
      <c r="D263" t="s">
        <v>74</v>
      </c>
      <c r="E263" t="s">
        <v>74</v>
      </c>
      <c r="F263" t="s">
        <v>5159</v>
      </c>
      <c r="G263" t="s">
        <v>74</v>
      </c>
      <c r="H263" t="s">
        <v>74</v>
      </c>
      <c r="I263" t="s">
        <v>5160</v>
      </c>
      <c r="J263" t="s">
        <v>5161</v>
      </c>
      <c r="K263" t="s">
        <v>74</v>
      </c>
      <c r="L263" t="s">
        <v>74</v>
      </c>
      <c r="M263" t="s">
        <v>2928</v>
      </c>
      <c r="N263" t="s">
        <v>536</v>
      </c>
      <c r="O263" t="s">
        <v>74</v>
      </c>
      <c r="P263" t="s">
        <v>74</v>
      </c>
      <c r="Q263" t="s">
        <v>74</v>
      </c>
      <c r="R263" t="s">
        <v>74</v>
      </c>
      <c r="S263" t="s">
        <v>74</v>
      </c>
      <c r="T263" t="s">
        <v>74</v>
      </c>
      <c r="U263" t="s">
        <v>74</v>
      </c>
      <c r="V263" t="s">
        <v>74</v>
      </c>
      <c r="W263" t="s">
        <v>5162</v>
      </c>
      <c r="X263" t="s">
        <v>74</v>
      </c>
      <c r="Y263" t="s">
        <v>5163</v>
      </c>
      <c r="Z263" t="s">
        <v>5164</v>
      </c>
      <c r="AA263" t="s">
        <v>74</v>
      </c>
      <c r="AB263" t="s">
        <v>74</v>
      </c>
      <c r="AC263" t="s">
        <v>74</v>
      </c>
      <c r="AD263" t="s">
        <v>74</v>
      </c>
      <c r="AE263" t="s">
        <v>74</v>
      </c>
      <c r="AF263" t="s">
        <v>74</v>
      </c>
      <c r="AG263">
        <v>4</v>
      </c>
      <c r="AH263">
        <v>0</v>
      </c>
      <c r="AI263">
        <v>0</v>
      </c>
      <c r="AJ263">
        <v>0</v>
      </c>
      <c r="AK263">
        <v>0</v>
      </c>
      <c r="AL263" t="s">
        <v>5165</v>
      </c>
      <c r="AM263" t="s">
        <v>5166</v>
      </c>
      <c r="AN263" t="s">
        <v>5167</v>
      </c>
      <c r="AO263" t="s">
        <v>5168</v>
      </c>
      <c r="AP263" t="s">
        <v>74</v>
      </c>
      <c r="AQ263" t="s">
        <v>74</v>
      </c>
      <c r="AR263" t="s">
        <v>5169</v>
      </c>
      <c r="AS263" t="s">
        <v>5170</v>
      </c>
      <c r="AT263" t="s">
        <v>3762</v>
      </c>
      <c r="AU263">
        <v>2010</v>
      </c>
      <c r="AV263">
        <v>210</v>
      </c>
      <c r="AW263">
        <v>3</v>
      </c>
      <c r="AX263" t="s">
        <v>74</v>
      </c>
      <c r="AY263" t="s">
        <v>74</v>
      </c>
      <c r="AZ263" t="s">
        <v>74</v>
      </c>
      <c r="BA263" t="s">
        <v>74</v>
      </c>
      <c r="BB263">
        <v>141</v>
      </c>
      <c r="BC263">
        <v>144</v>
      </c>
      <c r="BD263" t="s">
        <v>74</v>
      </c>
      <c r="BE263" t="s">
        <v>5171</v>
      </c>
      <c r="BF263" t="str">
        <f>HYPERLINK("http://dx.doi.org/10.1016/j.rce.2009.10.001","http://dx.doi.org/10.1016/j.rce.2009.10.001")</f>
        <v>http://dx.doi.org/10.1016/j.rce.2009.10.001</v>
      </c>
      <c r="BG263" t="s">
        <v>74</v>
      </c>
      <c r="BH263" t="s">
        <v>74</v>
      </c>
      <c r="BI263">
        <v>4</v>
      </c>
      <c r="BJ263" t="s">
        <v>5172</v>
      </c>
      <c r="BK263" t="s">
        <v>102</v>
      </c>
      <c r="BL263" t="s">
        <v>5173</v>
      </c>
      <c r="BM263" t="s">
        <v>5174</v>
      </c>
      <c r="BN263" t="s">
        <v>74</v>
      </c>
      <c r="BO263" t="s">
        <v>74</v>
      </c>
      <c r="BP263" t="s">
        <v>74</v>
      </c>
      <c r="BQ263" t="s">
        <v>74</v>
      </c>
      <c r="BR263" t="s">
        <v>105</v>
      </c>
      <c r="BS263" t="s">
        <v>5175</v>
      </c>
      <c r="BT263" t="str">
        <f>HYPERLINK("https%3A%2F%2Fwww.webofscience.com%2Fwos%2Fwoscc%2Ffull-record%2FWOS:000275932800009","View Full Record in Web of Science")</f>
        <v>View Full Record in Web of Science</v>
      </c>
    </row>
    <row r="264" spans="1:72" x14ac:dyDescent="0.15">
      <c r="A264" t="s">
        <v>72</v>
      </c>
      <c r="B264" t="s">
        <v>5176</v>
      </c>
      <c r="C264" t="s">
        <v>74</v>
      </c>
      <c r="D264" t="s">
        <v>74</v>
      </c>
      <c r="E264" t="s">
        <v>74</v>
      </c>
      <c r="F264" t="s">
        <v>5177</v>
      </c>
      <c r="G264" t="s">
        <v>74</v>
      </c>
      <c r="H264" t="s">
        <v>74</v>
      </c>
      <c r="I264" t="s">
        <v>5178</v>
      </c>
      <c r="J264" t="s">
        <v>5179</v>
      </c>
      <c r="K264" t="s">
        <v>74</v>
      </c>
      <c r="L264" t="s">
        <v>74</v>
      </c>
      <c r="M264" t="s">
        <v>5180</v>
      </c>
      <c r="N264" t="s">
        <v>5181</v>
      </c>
      <c r="O264" t="s">
        <v>74</v>
      </c>
      <c r="P264" t="s">
        <v>74</v>
      </c>
      <c r="Q264" t="s">
        <v>74</v>
      </c>
      <c r="R264" t="s">
        <v>74</v>
      </c>
      <c r="S264" t="s">
        <v>74</v>
      </c>
      <c r="T264" t="s">
        <v>74</v>
      </c>
      <c r="U264" t="s">
        <v>74</v>
      </c>
      <c r="V264" t="s">
        <v>74</v>
      </c>
      <c r="W264" t="s">
        <v>74</v>
      </c>
      <c r="X264" t="s">
        <v>74</v>
      </c>
      <c r="Y264" t="s">
        <v>74</v>
      </c>
      <c r="Z264" t="s">
        <v>74</v>
      </c>
      <c r="AA264" t="s">
        <v>74</v>
      </c>
      <c r="AB264" t="s">
        <v>74</v>
      </c>
      <c r="AC264" t="s">
        <v>74</v>
      </c>
      <c r="AD264" t="s">
        <v>74</v>
      </c>
      <c r="AE264" t="s">
        <v>74</v>
      </c>
      <c r="AF264" t="s">
        <v>74</v>
      </c>
      <c r="AG264">
        <v>1</v>
      </c>
      <c r="AH264">
        <v>0</v>
      </c>
      <c r="AI264">
        <v>0</v>
      </c>
      <c r="AJ264">
        <v>0</v>
      </c>
      <c r="AK264">
        <v>0</v>
      </c>
      <c r="AL264" t="s">
        <v>5182</v>
      </c>
      <c r="AM264" t="s">
        <v>5183</v>
      </c>
      <c r="AN264" t="s">
        <v>5184</v>
      </c>
      <c r="AO264" t="s">
        <v>5185</v>
      </c>
      <c r="AP264" t="s">
        <v>74</v>
      </c>
      <c r="AQ264" t="s">
        <v>74</v>
      </c>
      <c r="AR264" t="s">
        <v>5186</v>
      </c>
      <c r="AS264" t="s">
        <v>5187</v>
      </c>
      <c r="AT264" t="s">
        <v>3762</v>
      </c>
      <c r="AU264">
        <v>2010</v>
      </c>
      <c r="AV264">
        <v>110</v>
      </c>
      <c r="AW264">
        <v>1</v>
      </c>
      <c r="AX264" t="s">
        <v>74</v>
      </c>
      <c r="AY264" t="s">
        <v>74</v>
      </c>
      <c r="AZ264" t="s">
        <v>74</v>
      </c>
      <c r="BA264" t="s">
        <v>74</v>
      </c>
      <c r="BB264">
        <v>200</v>
      </c>
      <c r="BC264">
        <v>202</v>
      </c>
      <c r="BD264" t="s">
        <v>74</v>
      </c>
      <c r="BE264" t="s">
        <v>74</v>
      </c>
      <c r="BF264" t="s">
        <v>74</v>
      </c>
      <c r="BG264" t="s">
        <v>74</v>
      </c>
      <c r="BH264" t="s">
        <v>74</v>
      </c>
      <c r="BI264">
        <v>3</v>
      </c>
      <c r="BJ264" t="s">
        <v>5188</v>
      </c>
      <c r="BK264" t="s">
        <v>4535</v>
      </c>
      <c r="BL264" t="s">
        <v>5189</v>
      </c>
      <c r="BM264" t="s">
        <v>5190</v>
      </c>
      <c r="BN264" t="s">
        <v>74</v>
      </c>
      <c r="BO264" t="s">
        <v>74</v>
      </c>
      <c r="BP264" t="s">
        <v>74</v>
      </c>
      <c r="BQ264" t="s">
        <v>74</v>
      </c>
      <c r="BR264" t="s">
        <v>105</v>
      </c>
      <c r="BS264" t="s">
        <v>5191</v>
      </c>
      <c r="BT264" t="str">
        <f>HYPERLINK("https%3A%2F%2Fwww.webofscience.com%2Fwos%2Fwoscc%2Ffull-record%2FWOS:000275790800016","View Full Record in Web of Science")</f>
        <v>View Full Record in Web of Science</v>
      </c>
    </row>
    <row r="265" spans="1:72" x14ac:dyDescent="0.15">
      <c r="A265" t="s">
        <v>72</v>
      </c>
      <c r="B265" t="s">
        <v>5192</v>
      </c>
      <c r="C265" t="s">
        <v>74</v>
      </c>
      <c r="D265" t="s">
        <v>74</v>
      </c>
      <c r="E265" t="s">
        <v>74</v>
      </c>
      <c r="F265" t="s">
        <v>5193</v>
      </c>
      <c r="G265" t="s">
        <v>74</v>
      </c>
      <c r="H265" t="s">
        <v>74</v>
      </c>
      <c r="I265" t="s">
        <v>5194</v>
      </c>
      <c r="J265" t="s">
        <v>5195</v>
      </c>
      <c r="K265" t="s">
        <v>74</v>
      </c>
      <c r="L265" t="s">
        <v>74</v>
      </c>
      <c r="M265" t="s">
        <v>78</v>
      </c>
      <c r="N265" t="s">
        <v>79</v>
      </c>
      <c r="O265" t="s">
        <v>74</v>
      </c>
      <c r="P265" t="s">
        <v>74</v>
      </c>
      <c r="Q265" t="s">
        <v>74</v>
      </c>
      <c r="R265" t="s">
        <v>74</v>
      </c>
      <c r="S265" t="s">
        <v>74</v>
      </c>
      <c r="T265" t="s">
        <v>5196</v>
      </c>
      <c r="U265" t="s">
        <v>5197</v>
      </c>
      <c r="V265" t="s">
        <v>5198</v>
      </c>
      <c r="W265" t="s">
        <v>5199</v>
      </c>
      <c r="X265" t="s">
        <v>5200</v>
      </c>
      <c r="Y265" t="s">
        <v>5201</v>
      </c>
      <c r="Z265" t="s">
        <v>5202</v>
      </c>
      <c r="AA265" t="s">
        <v>5203</v>
      </c>
      <c r="AB265" t="s">
        <v>5204</v>
      </c>
      <c r="AC265" t="s">
        <v>5205</v>
      </c>
      <c r="AD265" t="s">
        <v>5205</v>
      </c>
      <c r="AE265" t="s">
        <v>5206</v>
      </c>
      <c r="AF265" t="s">
        <v>74</v>
      </c>
      <c r="AG265">
        <v>10</v>
      </c>
      <c r="AH265">
        <v>14</v>
      </c>
      <c r="AI265">
        <v>15</v>
      </c>
      <c r="AJ265">
        <v>0</v>
      </c>
      <c r="AK265">
        <v>6</v>
      </c>
      <c r="AL265" t="s">
        <v>5207</v>
      </c>
      <c r="AM265" t="s">
        <v>5208</v>
      </c>
      <c r="AN265" t="s">
        <v>5209</v>
      </c>
      <c r="AO265" t="s">
        <v>5210</v>
      </c>
      <c r="AP265" t="s">
        <v>74</v>
      </c>
      <c r="AQ265" t="s">
        <v>74</v>
      </c>
      <c r="AR265" t="s">
        <v>5211</v>
      </c>
      <c r="AS265" t="s">
        <v>5212</v>
      </c>
      <c r="AT265" t="s">
        <v>3738</v>
      </c>
      <c r="AU265">
        <v>2010</v>
      </c>
      <c r="AV265">
        <v>15</v>
      </c>
      <c r="AW265">
        <v>2</v>
      </c>
      <c r="AX265" t="s">
        <v>74</v>
      </c>
      <c r="AY265" t="s">
        <v>74</v>
      </c>
      <c r="AZ265" t="s">
        <v>74</v>
      </c>
      <c r="BA265" t="s">
        <v>74</v>
      </c>
      <c r="BB265">
        <v>5197</v>
      </c>
      <c r="BC265">
        <v>5203</v>
      </c>
      <c r="BD265" t="s">
        <v>74</v>
      </c>
      <c r="BE265" t="s">
        <v>74</v>
      </c>
      <c r="BF265" t="s">
        <v>74</v>
      </c>
      <c r="BG265" t="s">
        <v>74</v>
      </c>
      <c r="BH265" t="s">
        <v>74</v>
      </c>
      <c r="BI265">
        <v>7</v>
      </c>
      <c r="BJ265" t="s">
        <v>867</v>
      </c>
      <c r="BK265" t="s">
        <v>102</v>
      </c>
      <c r="BL265" t="s">
        <v>867</v>
      </c>
      <c r="BM265" t="s">
        <v>5213</v>
      </c>
      <c r="BN265" t="s">
        <v>74</v>
      </c>
      <c r="BO265" t="s">
        <v>74</v>
      </c>
      <c r="BP265" t="s">
        <v>74</v>
      </c>
      <c r="BQ265" t="s">
        <v>74</v>
      </c>
      <c r="BR265" t="s">
        <v>105</v>
      </c>
      <c r="BS265" t="s">
        <v>5214</v>
      </c>
      <c r="BT265" t="str">
        <f>HYPERLINK("https%3A%2F%2Fwww.webofscience.com%2Fwos%2Fwoscc%2Ffull-record%2FWOS:000277232500018","View Full Record in Web of Science")</f>
        <v>View Full Record in Web of Science</v>
      </c>
    </row>
    <row r="266" spans="1:72" x14ac:dyDescent="0.15">
      <c r="A266" t="s">
        <v>72</v>
      </c>
      <c r="B266" t="s">
        <v>5215</v>
      </c>
      <c r="C266" t="s">
        <v>74</v>
      </c>
      <c r="D266" t="s">
        <v>74</v>
      </c>
      <c r="E266" t="s">
        <v>74</v>
      </c>
      <c r="F266" t="s">
        <v>5216</v>
      </c>
      <c r="G266" t="s">
        <v>74</v>
      </c>
      <c r="H266" t="s">
        <v>74</v>
      </c>
      <c r="I266" t="s">
        <v>5217</v>
      </c>
      <c r="J266" t="s">
        <v>5218</v>
      </c>
      <c r="K266" t="s">
        <v>74</v>
      </c>
      <c r="L266" t="s">
        <v>74</v>
      </c>
      <c r="M266" t="s">
        <v>78</v>
      </c>
      <c r="N266" t="s">
        <v>79</v>
      </c>
      <c r="O266" t="s">
        <v>74</v>
      </c>
      <c r="P266" t="s">
        <v>74</v>
      </c>
      <c r="Q266" t="s">
        <v>74</v>
      </c>
      <c r="R266" t="s">
        <v>74</v>
      </c>
      <c r="S266" t="s">
        <v>74</v>
      </c>
      <c r="T266" t="s">
        <v>5219</v>
      </c>
      <c r="U266" t="s">
        <v>74</v>
      </c>
      <c r="V266" t="s">
        <v>5220</v>
      </c>
      <c r="W266" t="s">
        <v>5221</v>
      </c>
      <c r="X266" t="s">
        <v>5222</v>
      </c>
      <c r="Y266" t="s">
        <v>5223</v>
      </c>
      <c r="Z266" t="s">
        <v>5224</v>
      </c>
      <c r="AA266" t="s">
        <v>5225</v>
      </c>
      <c r="AB266" t="s">
        <v>5226</v>
      </c>
      <c r="AC266" t="s">
        <v>5227</v>
      </c>
      <c r="AD266" t="s">
        <v>5228</v>
      </c>
      <c r="AE266" t="s">
        <v>5229</v>
      </c>
      <c r="AF266" t="s">
        <v>74</v>
      </c>
      <c r="AG266">
        <v>10</v>
      </c>
      <c r="AH266">
        <v>1</v>
      </c>
      <c r="AI266">
        <v>1</v>
      </c>
      <c r="AJ266">
        <v>0</v>
      </c>
      <c r="AK266">
        <v>1</v>
      </c>
      <c r="AL266" t="s">
        <v>2913</v>
      </c>
      <c r="AM266" t="s">
        <v>225</v>
      </c>
      <c r="AN266" t="s">
        <v>2914</v>
      </c>
      <c r="AO266" t="s">
        <v>5230</v>
      </c>
      <c r="AP266" t="s">
        <v>74</v>
      </c>
      <c r="AQ266" t="s">
        <v>74</v>
      </c>
      <c r="AR266" t="s">
        <v>5231</v>
      </c>
      <c r="AS266" t="s">
        <v>5232</v>
      </c>
      <c r="AT266" t="s">
        <v>3762</v>
      </c>
      <c r="AU266">
        <v>2010</v>
      </c>
      <c r="AV266">
        <v>36</v>
      </c>
      <c r="AW266">
        <v>2</v>
      </c>
      <c r="AX266" t="s">
        <v>74</v>
      </c>
      <c r="AY266" t="s">
        <v>74</v>
      </c>
      <c r="AZ266" t="s">
        <v>74</v>
      </c>
      <c r="BA266" t="s">
        <v>74</v>
      </c>
      <c r="BB266">
        <v>133</v>
      </c>
      <c r="BC266">
        <v>138</v>
      </c>
      <c r="BD266" t="s">
        <v>74</v>
      </c>
      <c r="BE266" t="s">
        <v>5233</v>
      </c>
      <c r="BF266" t="str">
        <f>HYPERLINK("http://dx.doi.org/10.1134/S1063074010020082","http://dx.doi.org/10.1134/S1063074010020082")</f>
        <v>http://dx.doi.org/10.1134/S1063074010020082</v>
      </c>
      <c r="BG266" t="s">
        <v>74</v>
      </c>
      <c r="BH266" t="s">
        <v>74</v>
      </c>
      <c r="BI266">
        <v>6</v>
      </c>
      <c r="BJ266" t="s">
        <v>2186</v>
      </c>
      <c r="BK266" t="s">
        <v>102</v>
      </c>
      <c r="BL266" t="s">
        <v>2186</v>
      </c>
      <c r="BM266" t="s">
        <v>5234</v>
      </c>
      <c r="BN266" t="s">
        <v>74</v>
      </c>
      <c r="BO266" t="s">
        <v>74</v>
      </c>
      <c r="BP266" t="s">
        <v>74</v>
      </c>
      <c r="BQ266" t="s">
        <v>74</v>
      </c>
      <c r="BR266" t="s">
        <v>105</v>
      </c>
      <c r="BS266" t="s">
        <v>5235</v>
      </c>
      <c r="BT266" t="str">
        <f>HYPERLINK("https%3A%2F%2Fwww.webofscience.com%2Fwos%2Fwoscc%2Ffull-record%2FWOS:000277515600008","View Full Record in Web of Science")</f>
        <v>View Full Record in Web of Science</v>
      </c>
    </row>
    <row r="267" spans="1:72" x14ac:dyDescent="0.15">
      <c r="A267" t="s">
        <v>72</v>
      </c>
      <c r="B267" t="s">
        <v>4905</v>
      </c>
      <c r="C267" t="s">
        <v>74</v>
      </c>
      <c r="D267" t="s">
        <v>74</v>
      </c>
      <c r="E267" t="s">
        <v>74</v>
      </c>
      <c r="F267" t="s">
        <v>4906</v>
      </c>
      <c r="G267" t="s">
        <v>74</v>
      </c>
      <c r="H267" t="s">
        <v>74</v>
      </c>
      <c r="I267" t="s">
        <v>5236</v>
      </c>
      <c r="J267" t="s">
        <v>5237</v>
      </c>
      <c r="K267" t="s">
        <v>74</v>
      </c>
      <c r="L267" t="s">
        <v>74</v>
      </c>
      <c r="M267" t="s">
        <v>78</v>
      </c>
      <c r="N267" t="s">
        <v>79</v>
      </c>
      <c r="O267" t="s">
        <v>74</v>
      </c>
      <c r="P267" t="s">
        <v>74</v>
      </c>
      <c r="Q267" t="s">
        <v>74</v>
      </c>
      <c r="R267" t="s">
        <v>74</v>
      </c>
      <c r="S267" t="s">
        <v>74</v>
      </c>
      <c r="T267" t="s">
        <v>5238</v>
      </c>
      <c r="U267" t="s">
        <v>74</v>
      </c>
      <c r="V267" t="s">
        <v>5239</v>
      </c>
      <c r="W267" t="s">
        <v>5240</v>
      </c>
      <c r="X267" t="s">
        <v>4912</v>
      </c>
      <c r="Y267" t="s">
        <v>5241</v>
      </c>
      <c r="Z267" t="s">
        <v>4914</v>
      </c>
      <c r="AA267" t="s">
        <v>4915</v>
      </c>
      <c r="AB267" t="s">
        <v>4916</v>
      </c>
      <c r="AC267" t="s">
        <v>5242</v>
      </c>
      <c r="AD267" t="s">
        <v>4918</v>
      </c>
      <c r="AE267" t="s">
        <v>5243</v>
      </c>
      <c r="AF267" t="s">
        <v>74</v>
      </c>
      <c r="AG267">
        <v>9</v>
      </c>
      <c r="AH267">
        <v>11</v>
      </c>
      <c r="AI267">
        <v>14</v>
      </c>
      <c r="AJ267">
        <v>0</v>
      </c>
      <c r="AK267">
        <v>8</v>
      </c>
      <c r="AL267" t="s">
        <v>5244</v>
      </c>
      <c r="AM267" t="s">
        <v>5245</v>
      </c>
      <c r="AN267" t="s">
        <v>5246</v>
      </c>
      <c r="AO267" t="s">
        <v>5247</v>
      </c>
      <c r="AP267" t="s">
        <v>5248</v>
      </c>
      <c r="AQ267" t="s">
        <v>74</v>
      </c>
      <c r="AR267" t="s">
        <v>5249</v>
      </c>
      <c r="AS267" t="s">
        <v>5250</v>
      </c>
      <c r="AT267" t="s">
        <v>3762</v>
      </c>
      <c r="AU267">
        <v>2010</v>
      </c>
      <c r="AV267">
        <v>74</v>
      </c>
      <c r="AW267">
        <v>1</v>
      </c>
      <c r="AX267" t="s">
        <v>74</v>
      </c>
      <c r="AY267" t="s">
        <v>74</v>
      </c>
      <c r="AZ267" t="s">
        <v>74</v>
      </c>
      <c r="BA267" t="s">
        <v>74</v>
      </c>
      <c r="BB267">
        <v>131</v>
      </c>
      <c r="BC267">
        <v>146</v>
      </c>
      <c r="BD267" t="s">
        <v>74</v>
      </c>
      <c r="BE267" t="s">
        <v>5251</v>
      </c>
      <c r="BF267" t="str">
        <f>HYPERLINK("http://dx.doi.org/10.3989/scimar.2010.74n1131","http://dx.doi.org/10.3989/scimar.2010.74n1131")</f>
        <v>http://dx.doi.org/10.3989/scimar.2010.74n1131</v>
      </c>
      <c r="BG267" t="s">
        <v>74</v>
      </c>
      <c r="BH267" t="s">
        <v>74</v>
      </c>
      <c r="BI267">
        <v>16</v>
      </c>
      <c r="BJ267" t="s">
        <v>2186</v>
      </c>
      <c r="BK267" t="s">
        <v>102</v>
      </c>
      <c r="BL267" t="s">
        <v>2186</v>
      </c>
      <c r="BM267" t="s">
        <v>5252</v>
      </c>
      <c r="BN267" t="s">
        <v>74</v>
      </c>
      <c r="BO267" t="s">
        <v>5253</v>
      </c>
      <c r="BP267" t="s">
        <v>74</v>
      </c>
      <c r="BQ267" t="s">
        <v>74</v>
      </c>
      <c r="BR267" t="s">
        <v>105</v>
      </c>
      <c r="BS267" t="s">
        <v>5254</v>
      </c>
      <c r="BT267" t="str">
        <f>HYPERLINK("https%3A%2F%2Fwww.webofscience.com%2Fwos%2Fwoscc%2Ffull-record%2FWOS:000276288200011","View Full Record in Web of Science")</f>
        <v>View Full Record in Web of Science</v>
      </c>
    </row>
    <row r="268" spans="1:72" x14ac:dyDescent="0.15">
      <c r="A268" t="s">
        <v>72</v>
      </c>
      <c r="B268" t="s">
        <v>5255</v>
      </c>
      <c r="C268" t="s">
        <v>74</v>
      </c>
      <c r="D268" t="s">
        <v>74</v>
      </c>
      <c r="E268" t="s">
        <v>74</v>
      </c>
      <c r="F268" t="s">
        <v>5256</v>
      </c>
      <c r="G268" t="s">
        <v>74</v>
      </c>
      <c r="H268" t="s">
        <v>74</v>
      </c>
      <c r="I268" t="s">
        <v>5257</v>
      </c>
      <c r="J268" t="s">
        <v>5258</v>
      </c>
      <c r="K268" t="s">
        <v>74</v>
      </c>
      <c r="L268" t="s">
        <v>74</v>
      </c>
      <c r="M268" t="s">
        <v>78</v>
      </c>
      <c r="N268" t="s">
        <v>79</v>
      </c>
      <c r="O268" t="s">
        <v>74</v>
      </c>
      <c r="P268" t="s">
        <v>74</v>
      </c>
      <c r="Q268" t="s">
        <v>74</v>
      </c>
      <c r="R268" t="s">
        <v>74</v>
      </c>
      <c r="S268" t="s">
        <v>74</v>
      </c>
      <c r="T268" t="s">
        <v>5259</v>
      </c>
      <c r="U268" t="s">
        <v>5260</v>
      </c>
      <c r="V268" t="s">
        <v>5261</v>
      </c>
      <c r="W268" t="s">
        <v>5262</v>
      </c>
      <c r="X268" t="s">
        <v>5263</v>
      </c>
      <c r="Y268" t="s">
        <v>5264</v>
      </c>
      <c r="Z268" t="s">
        <v>5265</v>
      </c>
      <c r="AA268" t="s">
        <v>5266</v>
      </c>
      <c r="AB268" t="s">
        <v>5267</v>
      </c>
      <c r="AC268" t="s">
        <v>5268</v>
      </c>
      <c r="AD268" t="s">
        <v>5269</v>
      </c>
      <c r="AE268" t="s">
        <v>5270</v>
      </c>
      <c r="AF268" t="s">
        <v>74</v>
      </c>
      <c r="AG268">
        <v>106</v>
      </c>
      <c r="AH268">
        <v>56</v>
      </c>
      <c r="AI268">
        <v>61</v>
      </c>
      <c r="AJ268">
        <v>0</v>
      </c>
      <c r="AK268">
        <v>14</v>
      </c>
      <c r="AL268" t="s">
        <v>144</v>
      </c>
      <c r="AM268" t="s">
        <v>145</v>
      </c>
      <c r="AN268" t="s">
        <v>146</v>
      </c>
      <c r="AO268" t="s">
        <v>5271</v>
      </c>
      <c r="AP268" t="s">
        <v>5272</v>
      </c>
      <c r="AQ268" t="s">
        <v>74</v>
      </c>
      <c r="AR268" t="s">
        <v>5258</v>
      </c>
      <c r="AS268" t="s">
        <v>5273</v>
      </c>
      <c r="AT268" t="s">
        <v>3970</v>
      </c>
      <c r="AU268">
        <v>2010</v>
      </c>
      <c r="AV268">
        <v>483</v>
      </c>
      <c r="AW268" t="s">
        <v>1854</v>
      </c>
      <c r="AX268" t="s">
        <v>74</v>
      </c>
      <c r="AY268" t="s">
        <v>74</v>
      </c>
      <c r="AZ268" t="s">
        <v>152</v>
      </c>
      <c r="BA268" t="s">
        <v>74</v>
      </c>
      <c r="BB268">
        <v>135</v>
      </c>
      <c r="BC268">
        <v>150</v>
      </c>
      <c r="BD268" t="s">
        <v>74</v>
      </c>
      <c r="BE268" t="s">
        <v>5274</v>
      </c>
      <c r="BF268" t="str">
        <f>HYPERLINK("http://dx.doi.org/10.1016/j.tecto.2009.08.028","http://dx.doi.org/10.1016/j.tecto.2009.08.028")</f>
        <v>http://dx.doi.org/10.1016/j.tecto.2009.08.028</v>
      </c>
      <c r="BG268" t="s">
        <v>74</v>
      </c>
      <c r="BH268" t="s">
        <v>74</v>
      </c>
      <c r="BI268">
        <v>16</v>
      </c>
      <c r="BJ268" t="s">
        <v>507</v>
      </c>
      <c r="BK268" t="s">
        <v>102</v>
      </c>
      <c r="BL268" t="s">
        <v>507</v>
      </c>
      <c r="BM268" t="s">
        <v>5275</v>
      </c>
      <c r="BN268" t="s">
        <v>74</v>
      </c>
      <c r="BO268" t="s">
        <v>555</v>
      </c>
      <c r="BP268" t="s">
        <v>74</v>
      </c>
      <c r="BQ268" t="s">
        <v>74</v>
      </c>
      <c r="BR268" t="s">
        <v>105</v>
      </c>
      <c r="BS268" t="s">
        <v>5276</v>
      </c>
      <c r="BT268" t="str">
        <f>HYPERLINK("https%3A%2F%2Fwww.webofscience.com%2Fwos%2Fwoscc%2Ffull-record%2FWOS:000276174800012","View Full Record in Web of Science")</f>
        <v>View Full Record in Web of Science</v>
      </c>
    </row>
    <row r="269" spans="1:72" x14ac:dyDescent="0.15">
      <c r="A269" t="s">
        <v>72</v>
      </c>
      <c r="B269" t="s">
        <v>5277</v>
      </c>
      <c r="C269" t="s">
        <v>74</v>
      </c>
      <c r="D269" t="s">
        <v>74</v>
      </c>
      <c r="E269" t="s">
        <v>74</v>
      </c>
      <c r="F269" t="s">
        <v>5278</v>
      </c>
      <c r="G269" t="s">
        <v>74</v>
      </c>
      <c r="H269" t="s">
        <v>74</v>
      </c>
      <c r="I269" t="s">
        <v>5279</v>
      </c>
      <c r="J269" t="s">
        <v>5280</v>
      </c>
      <c r="K269" t="s">
        <v>74</v>
      </c>
      <c r="L269" t="s">
        <v>74</v>
      </c>
      <c r="M269" t="s">
        <v>78</v>
      </c>
      <c r="N269" t="s">
        <v>79</v>
      </c>
      <c r="O269" t="s">
        <v>74</v>
      </c>
      <c r="P269" t="s">
        <v>74</v>
      </c>
      <c r="Q269" t="s">
        <v>74</v>
      </c>
      <c r="R269" t="s">
        <v>74</v>
      </c>
      <c r="S269" t="s">
        <v>74</v>
      </c>
      <c r="T269" t="s">
        <v>74</v>
      </c>
      <c r="U269" t="s">
        <v>5281</v>
      </c>
      <c r="V269" t="s">
        <v>5282</v>
      </c>
      <c r="W269" t="s">
        <v>5283</v>
      </c>
      <c r="X269" t="s">
        <v>5284</v>
      </c>
      <c r="Y269" t="s">
        <v>5285</v>
      </c>
      <c r="Z269" t="s">
        <v>5286</v>
      </c>
      <c r="AA269" t="s">
        <v>5287</v>
      </c>
      <c r="AB269" t="s">
        <v>5288</v>
      </c>
      <c r="AC269" t="s">
        <v>5289</v>
      </c>
      <c r="AD269" t="s">
        <v>5290</v>
      </c>
      <c r="AE269" t="s">
        <v>5291</v>
      </c>
      <c r="AF269" t="s">
        <v>74</v>
      </c>
      <c r="AG269">
        <v>33</v>
      </c>
      <c r="AH269">
        <v>22</v>
      </c>
      <c r="AI269">
        <v>26</v>
      </c>
      <c r="AJ269">
        <v>0</v>
      </c>
      <c r="AK269">
        <v>10</v>
      </c>
      <c r="AL269" t="s">
        <v>2312</v>
      </c>
      <c r="AM269" t="s">
        <v>1655</v>
      </c>
      <c r="AN269" t="s">
        <v>1656</v>
      </c>
      <c r="AO269" t="s">
        <v>5292</v>
      </c>
      <c r="AP269" t="s">
        <v>74</v>
      </c>
      <c r="AQ269" t="s">
        <v>74</v>
      </c>
      <c r="AR269" t="s">
        <v>5293</v>
      </c>
      <c r="AS269" t="s">
        <v>5294</v>
      </c>
      <c r="AT269" t="s">
        <v>3762</v>
      </c>
      <c r="AU269">
        <v>2010</v>
      </c>
      <c r="AV269">
        <v>62</v>
      </c>
      <c r="AW269">
        <v>2</v>
      </c>
      <c r="AX269" t="s">
        <v>74</v>
      </c>
      <c r="AY269" t="s">
        <v>74</v>
      </c>
      <c r="AZ269" t="s">
        <v>74</v>
      </c>
      <c r="BA269" t="s">
        <v>74</v>
      </c>
      <c r="BB269">
        <v>202</v>
      </c>
      <c r="BC269">
        <v>208</v>
      </c>
      <c r="BD269" t="s">
        <v>74</v>
      </c>
      <c r="BE269" t="s">
        <v>5295</v>
      </c>
      <c r="BF269" t="str">
        <f>HYPERLINK("http://dx.doi.org/10.1111/j.1600-0870.2009.00431.x","http://dx.doi.org/10.1111/j.1600-0870.2009.00431.x")</f>
        <v>http://dx.doi.org/10.1111/j.1600-0870.2009.00431.x</v>
      </c>
      <c r="BG269" t="s">
        <v>74</v>
      </c>
      <c r="BH269" t="s">
        <v>74</v>
      </c>
      <c r="BI269">
        <v>7</v>
      </c>
      <c r="BJ269" t="s">
        <v>5296</v>
      </c>
      <c r="BK269" t="s">
        <v>102</v>
      </c>
      <c r="BL269" t="s">
        <v>5296</v>
      </c>
      <c r="BM269" t="s">
        <v>5297</v>
      </c>
      <c r="BN269" t="s">
        <v>74</v>
      </c>
      <c r="BO269" t="s">
        <v>3033</v>
      </c>
      <c r="BP269" t="s">
        <v>74</v>
      </c>
      <c r="BQ269" t="s">
        <v>74</v>
      </c>
      <c r="BR269" t="s">
        <v>105</v>
      </c>
      <c r="BS269" t="s">
        <v>5298</v>
      </c>
      <c r="BT269" t="str">
        <f>HYPERLINK("https%3A%2F%2Fwww.webofscience.com%2Fwos%2Fwoscc%2Ffull-record%2FWOS:000274335900010","View Full Record in Web of Science")</f>
        <v>View Full Record in Web of Science</v>
      </c>
    </row>
    <row r="270" spans="1:72" x14ac:dyDescent="0.15">
      <c r="A270" t="s">
        <v>72</v>
      </c>
      <c r="B270" t="s">
        <v>5299</v>
      </c>
      <c r="C270" t="s">
        <v>74</v>
      </c>
      <c r="D270" t="s">
        <v>74</v>
      </c>
      <c r="E270" t="s">
        <v>74</v>
      </c>
      <c r="F270" t="s">
        <v>5300</v>
      </c>
      <c r="G270" t="s">
        <v>74</v>
      </c>
      <c r="H270" t="s">
        <v>74</v>
      </c>
      <c r="I270" t="s">
        <v>5301</v>
      </c>
      <c r="J270" t="s">
        <v>5302</v>
      </c>
      <c r="K270" t="s">
        <v>74</v>
      </c>
      <c r="L270" t="s">
        <v>74</v>
      </c>
      <c r="M270" t="s">
        <v>78</v>
      </c>
      <c r="N270" t="s">
        <v>79</v>
      </c>
      <c r="O270" t="s">
        <v>74</v>
      </c>
      <c r="P270" t="s">
        <v>74</v>
      </c>
      <c r="Q270" t="s">
        <v>74</v>
      </c>
      <c r="R270" t="s">
        <v>74</v>
      </c>
      <c r="S270" t="s">
        <v>74</v>
      </c>
      <c r="T270" t="s">
        <v>74</v>
      </c>
      <c r="U270" t="s">
        <v>5303</v>
      </c>
      <c r="V270" t="s">
        <v>5304</v>
      </c>
      <c r="W270" t="s">
        <v>5305</v>
      </c>
      <c r="X270" t="s">
        <v>5306</v>
      </c>
      <c r="Y270" t="s">
        <v>5307</v>
      </c>
      <c r="Z270" t="s">
        <v>5308</v>
      </c>
      <c r="AA270" t="s">
        <v>74</v>
      </c>
      <c r="AB270" t="s">
        <v>5309</v>
      </c>
      <c r="AC270" t="s">
        <v>5310</v>
      </c>
      <c r="AD270" t="s">
        <v>5311</v>
      </c>
      <c r="AE270" t="s">
        <v>5312</v>
      </c>
      <c r="AF270" t="s">
        <v>74</v>
      </c>
      <c r="AG270">
        <v>53</v>
      </c>
      <c r="AH270">
        <v>29</v>
      </c>
      <c r="AI270">
        <v>33</v>
      </c>
      <c r="AJ270">
        <v>5</v>
      </c>
      <c r="AK270">
        <v>17</v>
      </c>
      <c r="AL270" t="s">
        <v>4693</v>
      </c>
      <c r="AM270" t="s">
        <v>5313</v>
      </c>
      <c r="AN270" t="s">
        <v>5314</v>
      </c>
      <c r="AO270" t="s">
        <v>5315</v>
      </c>
      <c r="AP270" t="s">
        <v>5316</v>
      </c>
      <c r="AQ270" t="s">
        <v>74</v>
      </c>
      <c r="AR270" t="s">
        <v>5317</v>
      </c>
      <c r="AS270" t="s">
        <v>5318</v>
      </c>
      <c r="AT270" t="s">
        <v>3762</v>
      </c>
      <c r="AU270">
        <v>2010</v>
      </c>
      <c r="AV270">
        <v>100</v>
      </c>
      <c r="AW270" t="s">
        <v>1854</v>
      </c>
      <c r="AX270" t="s">
        <v>74</v>
      </c>
      <c r="AY270" t="s">
        <v>74</v>
      </c>
      <c r="AZ270" t="s">
        <v>74</v>
      </c>
      <c r="BA270" t="s">
        <v>74</v>
      </c>
      <c r="BB270">
        <v>191</v>
      </c>
      <c r="BC270">
        <v>206</v>
      </c>
      <c r="BD270" t="s">
        <v>74</v>
      </c>
      <c r="BE270" t="s">
        <v>5319</v>
      </c>
      <c r="BF270" t="str">
        <f>HYPERLINK("http://dx.doi.org/10.1007/s00704-009-0182-1","http://dx.doi.org/10.1007/s00704-009-0182-1")</f>
        <v>http://dx.doi.org/10.1007/s00704-009-0182-1</v>
      </c>
      <c r="BG270" t="s">
        <v>74</v>
      </c>
      <c r="BH270" t="s">
        <v>74</v>
      </c>
      <c r="BI270">
        <v>16</v>
      </c>
      <c r="BJ270" t="s">
        <v>258</v>
      </c>
      <c r="BK270" t="s">
        <v>102</v>
      </c>
      <c r="BL270" t="s">
        <v>258</v>
      </c>
      <c r="BM270" t="s">
        <v>5320</v>
      </c>
      <c r="BN270" t="s">
        <v>74</v>
      </c>
      <c r="BO270" t="s">
        <v>74</v>
      </c>
      <c r="BP270" t="s">
        <v>74</v>
      </c>
      <c r="BQ270" t="s">
        <v>74</v>
      </c>
      <c r="BR270" t="s">
        <v>105</v>
      </c>
      <c r="BS270" t="s">
        <v>5321</v>
      </c>
      <c r="BT270" t="str">
        <f>HYPERLINK("https%3A%2F%2Fwww.webofscience.com%2Fwos%2Fwoscc%2Ffull-record%2FWOS:000274719000014","View Full Record in Web of Science")</f>
        <v>View Full Record in Web of Science</v>
      </c>
    </row>
    <row r="271" spans="1:72" x14ac:dyDescent="0.15">
      <c r="A271" t="s">
        <v>72</v>
      </c>
      <c r="B271" t="s">
        <v>5322</v>
      </c>
      <c r="C271" t="s">
        <v>74</v>
      </c>
      <c r="D271" t="s">
        <v>74</v>
      </c>
      <c r="E271" t="s">
        <v>74</v>
      </c>
      <c r="F271" t="s">
        <v>5323</v>
      </c>
      <c r="G271" t="s">
        <v>74</v>
      </c>
      <c r="H271" t="s">
        <v>74</v>
      </c>
      <c r="I271" t="s">
        <v>5324</v>
      </c>
      <c r="J271" t="s">
        <v>5325</v>
      </c>
      <c r="K271" t="s">
        <v>74</v>
      </c>
      <c r="L271" t="s">
        <v>74</v>
      </c>
      <c r="M271" t="s">
        <v>78</v>
      </c>
      <c r="N271" t="s">
        <v>79</v>
      </c>
      <c r="O271" t="s">
        <v>74</v>
      </c>
      <c r="P271" t="s">
        <v>74</v>
      </c>
      <c r="Q271" t="s">
        <v>74</v>
      </c>
      <c r="R271" t="s">
        <v>74</v>
      </c>
      <c r="S271" t="s">
        <v>74</v>
      </c>
      <c r="T271" t="s">
        <v>5326</v>
      </c>
      <c r="U271" t="s">
        <v>5327</v>
      </c>
      <c r="V271" t="s">
        <v>5328</v>
      </c>
      <c r="W271" t="s">
        <v>5329</v>
      </c>
      <c r="X271" t="s">
        <v>5330</v>
      </c>
      <c r="Y271" t="s">
        <v>5331</v>
      </c>
      <c r="Z271" t="s">
        <v>5332</v>
      </c>
      <c r="AA271" t="s">
        <v>5333</v>
      </c>
      <c r="AB271" t="s">
        <v>74</v>
      </c>
      <c r="AC271" t="s">
        <v>5334</v>
      </c>
      <c r="AD271" t="s">
        <v>5335</v>
      </c>
      <c r="AE271" t="s">
        <v>5336</v>
      </c>
      <c r="AF271" t="s">
        <v>74</v>
      </c>
      <c r="AG271">
        <v>40</v>
      </c>
      <c r="AH271">
        <v>12</v>
      </c>
      <c r="AI271">
        <v>13</v>
      </c>
      <c r="AJ271">
        <v>1</v>
      </c>
      <c r="AK271">
        <v>5</v>
      </c>
      <c r="AL271" t="s">
        <v>813</v>
      </c>
      <c r="AM271" t="s">
        <v>225</v>
      </c>
      <c r="AN271" t="s">
        <v>2228</v>
      </c>
      <c r="AO271" t="s">
        <v>5337</v>
      </c>
      <c r="AP271" t="s">
        <v>5338</v>
      </c>
      <c r="AQ271" t="s">
        <v>74</v>
      </c>
      <c r="AR271" t="s">
        <v>5339</v>
      </c>
      <c r="AS271" t="s">
        <v>5340</v>
      </c>
      <c r="AT271" t="s">
        <v>3762</v>
      </c>
      <c r="AU271">
        <v>2010</v>
      </c>
      <c r="AV271">
        <v>24</v>
      </c>
      <c r="AW271" t="s">
        <v>151</v>
      </c>
      <c r="AX271" t="s">
        <v>74</v>
      </c>
      <c r="AY271" t="s">
        <v>74</v>
      </c>
      <c r="AZ271" t="s">
        <v>152</v>
      </c>
      <c r="BA271" t="s">
        <v>74</v>
      </c>
      <c r="BB271">
        <v>137</v>
      </c>
      <c r="BC271">
        <v>149</v>
      </c>
      <c r="BD271" t="s">
        <v>74</v>
      </c>
      <c r="BE271" t="s">
        <v>5341</v>
      </c>
      <c r="BF271" t="str">
        <f>HYPERLINK("http://dx.doi.org/10.1007/s00162-009-0109-6","http://dx.doi.org/10.1007/s00162-009-0109-6")</f>
        <v>http://dx.doi.org/10.1007/s00162-009-0109-6</v>
      </c>
      <c r="BG271" t="s">
        <v>74</v>
      </c>
      <c r="BH271" t="s">
        <v>74</v>
      </c>
      <c r="BI271">
        <v>13</v>
      </c>
      <c r="BJ271" t="s">
        <v>5342</v>
      </c>
      <c r="BK271" t="s">
        <v>102</v>
      </c>
      <c r="BL271" t="s">
        <v>5343</v>
      </c>
      <c r="BM271" t="s">
        <v>5344</v>
      </c>
      <c r="BN271" t="s">
        <v>74</v>
      </c>
      <c r="BO271" t="s">
        <v>74</v>
      </c>
      <c r="BP271" t="s">
        <v>74</v>
      </c>
      <c r="BQ271" t="s">
        <v>74</v>
      </c>
      <c r="BR271" t="s">
        <v>105</v>
      </c>
      <c r="BS271" t="s">
        <v>5345</v>
      </c>
      <c r="BT271" t="str">
        <f>HYPERLINK("https%3A%2F%2Fwww.webofscience.com%2Fwos%2Fwoscc%2Ffull-record%2FWOS:000275422800016","View Full Record in Web of Science")</f>
        <v>View Full Record in Web of Science</v>
      </c>
    </row>
    <row r="272" spans="1:72" x14ac:dyDescent="0.15">
      <c r="A272" t="s">
        <v>72</v>
      </c>
      <c r="B272" t="s">
        <v>583</v>
      </c>
      <c r="C272" t="s">
        <v>74</v>
      </c>
      <c r="D272" t="s">
        <v>74</v>
      </c>
      <c r="E272" t="s">
        <v>74</v>
      </c>
      <c r="F272" t="s">
        <v>584</v>
      </c>
      <c r="G272" t="s">
        <v>74</v>
      </c>
      <c r="H272" t="s">
        <v>74</v>
      </c>
      <c r="I272" t="s">
        <v>5346</v>
      </c>
      <c r="J272" t="s">
        <v>5347</v>
      </c>
      <c r="K272" t="s">
        <v>74</v>
      </c>
      <c r="L272" t="s">
        <v>74</v>
      </c>
      <c r="M272" t="s">
        <v>78</v>
      </c>
      <c r="N272" t="s">
        <v>536</v>
      </c>
      <c r="O272" t="s">
        <v>74</v>
      </c>
      <c r="P272" t="s">
        <v>74</v>
      </c>
      <c r="Q272" t="s">
        <v>74</v>
      </c>
      <c r="R272" t="s">
        <v>74</v>
      </c>
      <c r="S272" t="s">
        <v>74</v>
      </c>
      <c r="T272" t="s">
        <v>74</v>
      </c>
      <c r="U272" t="s">
        <v>74</v>
      </c>
      <c r="V272" t="s">
        <v>74</v>
      </c>
      <c r="W272" t="s">
        <v>5348</v>
      </c>
      <c r="X272" t="s">
        <v>5349</v>
      </c>
      <c r="Y272" t="s">
        <v>5350</v>
      </c>
      <c r="Z272" t="s">
        <v>74</v>
      </c>
      <c r="AA272" t="s">
        <v>74</v>
      </c>
      <c r="AB272" t="s">
        <v>74</v>
      </c>
      <c r="AC272" t="s">
        <v>74</v>
      </c>
      <c r="AD272" t="s">
        <v>74</v>
      </c>
      <c r="AE272" t="s">
        <v>74</v>
      </c>
      <c r="AF272" t="s">
        <v>74</v>
      </c>
      <c r="AG272">
        <v>0</v>
      </c>
      <c r="AH272">
        <v>0</v>
      </c>
      <c r="AI272">
        <v>0</v>
      </c>
      <c r="AJ272">
        <v>0</v>
      </c>
      <c r="AK272">
        <v>0</v>
      </c>
      <c r="AL272" t="s">
        <v>5351</v>
      </c>
      <c r="AM272" t="s">
        <v>407</v>
      </c>
      <c r="AN272" t="s">
        <v>5352</v>
      </c>
      <c r="AO272" t="s">
        <v>5353</v>
      </c>
      <c r="AP272" t="s">
        <v>5354</v>
      </c>
      <c r="AQ272" t="s">
        <v>74</v>
      </c>
      <c r="AR272" t="s">
        <v>5355</v>
      </c>
      <c r="AS272" t="s">
        <v>5356</v>
      </c>
      <c r="AT272" t="s">
        <v>3762</v>
      </c>
      <c r="AU272">
        <v>2010</v>
      </c>
      <c r="AV272">
        <v>29</v>
      </c>
      <c r="AW272">
        <v>1</v>
      </c>
      <c r="AX272" t="s">
        <v>74</v>
      </c>
      <c r="AY272" t="s">
        <v>74</v>
      </c>
      <c r="AZ272" t="s">
        <v>74</v>
      </c>
      <c r="BA272" t="s">
        <v>74</v>
      </c>
      <c r="BB272">
        <v>1</v>
      </c>
      <c r="BC272">
        <v>2</v>
      </c>
      <c r="BD272" t="s">
        <v>74</v>
      </c>
      <c r="BE272" t="s">
        <v>5357</v>
      </c>
      <c r="BF272" t="str">
        <f>HYPERLINK("http://dx.doi.org/10.3723/ut.29.001","http://dx.doi.org/10.3723/ut.29.001")</f>
        <v>http://dx.doi.org/10.3723/ut.29.001</v>
      </c>
      <c r="BG272" t="s">
        <v>74</v>
      </c>
      <c r="BH272" t="s">
        <v>74</v>
      </c>
      <c r="BI272">
        <v>2</v>
      </c>
      <c r="BJ272" t="s">
        <v>5358</v>
      </c>
      <c r="BK272" t="s">
        <v>1408</v>
      </c>
      <c r="BL272" t="s">
        <v>3741</v>
      </c>
      <c r="BM272" t="s">
        <v>5359</v>
      </c>
      <c r="BN272" t="s">
        <v>74</v>
      </c>
      <c r="BO272" t="s">
        <v>74</v>
      </c>
      <c r="BP272" t="s">
        <v>74</v>
      </c>
      <c r="BQ272" t="s">
        <v>74</v>
      </c>
      <c r="BR272" t="s">
        <v>105</v>
      </c>
      <c r="BS272" t="s">
        <v>5360</v>
      </c>
      <c r="BT272" t="str">
        <f>HYPERLINK("https%3A%2F%2Fwww.webofscience.com%2Fwos%2Fwoscc%2Ffull-record%2FWOS:000437619500001","View Full Record in Web of Science")</f>
        <v>View Full Record in Web of Science</v>
      </c>
    </row>
    <row r="273" spans="1:72" x14ac:dyDescent="0.15">
      <c r="A273" t="s">
        <v>72</v>
      </c>
      <c r="B273" t="s">
        <v>5361</v>
      </c>
      <c r="C273" t="s">
        <v>74</v>
      </c>
      <c r="D273" t="s">
        <v>74</v>
      </c>
      <c r="E273" t="s">
        <v>74</v>
      </c>
      <c r="F273" t="s">
        <v>5362</v>
      </c>
      <c r="G273" t="s">
        <v>74</v>
      </c>
      <c r="H273" t="s">
        <v>74</v>
      </c>
      <c r="I273" t="s">
        <v>5363</v>
      </c>
      <c r="J273" t="s">
        <v>5364</v>
      </c>
      <c r="K273" t="s">
        <v>74</v>
      </c>
      <c r="L273" t="s">
        <v>74</v>
      </c>
      <c r="M273" t="s">
        <v>78</v>
      </c>
      <c r="N273" t="s">
        <v>79</v>
      </c>
      <c r="O273" t="s">
        <v>74</v>
      </c>
      <c r="P273" t="s">
        <v>74</v>
      </c>
      <c r="Q273" t="s">
        <v>74</v>
      </c>
      <c r="R273" t="s">
        <v>74</v>
      </c>
      <c r="S273" t="s">
        <v>74</v>
      </c>
      <c r="T273" t="s">
        <v>5365</v>
      </c>
      <c r="U273" t="s">
        <v>5366</v>
      </c>
      <c r="V273" t="s">
        <v>5367</v>
      </c>
      <c r="W273" t="s">
        <v>5368</v>
      </c>
      <c r="X273" t="s">
        <v>5369</v>
      </c>
      <c r="Y273" t="s">
        <v>5370</v>
      </c>
      <c r="Z273" t="s">
        <v>5371</v>
      </c>
      <c r="AA273" t="s">
        <v>5372</v>
      </c>
      <c r="AB273" t="s">
        <v>5373</v>
      </c>
      <c r="AC273" t="s">
        <v>5374</v>
      </c>
      <c r="AD273" t="s">
        <v>5375</v>
      </c>
      <c r="AE273" t="s">
        <v>5376</v>
      </c>
      <c r="AF273" t="s">
        <v>74</v>
      </c>
      <c r="AG273">
        <v>62</v>
      </c>
      <c r="AH273">
        <v>37</v>
      </c>
      <c r="AI273">
        <v>47</v>
      </c>
      <c r="AJ273">
        <v>3</v>
      </c>
      <c r="AK273">
        <v>48</v>
      </c>
      <c r="AL273" t="s">
        <v>144</v>
      </c>
      <c r="AM273" t="s">
        <v>145</v>
      </c>
      <c r="AN273" t="s">
        <v>146</v>
      </c>
      <c r="AO273" t="s">
        <v>5377</v>
      </c>
      <c r="AP273" t="s">
        <v>5378</v>
      </c>
      <c r="AQ273" t="s">
        <v>74</v>
      </c>
      <c r="AR273" t="s">
        <v>5379</v>
      </c>
      <c r="AS273" t="s">
        <v>5380</v>
      </c>
      <c r="AT273" t="s">
        <v>5381</v>
      </c>
      <c r="AU273">
        <v>2010</v>
      </c>
      <c r="AV273">
        <v>118</v>
      </c>
      <c r="AW273" t="s">
        <v>971</v>
      </c>
      <c r="AX273" t="s">
        <v>74</v>
      </c>
      <c r="AY273" t="s">
        <v>74</v>
      </c>
      <c r="AZ273" t="s">
        <v>74</v>
      </c>
      <c r="BA273" t="s">
        <v>74</v>
      </c>
      <c r="BB273">
        <v>129</v>
      </c>
      <c r="BC273">
        <v>139</v>
      </c>
      <c r="BD273" t="s">
        <v>74</v>
      </c>
      <c r="BE273" t="s">
        <v>5382</v>
      </c>
      <c r="BF273" t="str">
        <f>HYPERLINK("http://dx.doi.org/10.1016/j.marchem.2009.11.008","http://dx.doi.org/10.1016/j.marchem.2009.11.008")</f>
        <v>http://dx.doi.org/10.1016/j.marchem.2009.11.008</v>
      </c>
      <c r="BG273" t="s">
        <v>74</v>
      </c>
      <c r="BH273" t="s">
        <v>74</v>
      </c>
      <c r="BI273">
        <v>11</v>
      </c>
      <c r="BJ273" t="s">
        <v>5383</v>
      </c>
      <c r="BK273" t="s">
        <v>102</v>
      </c>
      <c r="BL273" t="s">
        <v>5384</v>
      </c>
      <c r="BM273" t="s">
        <v>5385</v>
      </c>
      <c r="BN273" t="s">
        <v>74</v>
      </c>
      <c r="BO273" t="s">
        <v>74</v>
      </c>
      <c r="BP273" t="s">
        <v>74</v>
      </c>
      <c r="BQ273" t="s">
        <v>74</v>
      </c>
      <c r="BR273" t="s">
        <v>105</v>
      </c>
      <c r="BS273" t="s">
        <v>5386</v>
      </c>
      <c r="BT273" t="str">
        <f>HYPERLINK("https%3A%2F%2Fwww.webofscience.com%2Fwos%2Fwoscc%2Ffull-record%2FWOS:000275342600004","View Full Record in Web of Science")</f>
        <v>View Full Record in Web of Science</v>
      </c>
    </row>
    <row r="274" spans="1:72" x14ac:dyDescent="0.15">
      <c r="A274" t="s">
        <v>72</v>
      </c>
      <c r="B274" t="s">
        <v>5387</v>
      </c>
      <c r="C274" t="s">
        <v>74</v>
      </c>
      <c r="D274" t="s">
        <v>74</v>
      </c>
      <c r="E274" t="s">
        <v>74</v>
      </c>
      <c r="F274" t="s">
        <v>5388</v>
      </c>
      <c r="G274" t="s">
        <v>74</v>
      </c>
      <c r="H274" t="s">
        <v>74</v>
      </c>
      <c r="I274" t="s">
        <v>5389</v>
      </c>
      <c r="J274" t="s">
        <v>5364</v>
      </c>
      <c r="K274" t="s">
        <v>74</v>
      </c>
      <c r="L274" t="s">
        <v>74</v>
      </c>
      <c r="M274" t="s">
        <v>78</v>
      </c>
      <c r="N274" t="s">
        <v>79</v>
      </c>
      <c r="O274" t="s">
        <v>74</v>
      </c>
      <c r="P274" t="s">
        <v>74</v>
      </c>
      <c r="Q274" t="s">
        <v>74</v>
      </c>
      <c r="R274" t="s">
        <v>74</v>
      </c>
      <c r="S274" t="s">
        <v>74</v>
      </c>
      <c r="T274" t="s">
        <v>5390</v>
      </c>
      <c r="U274" t="s">
        <v>5391</v>
      </c>
      <c r="V274" t="s">
        <v>5392</v>
      </c>
      <c r="W274" t="s">
        <v>5393</v>
      </c>
      <c r="X274" t="s">
        <v>5394</v>
      </c>
      <c r="Y274" t="s">
        <v>5395</v>
      </c>
      <c r="Z274" t="s">
        <v>5396</v>
      </c>
      <c r="AA274" t="s">
        <v>5397</v>
      </c>
      <c r="AB274" t="s">
        <v>5398</v>
      </c>
      <c r="AC274" t="s">
        <v>5399</v>
      </c>
      <c r="AD274" t="s">
        <v>5400</v>
      </c>
      <c r="AE274" t="s">
        <v>74</v>
      </c>
      <c r="AF274" t="s">
        <v>74</v>
      </c>
      <c r="AG274">
        <v>56</v>
      </c>
      <c r="AH274">
        <v>42</v>
      </c>
      <c r="AI274">
        <v>49</v>
      </c>
      <c r="AJ274">
        <v>2</v>
      </c>
      <c r="AK274">
        <v>45</v>
      </c>
      <c r="AL274" t="s">
        <v>173</v>
      </c>
      <c r="AM274" t="s">
        <v>145</v>
      </c>
      <c r="AN274" t="s">
        <v>174</v>
      </c>
      <c r="AO274" t="s">
        <v>5377</v>
      </c>
      <c r="AP274" t="s">
        <v>74</v>
      </c>
      <c r="AQ274" t="s">
        <v>74</v>
      </c>
      <c r="AR274" t="s">
        <v>5379</v>
      </c>
      <c r="AS274" t="s">
        <v>5380</v>
      </c>
      <c r="AT274" t="s">
        <v>5381</v>
      </c>
      <c r="AU274">
        <v>2010</v>
      </c>
      <c r="AV274">
        <v>118</v>
      </c>
      <c r="AW274" t="s">
        <v>971</v>
      </c>
      <c r="AX274" t="s">
        <v>74</v>
      </c>
      <c r="AY274" t="s">
        <v>74</v>
      </c>
      <c r="AZ274" t="s">
        <v>74</v>
      </c>
      <c r="BA274" t="s">
        <v>74</v>
      </c>
      <c r="BB274">
        <v>171</v>
      </c>
      <c r="BC274">
        <v>181</v>
      </c>
      <c r="BD274" t="s">
        <v>74</v>
      </c>
      <c r="BE274" t="s">
        <v>5401</v>
      </c>
      <c r="BF274" t="str">
        <f>HYPERLINK("http://dx.doi.org/10.1016/j.marchem.2009.11.009","http://dx.doi.org/10.1016/j.marchem.2009.11.009")</f>
        <v>http://dx.doi.org/10.1016/j.marchem.2009.11.009</v>
      </c>
      <c r="BG274" t="s">
        <v>74</v>
      </c>
      <c r="BH274" t="s">
        <v>74</v>
      </c>
      <c r="BI274">
        <v>11</v>
      </c>
      <c r="BJ274" t="s">
        <v>5383</v>
      </c>
      <c r="BK274" t="s">
        <v>102</v>
      </c>
      <c r="BL274" t="s">
        <v>5384</v>
      </c>
      <c r="BM274" t="s">
        <v>5385</v>
      </c>
      <c r="BN274" t="s">
        <v>74</v>
      </c>
      <c r="BO274" t="s">
        <v>74</v>
      </c>
      <c r="BP274" t="s">
        <v>74</v>
      </c>
      <c r="BQ274" t="s">
        <v>74</v>
      </c>
      <c r="BR274" t="s">
        <v>105</v>
      </c>
      <c r="BS274" t="s">
        <v>5402</v>
      </c>
      <c r="BT274" t="str">
        <f>HYPERLINK("https%3A%2F%2Fwww.webofscience.com%2Fwos%2Fwoscc%2Ffull-record%2FWOS:000275342600007","View Full Record in Web of Science")</f>
        <v>View Full Record in Web of Science</v>
      </c>
    </row>
    <row r="275" spans="1:72" x14ac:dyDescent="0.15">
      <c r="A275" t="s">
        <v>72</v>
      </c>
      <c r="B275" t="s">
        <v>5403</v>
      </c>
      <c r="C275" t="s">
        <v>74</v>
      </c>
      <c r="D275" t="s">
        <v>74</v>
      </c>
      <c r="E275" t="s">
        <v>74</v>
      </c>
      <c r="F275" t="s">
        <v>5404</v>
      </c>
      <c r="G275" t="s">
        <v>74</v>
      </c>
      <c r="H275" t="s">
        <v>74</v>
      </c>
      <c r="I275" t="s">
        <v>5405</v>
      </c>
      <c r="J275" t="s">
        <v>239</v>
      </c>
      <c r="K275" t="s">
        <v>74</v>
      </c>
      <c r="L275" t="s">
        <v>74</v>
      </c>
      <c r="M275" t="s">
        <v>78</v>
      </c>
      <c r="N275" t="s">
        <v>79</v>
      </c>
      <c r="O275" t="s">
        <v>74</v>
      </c>
      <c r="P275" t="s">
        <v>74</v>
      </c>
      <c r="Q275" t="s">
        <v>74</v>
      </c>
      <c r="R275" t="s">
        <v>74</v>
      </c>
      <c r="S275" t="s">
        <v>74</v>
      </c>
      <c r="T275" t="s">
        <v>74</v>
      </c>
      <c r="U275" t="s">
        <v>5406</v>
      </c>
      <c r="V275" t="s">
        <v>5407</v>
      </c>
      <c r="W275" t="s">
        <v>5408</v>
      </c>
      <c r="X275" t="s">
        <v>5409</v>
      </c>
      <c r="Y275" t="s">
        <v>5410</v>
      </c>
      <c r="Z275" t="s">
        <v>5411</v>
      </c>
      <c r="AA275" t="s">
        <v>5412</v>
      </c>
      <c r="AB275" t="s">
        <v>5413</v>
      </c>
      <c r="AC275" t="s">
        <v>5414</v>
      </c>
      <c r="AD275" t="s">
        <v>5415</v>
      </c>
      <c r="AE275" t="s">
        <v>5416</v>
      </c>
      <c r="AF275" t="s">
        <v>74</v>
      </c>
      <c r="AG275">
        <v>60</v>
      </c>
      <c r="AH275">
        <v>45</v>
      </c>
      <c r="AI275">
        <v>45</v>
      </c>
      <c r="AJ275">
        <v>0</v>
      </c>
      <c r="AK275">
        <v>38</v>
      </c>
      <c r="AL275" t="s">
        <v>91</v>
      </c>
      <c r="AM275" t="s">
        <v>92</v>
      </c>
      <c r="AN275" t="s">
        <v>93</v>
      </c>
      <c r="AO275" t="s">
        <v>251</v>
      </c>
      <c r="AP275" t="s">
        <v>74</v>
      </c>
      <c r="AQ275" t="s">
        <v>74</v>
      </c>
      <c r="AR275" t="s">
        <v>253</v>
      </c>
      <c r="AS275" t="s">
        <v>254</v>
      </c>
      <c r="AT275" t="s">
        <v>5417</v>
      </c>
      <c r="AU275">
        <v>2010</v>
      </c>
      <c r="AV275">
        <v>115</v>
      </c>
      <c r="AW275" t="s">
        <v>74</v>
      </c>
      <c r="AX275" t="s">
        <v>74</v>
      </c>
      <c r="AY275" t="s">
        <v>74</v>
      </c>
      <c r="AZ275" t="s">
        <v>74</v>
      </c>
      <c r="BA275" t="s">
        <v>74</v>
      </c>
      <c r="BB275" t="s">
        <v>74</v>
      </c>
      <c r="BC275" t="s">
        <v>74</v>
      </c>
      <c r="BD275" t="s">
        <v>5418</v>
      </c>
      <c r="BE275" t="s">
        <v>5419</v>
      </c>
      <c r="BF275" t="str">
        <f>HYPERLINK("http://dx.doi.org/10.1029/2009JD011910","http://dx.doi.org/10.1029/2009JD011910")</f>
        <v>http://dx.doi.org/10.1029/2009JD011910</v>
      </c>
      <c r="BG275" t="s">
        <v>74</v>
      </c>
      <c r="BH275" t="s">
        <v>74</v>
      </c>
      <c r="BI275">
        <v>15</v>
      </c>
      <c r="BJ275" t="s">
        <v>258</v>
      </c>
      <c r="BK275" t="s">
        <v>102</v>
      </c>
      <c r="BL275" t="s">
        <v>258</v>
      </c>
      <c r="BM275" t="s">
        <v>5420</v>
      </c>
      <c r="BN275" t="s">
        <v>74</v>
      </c>
      <c r="BO275" t="s">
        <v>260</v>
      </c>
      <c r="BP275" t="s">
        <v>74</v>
      </c>
      <c r="BQ275" t="s">
        <v>74</v>
      </c>
      <c r="BR275" t="s">
        <v>105</v>
      </c>
      <c r="BS275" t="s">
        <v>5421</v>
      </c>
      <c r="BT275" t="str">
        <f>HYPERLINK("https%3A%2F%2Fwww.webofscience.com%2Fwos%2Fwoscc%2Ffull-record%2FWOS:000275036600002","View Full Record in Web of Science")</f>
        <v>View Full Record in Web of Science</v>
      </c>
    </row>
    <row r="276" spans="1:72" x14ac:dyDescent="0.15">
      <c r="A276" t="s">
        <v>72</v>
      </c>
      <c r="B276" t="s">
        <v>5422</v>
      </c>
      <c r="C276" t="s">
        <v>74</v>
      </c>
      <c r="D276" t="s">
        <v>74</v>
      </c>
      <c r="E276" t="s">
        <v>74</v>
      </c>
      <c r="F276" t="s">
        <v>5423</v>
      </c>
      <c r="G276" t="s">
        <v>74</v>
      </c>
      <c r="H276" t="s">
        <v>74</v>
      </c>
      <c r="I276" t="s">
        <v>5424</v>
      </c>
      <c r="J276" t="s">
        <v>77</v>
      </c>
      <c r="K276" t="s">
        <v>74</v>
      </c>
      <c r="L276" t="s">
        <v>74</v>
      </c>
      <c r="M276" t="s">
        <v>78</v>
      </c>
      <c r="N276" t="s">
        <v>79</v>
      </c>
      <c r="O276" t="s">
        <v>74</v>
      </c>
      <c r="P276" t="s">
        <v>74</v>
      </c>
      <c r="Q276" t="s">
        <v>74</v>
      </c>
      <c r="R276" t="s">
        <v>74</v>
      </c>
      <c r="S276" t="s">
        <v>74</v>
      </c>
      <c r="T276" t="s">
        <v>74</v>
      </c>
      <c r="U276" t="s">
        <v>5425</v>
      </c>
      <c r="V276" t="s">
        <v>5426</v>
      </c>
      <c r="W276" t="s">
        <v>5427</v>
      </c>
      <c r="X276" t="s">
        <v>5428</v>
      </c>
      <c r="Y276" t="s">
        <v>5429</v>
      </c>
      <c r="Z276" t="s">
        <v>5430</v>
      </c>
      <c r="AA276" t="s">
        <v>74</v>
      </c>
      <c r="AB276" t="s">
        <v>5431</v>
      </c>
      <c r="AC276" t="s">
        <v>5432</v>
      </c>
      <c r="AD276" t="s">
        <v>1972</v>
      </c>
      <c r="AE276" t="s">
        <v>74</v>
      </c>
      <c r="AF276" t="s">
        <v>74</v>
      </c>
      <c r="AG276">
        <v>48</v>
      </c>
      <c r="AH276">
        <v>91</v>
      </c>
      <c r="AI276">
        <v>98</v>
      </c>
      <c r="AJ276">
        <v>1</v>
      </c>
      <c r="AK276">
        <v>25</v>
      </c>
      <c r="AL276" t="s">
        <v>91</v>
      </c>
      <c r="AM276" t="s">
        <v>92</v>
      </c>
      <c r="AN276" t="s">
        <v>93</v>
      </c>
      <c r="AO276" t="s">
        <v>94</v>
      </c>
      <c r="AP276" t="s">
        <v>95</v>
      </c>
      <c r="AQ276" t="s">
        <v>74</v>
      </c>
      <c r="AR276" t="s">
        <v>96</v>
      </c>
      <c r="AS276" t="s">
        <v>97</v>
      </c>
      <c r="AT276" t="s">
        <v>5417</v>
      </c>
      <c r="AU276">
        <v>2010</v>
      </c>
      <c r="AV276">
        <v>115</v>
      </c>
      <c r="AW276" t="s">
        <v>74</v>
      </c>
      <c r="AX276" t="s">
        <v>74</v>
      </c>
      <c r="AY276" t="s">
        <v>74</v>
      </c>
      <c r="AZ276" t="s">
        <v>74</v>
      </c>
      <c r="BA276" t="s">
        <v>74</v>
      </c>
      <c r="BB276" t="s">
        <v>74</v>
      </c>
      <c r="BC276" t="s">
        <v>74</v>
      </c>
      <c r="BD276" t="s">
        <v>5433</v>
      </c>
      <c r="BE276" t="s">
        <v>5434</v>
      </c>
      <c r="BF276" t="str">
        <f>HYPERLINK("http://dx.doi.org/10.1029/2009JC005361","http://dx.doi.org/10.1029/2009JC005361")</f>
        <v>http://dx.doi.org/10.1029/2009JC005361</v>
      </c>
      <c r="BG276" t="s">
        <v>74</v>
      </c>
      <c r="BH276" t="s">
        <v>74</v>
      </c>
      <c r="BI276">
        <v>12</v>
      </c>
      <c r="BJ276" t="s">
        <v>101</v>
      </c>
      <c r="BK276" t="s">
        <v>102</v>
      </c>
      <c r="BL276" t="s">
        <v>101</v>
      </c>
      <c r="BM276" t="s">
        <v>5435</v>
      </c>
      <c r="BN276" t="s">
        <v>74</v>
      </c>
      <c r="BO276" t="s">
        <v>346</v>
      </c>
      <c r="BP276" t="s">
        <v>74</v>
      </c>
      <c r="BQ276" t="s">
        <v>74</v>
      </c>
      <c r="BR276" t="s">
        <v>105</v>
      </c>
      <c r="BS276" t="s">
        <v>5436</v>
      </c>
      <c r="BT276" t="str">
        <f>HYPERLINK("https%3A%2F%2Fwww.webofscience.com%2Fwos%2Fwoscc%2Ffull-record%2FWOS:000275036900001","View Full Record in Web of Science")</f>
        <v>View Full Record in Web of Science</v>
      </c>
    </row>
    <row r="277" spans="1:72" x14ac:dyDescent="0.15">
      <c r="A277" t="s">
        <v>72</v>
      </c>
      <c r="B277" t="s">
        <v>5437</v>
      </c>
      <c r="C277" t="s">
        <v>74</v>
      </c>
      <c r="D277" t="s">
        <v>74</v>
      </c>
      <c r="E277" t="s">
        <v>74</v>
      </c>
      <c r="F277" t="s">
        <v>5438</v>
      </c>
      <c r="G277" t="s">
        <v>74</v>
      </c>
      <c r="H277" t="s">
        <v>74</v>
      </c>
      <c r="I277" t="s">
        <v>5439</v>
      </c>
      <c r="J277" t="s">
        <v>370</v>
      </c>
      <c r="K277" t="s">
        <v>74</v>
      </c>
      <c r="L277" t="s">
        <v>74</v>
      </c>
      <c r="M277" t="s">
        <v>78</v>
      </c>
      <c r="N277" t="s">
        <v>79</v>
      </c>
      <c r="O277" t="s">
        <v>74</v>
      </c>
      <c r="P277" t="s">
        <v>74</v>
      </c>
      <c r="Q277" t="s">
        <v>74</v>
      </c>
      <c r="R277" t="s">
        <v>74</v>
      </c>
      <c r="S277" t="s">
        <v>74</v>
      </c>
      <c r="T277" t="s">
        <v>74</v>
      </c>
      <c r="U277" t="s">
        <v>5440</v>
      </c>
      <c r="V277" t="s">
        <v>5441</v>
      </c>
      <c r="W277" t="s">
        <v>5442</v>
      </c>
      <c r="X277" t="s">
        <v>1596</v>
      </c>
      <c r="Y277" t="s">
        <v>5443</v>
      </c>
      <c r="Z277" t="s">
        <v>5444</v>
      </c>
      <c r="AA277" t="s">
        <v>5445</v>
      </c>
      <c r="AB277" t="s">
        <v>5446</v>
      </c>
      <c r="AC277" t="s">
        <v>5447</v>
      </c>
      <c r="AD277" t="s">
        <v>5448</v>
      </c>
      <c r="AE277" t="s">
        <v>5449</v>
      </c>
      <c r="AF277" t="s">
        <v>74</v>
      </c>
      <c r="AG277">
        <v>58</v>
      </c>
      <c r="AH277">
        <v>17</v>
      </c>
      <c r="AI277">
        <v>17</v>
      </c>
      <c r="AJ277">
        <v>0</v>
      </c>
      <c r="AK277">
        <v>3</v>
      </c>
      <c r="AL277" t="s">
        <v>381</v>
      </c>
      <c r="AM277" t="s">
        <v>382</v>
      </c>
      <c r="AN277" t="s">
        <v>383</v>
      </c>
      <c r="AO277" t="s">
        <v>384</v>
      </c>
      <c r="AP277" t="s">
        <v>74</v>
      </c>
      <c r="AQ277" t="s">
        <v>74</v>
      </c>
      <c r="AR277" t="s">
        <v>370</v>
      </c>
      <c r="AS277" t="s">
        <v>385</v>
      </c>
      <c r="AT277" t="s">
        <v>5450</v>
      </c>
      <c r="AU277">
        <v>2010</v>
      </c>
      <c r="AV277">
        <v>5</v>
      </c>
      <c r="AW277">
        <v>2</v>
      </c>
      <c r="AX277" t="s">
        <v>74</v>
      </c>
      <c r="AY277" t="s">
        <v>74</v>
      </c>
      <c r="AZ277" t="s">
        <v>74</v>
      </c>
      <c r="BA277" t="s">
        <v>74</v>
      </c>
      <c r="BB277" t="s">
        <v>74</v>
      </c>
      <c r="BC277" t="s">
        <v>74</v>
      </c>
      <c r="BD277" t="s">
        <v>5451</v>
      </c>
      <c r="BE277" t="s">
        <v>5452</v>
      </c>
      <c r="BF277" t="str">
        <f>HYPERLINK("http://dx.doi.org/10.1371/journal.pone.0009412","http://dx.doi.org/10.1371/journal.pone.0009412")</f>
        <v>http://dx.doi.org/10.1371/journal.pone.0009412</v>
      </c>
      <c r="BG277" t="s">
        <v>74</v>
      </c>
      <c r="BH277" t="s">
        <v>74</v>
      </c>
      <c r="BI277">
        <v>19</v>
      </c>
      <c r="BJ277" t="s">
        <v>323</v>
      </c>
      <c r="BK277" t="s">
        <v>102</v>
      </c>
      <c r="BL277" t="s">
        <v>324</v>
      </c>
      <c r="BM277" t="s">
        <v>5453</v>
      </c>
      <c r="BN277">
        <v>20195537</v>
      </c>
      <c r="BO277" t="s">
        <v>5454</v>
      </c>
      <c r="BP277" t="s">
        <v>74</v>
      </c>
      <c r="BQ277" t="s">
        <v>74</v>
      </c>
      <c r="BR277" t="s">
        <v>105</v>
      </c>
      <c r="BS277" t="s">
        <v>5455</v>
      </c>
      <c r="BT277" t="str">
        <f>HYPERLINK("https%3A%2F%2Fwww.webofscience.com%2Fwos%2Fwoscc%2Ffull-record%2FWOS:000274924300004","View Full Record in Web of Science")</f>
        <v>View Full Record in Web of Science</v>
      </c>
    </row>
    <row r="278" spans="1:72" x14ac:dyDescent="0.15">
      <c r="A278" t="s">
        <v>72</v>
      </c>
      <c r="B278" t="s">
        <v>4494</v>
      </c>
      <c r="C278" t="s">
        <v>74</v>
      </c>
      <c r="D278" t="s">
        <v>74</v>
      </c>
      <c r="E278" t="s">
        <v>74</v>
      </c>
      <c r="F278" t="s">
        <v>4495</v>
      </c>
      <c r="G278" t="s">
        <v>74</v>
      </c>
      <c r="H278" t="s">
        <v>74</v>
      </c>
      <c r="I278" t="s">
        <v>5456</v>
      </c>
      <c r="J278" t="s">
        <v>5258</v>
      </c>
      <c r="K278" t="s">
        <v>74</v>
      </c>
      <c r="L278" t="s">
        <v>74</v>
      </c>
      <c r="M278" t="s">
        <v>78</v>
      </c>
      <c r="N278" t="s">
        <v>79</v>
      </c>
      <c r="O278" t="s">
        <v>74</v>
      </c>
      <c r="P278" t="s">
        <v>74</v>
      </c>
      <c r="Q278" t="s">
        <v>74</v>
      </c>
      <c r="R278" t="s">
        <v>74</v>
      </c>
      <c r="S278" t="s">
        <v>74</v>
      </c>
      <c r="T278" t="s">
        <v>5457</v>
      </c>
      <c r="U278" t="s">
        <v>5458</v>
      </c>
      <c r="V278" t="s">
        <v>5459</v>
      </c>
      <c r="W278" t="s">
        <v>5460</v>
      </c>
      <c r="X278" t="s">
        <v>4504</v>
      </c>
      <c r="Y278" t="s">
        <v>5461</v>
      </c>
      <c r="Z278" t="s">
        <v>4506</v>
      </c>
      <c r="AA278" t="s">
        <v>74</v>
      </c>
      <c r="AB278" t="s">
        <v>74</v>
      </c>
      <c r="AC278" t="s">
        <v>5462</v>
      </c>
      <c r="AD278" t="s">
        <v>5463</v>
      </c>
      <c r="AE278" t="s">
        <v>5464</v>
      </c>
      <c r="AF278" t="s">
        <v>74</v>
      </c>
      <c r="AG278">
        <v>50</v>
      </c>
      <c r="AH278">
        <v>62</v>
      </c>
      <c r="AI278">
        <v>69</v>
      </c>
      <c r="AJ278">
        <v>1</v>
      </c>
      <c r="AK278">
        <v>10</v>
      </c>
      <c r="AL278" t="s">
        <v>144</v>
      </c>
      <c r="AM278" t="s">
        <v>145</v>
      </c>
      <c r="AN278" t="s">
        <v>146</v>
      </c>
      <c r="AO278" t="s">
        <v>5271</v>
      </c>
      <c r="AP278" t="s">
        <v>5272</v>
      </c>
      <c r="AQ278" t="s">
        <v>74</v>
      </c>
      <c r="AR278" t="s">
        <v>5258</v>
      </c>
      <c r="AS278" t="s">
        <v>5273</v>
      </c>
      <c r="AT278" t="s">
        <v>5450</v>
      </c>
      <c r="AU278">
        <v>2010</v>
      </c>
      <c r="AV278">
        <v>482</v>
      </c>
      <c r="AW278" t="s">
        <v>151</v>
      </c>
      <c r="AX278" t="s">
        <v>74</v>
      </c>
      <c r="AY278" t="s">
        <v>74</v>
      </c>
      <c r="AZ278" t="s">
        <v>152</v>
      </c>
      <c r="BA278" t="s">
        <v>74</v>
      </c>
      <c r="BB278">
        <v>16</v>
      </c>
      <c r="BC278">
        <v>28</v>
      </c>
      <c r="BD278" t="s">
        <v>74</v>
      </c>
      <c r="BE278" t="s">
        <v>5465</v>
      </c>
      <c r="BF278" t="str">
        <f>HYPERLINK("http://dx.doi.org/10.1016/j.tecto.2009.08.025","http://dx.doi.org/10.1016/j.tecto.2009.08.025")</f>
        <v>http://dx.doi.org/10.1016/j.tecto.2009.08.025</v>
      </c>
      <c r="BG278" t="s">
        <v>74</v>
      </c>
      <c r="BH278" t="s">
        <v>74</v>
      </c>
      <c r="BI278">
        <v>13</v>
      </c>
      <c r="BJ278" t="s">
        <v>507</v>
      </c>
      <c r="BK278" t="s">
        <v>102</v>
      </c>
      <c r="BL278" t="s">
        <v>507</v>
      </c>
      <c r="BM278" t="s">
        <v>5466</v>
      </c>
      <c r="BN278" t="s">
        <v>74</v>
      </c>
      <c r="BO278" t="s">
        <v>104</v>
      </c>
      <c r="BP278" t="s">
        <v>74</v>
      </c>
      <c r="BQ278" t="s">
        <v>74</v>
      </c>
      <c r="BR278" t="s">
        <v>105</v>
      </c>
      <c r="BS278" t="s">
        <v>5467</v>
      </c>
      <c r="BT278" t="str">
        <f>HYPERLINK("https%3A%2F%2Fwww.webofscience.com%2Fwos%2Fwoscc%2Ffull-record%2FWOS:000275791400003","View Full Record in Web of Science")</f>
        <v>View Full Record in Web of Science</v>
      </c>
    </row>
    <row r="279" spans="1:72" x14ac:dyDescent="0.15">
      <c r="A279" t="s">
        <v>72</v>
      </c>
      <c r="B279" t="s">
        <v>5468</v>
      </c>
      <c r="C279" t="s">
        <v>74</v>
      </c>
      <c r="D279" t="s">
        <v>74</v>
      </c>
      <c r="E279" t="s">
        <v>74</v>
      </c>
      <c r="F279" t="s">
        <v>5469</v>
      </c>
      <c r="G279" t="s">
        <v>74</v>
      </c>
      <c r="H279" t="s">
        <v>74</v>
      </c>
      <c r="I279" t="s">
        <v>5470</v>
      </c>
      <c r="J279" t="s">
        <v>1290</v>
      </c>
      <c r="K279" t="s">
        <v>74</v>
      </c>
      <c r="L279" t="s">
        <v>74</v>
      </c>
      <c r="M279" t="s">
        <v>78</v>
      </c>
      <c r="N279" t="s">
        <v>79</v>
      </c>
      <c r="O279" t="s">
        <v>74</v>
      </c>
      <c r="P279" t="s">
        <v>74</v>
      </c>
      <c r="Q279" t="s">
        <v>74</v>
      </c>
      <c r="R279" t="s">
        <v>74</v>
      </c>
      <c r="S279" t="s">
        <v>74</v>
      </c>
      <c r="T279" t="s">
        <v>5471</v>
      </c>
      <c r="U279" t="s">
        <v>5472</v>
      </c>
      <c r="V279" t="s">
        <v>5473</v>
      </c>
      <c r="W279" t="s">
        <v>5474</v>
      </c>
      <c r="X279" t="s">
        <v>5475</v>
      </c>
      <c r="Y279" t="s">
        <v>5476</v>
      </c>
      <c r="Z279" t="s">
        <v>5477</v>
      </c>
      <c r="AA279" t="s">
        <v>5478</v>
      </c>
      <c r="AB279" t="s">
        <v>74</v>
      </c>
      <c r="AC279" t="s">
        <v>5479</v>
      </c>
      <c r="AD279" t="s">
        <v>5480</v>
      </c>
      <c r="AE279" t="s">
        <v>5481</v>
      </c>
      <c r="AF279" t="s">
        <v>74</v>
      </c>
      <c r="AG279">
        <v>52</v>
      </c>
      <c r="AH279">
        <v>14</v>
      </c>
      <c r="AI279">
        <v>23</v>
      </c>
      <c r="AJ279">
        <v>2</v>
      </c>
      <c r="AK279">
        <v>16</v>
      </c>
      <c r="AL279" t="s">
        <v>144</v>
      </c>
      <c r="AM279" t="s">
        <v>145</v>
      </c>
      <c r="AN279" t="s">
        <v>146</v>
      </c>
      <c r="AO279" t="s">
        <v>1303</v>
      </c>
      <c r="AP279" t="s">
        <v>1325</v>
      </c>
      <c r="AQ279" t="s">
        <v>74</v>
      </c>
      <c r="AR279" t="s">
        <v>1304</v>
      </c>
      <c r="AS279" t="s">
        <v>1305</v>
      </c>
      <c r="AT279" t="s">
        <v>5482</v>
      </c>
      <c r="AU279">
        <v>2010</v>
      </c>
      <c r="AV279">
        <v>290</v>
      </c>
      <c r="AW279" t="s">
        <v>971</v>
      </c>
      <c r="AX279" t="s">
        <v>74</v>
      </c>
      <c r="AY279" t="s">
        <v>74</v>
      </c>
      <c r="AZ279" t="s">
        <v>74</v>
      </c>
      <c r="BA279" t="s">
        <v>74</v>
      </c>
      <c r="BB279">
        <v>281</v>
      </c>
      <c r="BC279">
        <v>288</v>
      </c>
      <c r="BD279" t="s">
        <v>74</v>
      </c>
      <c r="BE279" t="s">
        <v>5483</v>
      </c>
      <c r="BF279" t="str">
        <f>HYPERLINK("http://dx.doi.org/10.1016/j.epsl.2009.12.008","http://dx.doi.org/10.1016/j.epsl.2009.12.008")</f>
        <v>http://dx.doi.org/10.1016/j.epsl.2009.12.008</v>
      </c>
      <c r="BG279" t="s">
        <v>74</v>
      </c>
      <c r="BH279" t="s">
        <v>74</v>
      </c>
      <c r="BI279">
        <v>8</v>
      </c>
      <c r="BJ279" t="s">
        <v>507</v>
      </c>
      <c r="BK279" t="s">
        <v>102</v>
      </c>
      <c r="BL279" t="s">
        <v>507</v>
      </c>
      <c r="BM279" t="s">
        <v>5484</v>
      </c>
      <c r="BN279" t="s">
        <v>74</v>
      </c>
      <c r="BO279" t="s">
        <v>74</v>
      </c>
      <c r="BP279" t="s">
        <v>74</v>
      </c>
      <c r="BQ279" t="s">
        <v>74</v>
      </c>
      <c r="BR279" t="s">
        <v>105</v>
      </c>
      <c r="BS279" t="s">
        <v>5485</v>
      </c>
      <c r="BT279" t="str">
        <f>HYPERLINK("https%3A%2F%2Fwww.webofscience.com%2Fwos%2Fwoscc%2Ffull-record%2FWOS:000275306200005","View Full Record in Web of Science")</f>
        <v>View Full Record in Web of Science</v>
      </c>
    </row>
    <row r="280" spans="1:72" x14ac:dyDescent="0.15">
      <c r="A280" t="s">
        <v>72</v>
      </c>
      <c r="B280" t="s">
        <v>5486</v>
      </c>
      <c r="C280" t="s">
        <v>74</v>
      </c>
      <c r="D280" t="s">
        <v>74</v>
      </c>
      <c r="E280" t="s">
        <v>74</v>
      </c>
      <c r="F280" t="s">
        <v>5487</v>
      </c>
      <c r="G280" t="s">
        <v>74</v>
      </c>
      <c r="H280" t="s">
        <v>74</v>
      </c>
      <c r="I280" t="s">
        <v>5488</v>
      </c>
      <c r="J280" t="s">
        <v>1290</v>
      </c>
      <c r="K280" t="s">
        <v>74</v>
      </c>
      <c r="L280" t="s">
        <v>74</v>
      </c>
      <c r="M280" t="s">
        <v>78</v>
      </c>
      <c r="N280" t="s">
        <v>79</v>
      </c>
      <c r="O280" t="s">
        <v>74</v>
      </c>
      <c r="P280" t="s">
        <v>74</v>
      </c>
      <c r="Q280" t="s">
        <v>74</v>
      </c>
      <c r="R280" t="s">
        <v>74</v>
      </c>
      <c r="S280" t="s">
        <v>74</v>
      </c>
      <c r="T280" t="s">
        <v>5489</v>
      </c>
      <c r="U280" t="s">
        <v>5490</v>
      </c>
      <c r="V280" t="s">
        <v>5491</v>
      </c>
      <c r="W280" t="s">
        <v>5492</v>
      </c>
      <c r="X280" t="s">
        <v>5493</v>
      </c>
      <c r="Y280" t="s">
        <v>5494</v>
      </c>
      <c r="Z280" t="s">
        <v>5495</v>
      </c>
      <c r="AA280" t="s">
        <v>74</v>
      </c>
      <c r="AB280" t="s">
        <v>74</v>
      </c>
      <c r="AC280" t="s">
        <v>5496</v>
      </c>
      <c r="AD280" t="s">
        <v>5497</v>
      </c>
      <c r="AE280" t="s">
        <v>5498</v>
      </c>
      <c r="AF280" t="s">
        <v>74</v>
      </c>
      <c r="AG280">
        <v>81</v>
      </c>
      <c r="AH280">
        <v>117</v>
      </c>
      <c r="AI280">
        <v>139</v>
      </c>
      <c r="AJ280">
        <v>4</v>
      </c>
      <c r="AK280">
        <v>55</v>
      </c>
      <c r="AL280" t="s">
        <v>144</v>
      </c>
      <c r="AM280" t="s">
        <v>145</v>
      </c>
      <c r="AN280" t="s">
        <v>146</v>
      </c>
      <c r="AO280" t="s">
        <v>1303</v>
      </c>
      <c r="AP280" t="s">
        <v>1325</v>
      </c>
      <c r="AQ280" t="s">
        <v>74</v>
      </c>
      <c r="AR280" t="s">
        <v>1304</v>
      </c>
      <c r="AS280" t="s">
        <v>1305</v>
      </c>
      <c r="AT280" t="s">
        <v>5482</v>
      </c>
      <c r="AU280">
        <v>2010</v>
      </c>
      <c r="AV280">
        <v>290</v>
      </c>
      <c r="AW280" t="s">
        <v>971</v>
      </c>
      <c r="AX280" t="s">
        <v>74</v>
      </c>
      <c r="AY280" t="s">
        <v>74</v>
      </c>
      <c r="AZ280" t="s">
        <v>74</v>
      </c>
      <c r="BA280" t="s">
        <v>74</v>
      </c>
      <c r="BB280">
        <v>319</v>
      </c>
      <c r="BC280">
        <v>330</v>
      </c>
      <c r="BD280" t="s">
        <v>74</v>
      </c>
      <c r="BE280" t="s">
        <v>5499</v>
      </c>
      <c r="BF280" t="str">
        <f>HYPERLINK("http://dx.doi.org/10.1016/j.epsl.2009.12.028","http://dx.doi.org/10.1016/j.epsl.2009.12.028")</f>
        <v>http://dx.doi.org/10.1016/j.epsl.2009.12.028</v>
      </c>
      <c r="BG280" t="s">
        <v>74</v>
      </c>
      <c r="BH280" t="s">
        <v>74</v>
      </c>
      <c r="BI280">
        <v>12</v>
      </c>
      <c r="BJ280" t="s">
        <v>507</v>
      </c>
      <c r="BK280" t="s">
        <v>102</v>
      </c>
      <c r="BL280" t="s">
        <v>507</v>
      </c>
      <c r="BM280" t="s">
        <v>5484</v>
      </c>
      <c r="BN280" t="s">
        <v>74</v>
      </c>
      <c r="BO280" t="s">
        <v>74</v>
      </c>
      <c r="BP280" t="s">
        <v>74</v>
      </c>
      <c r="BQ280" t="s">
        <v>74</v>
      </c>
      <c r="BR280" t="s">
        <v>105</v>
      </c>
      <c r="BS280" t="s">
        <v>5500</v>
      </c>
      <c r="BT280" t="str">
        <f>HYPERLINK("https%3A%2F%2Fwww.webofscience.com%2Fwos%2Fwoscc%2Ffull-record%2FWOS:000275306200009","View Full Record in Web of Science")</f>
        <v>View Full Record in Web of Science</v>
      </c>
    </row>
    <row r="281" spans="1:72" x14ac:dyDescent="0.15">
      <c r="A281" t="s">
        <v>72</v>
      </c>
      <c r="B281" t="s">
        <v>5501</v>
      </c>
      <c r="C281" t="s">
        <v>74</v>
      </c>
      <c r="D281" t="s">
        <v>74</v>
      </c>
      <c r="E281" t="s">
        <v>74</v>
      </c>
      <c r="F281" t="s">
        <v>5502</v>
      </c>
      <c r="G281" t="s">
        <v>74</v>
      </c>
      <c r="H281" t="s">
        <v>74</v>
      </c>
      <c r="I281" t="s">
        <v>5503</v>
      </c>
      <c r="J281" t="s">
        <v>1290</v>
      </c>
      <c r="K281" t="s">
        <v>74</v>
      </c>
      <c r="L281" t="s">
        <v>74</v>
      </c>
      <c r="M281" t="s">
        <v>78</v>
      </c>
      <c r="N281" t="s">
        <v>79</v>
      </c>
      <c r="O281" t="s">
        <v>74</v>
      </c>
      <c r="P281" t="s">
        <v>74</v>
      </c>
      <c r="Q281" t="s">
        <v>74</v>
      </c>
      <c r="R281" t="s">
        <v>74</v>
      </c>
      <c r="S281" t="s">
        <v>74</v>
      </c>
      <c r="T281" t="s">
        <v>5504</v>
      </c>
      <c r="U281" t="s">
        <v>5505</v>
      </c>
      <c r="V281" t="s">
        <v>5506</v>
      </c>
      <c r="W281" t="s">
        <v>5507</v>
      </c>
      <c r="X281" t="s">
        <v>5508</v>
      </c>
      <c r="Y281" t="s">
        <v>5509</v>
      </c>
      <c r="Z281" t="s">
        <v>5510</v>
      </c>
      <c r="AA281" t="s">
        <v>5511</v>
      </c>
      <c r="AB281" t="s">
        <v>5512</v>
      </c>
      <c r="AC281" t="s">
        <v>5513</v>
      </c>
      <c r="AD281" t="s">
        <v>5514</v>
      </c>
      <c r="AE281" t="s">
        <v>5515</v>
      </c>
      <c r="AF281" t="s">
        <v>74</v>
      </c>
      <c r="AG281">
        <v>97</v>
      </c>
      <c r="AH281">
        <v>80</v>
      </c>
      <c r="AI281">
        <v>83</v>
      </c>
      <c r="AJ281">
        <v>1</v>
      </c>
      <c r="AK281">
        <v>35</v>
      </c>
      <c r="AL281" t="s">
        <v>144</v>
      </c>
      <c r="AM281" t="s">
        <v>145</v>
      </c>
      <c r="AN281" t="s">
        <v>146</v>
      </c>
      <c r="AO281" t="s">
        <v>1303</v>
      </c>
      <c r="AP281" t="s">
        <v>1325</v>
      </c>
      <c r="AQ281" t="s">
        <v>74</v>
      </c>
      <c r="AR281" t="s">
        <v>1304</v>
      </c>
      <c r="AS281" t="s">
        <v>1305</v>
      </c>
      <c r="AT281" t="s">
        <v>5482</v>
      </c>
      <c r="AU281">
        <v>2010</v>
      </c>
      <c r="AV281">
        <v>290</v>
      </c>
      <c r="AW281" t="s">
        <v>971</v>
      </c>
      <c r="AX281" t="s">
        <v>74</v>
      </c>
      <c r="AY281" t="s">
        <v>74</v>
      </c>
      <c r="AZ281" t="s">
        <v>74</v>
      </c>
      <c r="BA281" t="s">
        <v>74</v>
      </c>
      <c r="BB281">
        <v>351</v>
      </c>
      <c r="BC281">
        <v>361</v>
      </c>
      <c r="BD281" t="s">
        <v>74</v>
      </c>
      <c r="BE281" t="s">
        <v>5516</v>
      </c>
      <c r="BF281" t="str">
        <f>HYPERLINK("http://dx.doi.org/10.1016/j.epsl.2009.12.031","http://dx.doi.org/10.1016/j.epsl.2009.12.031")</f>
        <v>http://dx.doi.org/10.1016/j.epsl.2009.12.031</v>
      </c>
      <c r="BG281" t="s">
        <v>74</v>
      </c>
      <c r="BH281" t="s">
        <v>74</v>
      </c>
      <c r="BI281">
        <v>11</v>
      </c>
      <c r="BJ281" t="s">
        <v>507</v>
      </c>
      <c r="BK281" t="s">
        <v>102</v>
      </c>
      <c r="BL281" t="s">
        <v>507</v>
      </c>
      <c r="BM281" t="s">
        <v>5484</v>
      </c>
      <c r="BN281" t="s">
        <v>74</v>
      </c>
      <c r="BO281" t="s">
        <v>74</v>
      </c>
      <c r="BP281" t="s">
        <v>74</v>
      </c>
      <c r="BQ281" t="s">
        <v>74</v>
      </c>
      <c r="BR281" t="s">
        <v>105</v>
      </c>
      <c r="BS281" t="s">
        <v>5517</v>
      </c>
      <c r="BT281" t="str">
        <f>HYPERLINK("https%3A%2F%2Fwww.webofscience.com%2Fwos%2Fwoscc%2Ffull-record%2FWOS:000275306200012","View Full Record in Web of Science")</f>
        <v>View Full Record in Web of Science</v>
      </c>
    </row>
    <row r="282" spans="1:72" x14ac:dyDescent="0.15">
      <c r="A282" t="s">
        <v>72</v>
      </c>
      <c r="B282" t="s">
        <v>5518</v>
      </c>
      <c r="C282" t="s">
        <v>74</v>
      </c>
      <c r="D282" t="s">
        <v>74</v>
      </c>
      <c r="E282" t="s">
        <v>74</v>
      </c>
      <c r="F282" t="s">
        <v>5519</v>
      </c>
      <c r="G282" t="s">
        <v>74</v>
      </c>
      <c r="H282" t="s">
        <v>74</v>
      </c>
      <c r="I282" t="s">
        <v>5520</v>
      </c>
      <c r="J282" t="s">
        <v>3659</v>
      </c>
      <c r="K282" t="s">
        <v>74</v>
      </c>
      <c r="L282" t="s">
        <v>74</v>
      </c>
      <c r="M282" t="s">
        <v>78</v>
      </c>
      <c r="N282" t="s">
        <v>79</v>
      </c>
      <c r="O282" t="s">
        <v>74</v>
      </c>
      <c r="P282" t="s">
        <v>74</v>
      </c>
      <c r="Q282" t="s">
        <v>74</v>
      </c>
      <c r="R282" t="s">
        <v>74</v>
      </c>
      <c r="S282" t="s">
        <v>74</v>
      </c>
      <c r="T282" t="s">
        <v>74</v>
      </c>
      <c r="U282" t="s">
        <v>5521</v>
      </c>
      <c r="V282" t="s">
        <v>5522</v>
      </c>
      <c r="W282" t="s">
        <v>5523</v>
      </c>
      <c r="X282" t="s">
        <v>5524</v>
      </c>
      <c r="Y282" t="s">
        <v>5525</v>
      </c>
      <c r="Z282" t="s">
        <v>5526</v>
      </c>
      <c r="AA282" t="s">
        <v>5527</v>
      </c>
      <c r="AB282" t="s">
        <v>5528</v>
      </c>
      <c r="AC282" t="s">
        <v>5529</v>
      </c>
      <c r="AD282" t="s">
        <v>5530</v>
      </c>
      <c r="AE282" t="s">
        <v>5531</v>
      </c>
      <c r="AF282" t="s">
        <v>74</v>
      </c>
      <c r="AG282">
        <v>27</v>
      </c>
      <c r="AH282">
        <v>21</v>
      </c>
      <c r="AI282">
        <v>21</v>
      </c>
      <c r="AJ282">
        <v>0</v>
      </c>
      <c r="AK282">
        <v>7</v>
      </c>
      <c r="AL282" t="s">
        <v>91</v>
      </c>
      <c r="AM282" t="s">
        <v>92</v>
      </c>
      <c r="AN282" t="s">
        <v>93</v>
      </c>
      <c r="AO282" t="s">
        <v>3671</v>
      </c>
      <c r="AP282" t="s">
        <v>5532</v>
      </c>
      <c r="AQ282" t="s">
        <v>74</v>
      </c>
      <c r="AR282" t="s">
        <v>3672</v>
      </c>
      <c r="AS282" t="s">
        <v>3673</v>
      </c>
      <c r="AT282" t="s">
        <v>5482</v>
      </c>
      <c r="AU282">
        <v>2010</v>
      </c>
      <c r="AV282">
        <v>37</v>
      </c>
      <c r="AW282" t="s">
        <v>74</v>
      </c>
      <c r="AX282" t="s">
        <v>74</v>
      </c>
      <c r="AY282" t="s">
        <v>74</v>
      </c>
      <c r="AZ282" t="s">
        <v>74</v>
      </c>
      <c r="BA282" t="s">
        <v>74</v>
      </c>
      <c r="BB282" t="s">
        <v>74</v>
      </c>
      <c r="BC282" t="s">
        <v>74</v>
      </c>
      <c r="BD282" t="s">
        <v>5533</v>
      </c>
      <c r="BE282" t="s">
        <v>5534</v>
      </c>
      <c r="BF282" t="str">
        <f>HYPERLINK("http://dx.doi.org/10.1029/2009GL041456","http://dx.doi.org/10.1029/2009GL041456")</f>
        <v>http://dx.doi.org/10.1029/2009GL041456</v>
      </c>
      <c r="BG282" t="s">
        <v>74</v>
      </c>
      <c r="BH282" t="s">
        <v>74</v>
      </c>
      <c r="BI282">
        <v>5</v>
      </c>
      <c r="BJ282" t="s">
        <v>913</v>
      </c>
      <c r="BK282" t="s">
        <v>102</v>
      </c>
      <c r="BL282" t="s">
        <v>914</v>
      </c>
      <c r="BM282" t="s">
        <v>5535</v>
      </c>
      <c r="BN282" t="s">
        <v>74</v>
      </c>
      <c r="BO282" t="s">
        <v>326</v>
      </c>
      <c r="BP282" t="s">
        <v>74</v>
      </c>
      <c r="BQ282" t="s">
        <v>74</v>
      </c>
      <c r="BR282" t="s">
        <v>105</v>
      </c>
      <c r="BS282" t="s">
        <v>5536</v>
      </c>
      <c r="BT282" t="str">
        <f>HYPERLINK("https%3A%2F%2Fwww.webofscience.com%2Fwos%2Fwoscc%2Ffull-record%2FWOS:000274788900001","View Full Record in Web of Science")</f>
        <v>View Full Record in Web of Science</v>
      </c>
    </row>
    <row r="283" spans="1:72" x14ac:dyDescent="0.15">
      <c r="A283" t="s">
        <v>72</v>
      </c>
      <c r="B283" t="s">
        <v>5537</v>
      </c>
      <c r="C283" t="s">
        <v>74</v>
      </c>
      <c r="D283" t="s">
        <v>74</v>
      </c>
      <c r="E283" t="s">
        <v>74</v>
      </c>
      <c r="F283" t="s">
        <v>5538</v>
      </c>
      <c r="G283" t="s">
        <v>74</v>
      </c>
      <c r="H283" t="s">
        <v>74</v>
      </c>
      <c r="I283" t="s">
        <v>5539</v>
      </c>
      <c r="J283" t="s">
        <v>1958</v>
      </c>
      <c r="K283" t="s">
        <v>74</v>
      </c>
      <c r="L283" t="s">
        <v>74</v>
      </c>
      <c r="M283" t="s">
        <v>78</v>
      </c>
      <c r="N283" t="s">
        <v>79</v>
      </c>
      <c r="O283" t="s">
        <v>74</v>
      </c>
      <c r="P283" t="s">
        <v>74</v>
      </c>
      <c r="Q283" t="s">
        <v>74</v>
      </c>
      <c r="R283" t="s">
        <v>74</v>
      </c>
      <c r="S283" t="s">
        <v>74</v>
      </c>
      <c r="T283" t="s">
        <v>5540</v>
      </c>
      <c r="U283" t="s">
        <v>5541</v>
      </c>
      <c r="V283" t="s">
        <v>5542</v>
      </c>
      <c r="W283" t="s">
        <v>5543</v>
      </c>
      <c r="X283" t="s">
        <v>5544</v>
      </c>
      <c r="Y283" t="s">
        <v>5545</v>
      </c>
      <c r="Z283" t="s">
        <v>5546</v>
      </c>
      <c r="AA283" t="s">
        <v>5547</v>
      </c>
      <c r="AB283" t="s">
        <v>5548</v>
      </c>
      <c r="AC283" t="s">
        <v>5549</v>
      </c>
      <c r="AD283" t="s">
        <v>5550</v>
      </c>
      <c r="AE283" t="s">
        <v>5551</v>
      </c>
      <c r="AF283" t="s">
        <v>74</v>
      </c>
      <c r="AG283">
        <v>26</v>
      </c>
      <c r="AH283">
        <v>12</v>
      </c>
      <c r="AI283">
        <v>13</v>
      </c>
      <c r="AJ283">
        <v>3</v>
      </c>
      <c r="AK283">
        <v>11</v>
      </c>
      <c r="AL283" t="s">
        <v>144</v>
      </c>
      <c r="AM283" t="s">
        <v>145</v>
      </c>
      <c r="AN283" t="s">
        <v>146</v>
      </c>
      <c r="AO283" t="s">
        <v>1973</v>
      </c>
      <c r="AP283" t="s">
        <v>1974</v>
      </c>
      <c r="AQ283" t="s">
        <v>74</v>
      </c>
      <c r="AR283" t="s">
        <v>1975</v>
      </c>
      <c r="AS283" t="s">
        <v>1976</v>
      </c>
      <c r="AT283" t="s">
        <v>5482</v>
      </c>
      <c r="AU283">
        <v>2010</v>
      </c>
      <c r="AV283">
        <v>80</v>
      </c>
      <c r="AW283" t="s">
        <v>1854</v>
      </c>
      <c r="AX283" t="s">
        <v>74</v>
      </c>
      <c r="AY283" t="s">
        <v>74</v>
      </c>
      <c r="AZ283" t="s">
        <v>74</v>
      </c>
      <c r="BA283" t="s">
        <v>74</v>
      </c>
      <c r="BB283">
        <v>115</v>
      </c>
      <c r="BC283">
        <v>124</v>
      </c>
      <c r="BD283" t="s">
        <v>74</v>
      </c>
      <c r="BE283" t="s">
        <v>5552</v>
      </c>
      <c r="BF283" t="str">
        <f>HYPERLINK("http://dx.doi.org/10.1016/j.jmarsys.2009.11.003","http://dx.doi.org/10.1016/j.jmarsys.2009.11.003")</f>
        <v>http://dx.doi.org/10.1016/j.jmarsys.2009.11.003</v>
      </c>
      <c r="BG283" t="s">
        <v>74</v>
      </c>
      <c r="BH283" t="s">
        <v>74</v>
      </c>
      <c r="BI283">
        <v>10</v>
      </c>
      <c r="BJ283" t="s">
        <v>1978</v>
      </c>
      <c r="BK283" t="s">
        <v>102</v>
      </c>
      <c r="BL283" t="s">
        <v>1979</v>
      </c>
      <c r="BM283" t="s">
        <v>5553</v>
      </c>
      <c r="BN283" t="s">
        <v>74</v>
      </c>
      <c r="BO283" t="s">
        <v>74</v>
      </c>
      <c r="BP283" t="s">
        <v>74</v>
      </c>
      <c r="BQ283" t="s">
        <v>74</v>
      </c>
      <c r="BR283" t="s">
        <v>105</v>
      </c>
      <c r="BS283" t="s">
        <v>5554</v>
      </c>
      <c r="BT283" t="str">
        <f>HYPERLINK("https%3A%2F%2Fwww.webofscience.com%2Fwos%2Fwoscc%2Ffull-record%2FWOS:000274985800010","View Full Record in Web of Science")</f>
        <v>View Full Record in Web of Science</v>
      </c>
    </row>
    <row r="284" spans="1:72" x14ac:dyDescent="0.15">
      <c r="A284" t="s">
        <v>72</v>
      </c>
      <c r="B284" t="s">
        <v>5555</v>
      </c>
      <c r="C284" t="s">
        <v>74</v>
      </c>
      <c r="D284" t="s">
        <v>74</v>
      </c>
      <c r="E284" t="s">
        <v>74</v>
      </c>
      <c r="F284" t="s">
        <v>5556</v>
      </c>
      <c r="G284" t="s">
        <v>74</v>
      </c>
      <c r="H284" t="s">
        <v>74</v>
      </c>
      <c r="I284" t="s">
        <v>5557</v>
      </c>
      <c r="J284" t="s">
        <v>5558</v>
      </c>
      <c r="K284" t="s">
        <v>74</v>
      </c>
      <c r="L284" t="s">
        <v>74</v>
      </c>
      <c r="M284" t="s">
        <v>78</v>
      </c>
      <c r="N284" t="s">
        <v>79</v>
      </c>
      <c r="O284" t="s">
        <v>74</v>
      </c>
      <c r="P284" t="s">
        <v>74</v>
      </c>
      <c r="Q284" t="s">
        <v>74</v>
      </c>
      <c r="R284" t="s">
        <v>74</v>
      </c>
      <c r="S284" t="s">
        <v>74</v>
      </c>
      <c r="T284" t="s">
        <v>5559</v>
      </c>
      <c r="U284" t="s">
        <v>5560</v>
      </c>
      <c r="V284" t="s">
        <v>5561</v>
      </c>
      <c r="W284" t="s">
        <v>5562</v>
      </c>
      <c r="X284" t="s">
        <v>5563</v>
      </c>
      <c r="Y284" t="s">
        <v>5564</v>
      </c>
      <c r="Z284" t="s">
        <v>5565</v>
      </c>
      <c r="AA284" t="s">
        <v>5566</v>
      </c>
      <c r="AB284" t="s">
        <v>5567</v>
      </c>
      <c r="AC284" t="s">
        <v>5568</v>
      </c>
      <c r="AD284" t="s">
        <v>5569</v>
      </c>
      <c r="AE284" t="s">
        <v>5570</v>
      </c>
      <c r="AF284" t="s">
        <v>74</v>
      </c>
      <c r="AG284">
        <v>61</v>
      </c>
      <c r="AH284">
        <v>63</v>
      </c>
      <c r="AI284">
        <v>69</v>
      </c>
      <c r="AJ284">
        <v>1</v>
      </c>
      <c r="AK284">
        <v>18</v>
      </c>
      <c r="AL284" t="s">
        <v>144</v>
      </c>
      <c r="AM284" t="s">
        <v>145</v>
      </c>
      <c r="AN284" t="s">
        <v>146</v>
      </c>
      <c r="AO284" t="s">
        <v>5571</v>
      </c>
      <c r="AP284" t="s">
        <v>5572</v>
      </c>
      <c r="AQ284" t="s">
        <v>74</v>
      </c>
      <c r="AR284" t="s">
        <v>5573</v>
      </c>
      <c r="AS284" t="s">
        <v>5574</v>
      </c>
      <c r="AT284" t="s">
        <v>5482</v>
      </c>
      <c r="AU284">
        <v>2010</v>
      </c>
      <c r="AV284">
        <v>190</v>
      </c>
      <c r="AW284" t="s">
        <v>971</v>
      </c>
      <c r="AX284" t="s">
        <v>74</v>
      </c>
      <c r="AY284" t="s">
        <v>74</v>
      </c>
      <c r="AZ284" t="s">
        <v>74</v>
      </c>
      <c r="BA284" t="s">
        <v>74</v>
      </c>
      <c r="BB284">
        <v>325</v>
      </c>
      <c r="BC284">
        <v>336</v>
      </c>
      <c r="BD284" t="s">
        <v>74</v>
      </c>
      <c r="BE284" t="s">
        <v>5575</v>
      </c>
      <c r="BF284" t="str">
        <f>HYPERLINK("http://dx.doi.org/10.1016/j.jvolgeores.2009.11.020","http://dx.doi.org/10.1016/j.jvolgeores.2009.11.020")</f>
        <v>http://dx.doi.org/10.1016/j.jvolgeores.2009.11.020</v>
      </c>
      <c r="BG284" t="s">
        <v>74</v>
      </c>
      <c r="BH284" t="s">
        <v>74</v>
      </c>
      <c r="BI284">
        <v>12</v>
      </c>
      <c r="BJ284" t="s">
        <v>913</v>
      </c>
      <c r="BK284" t="s">
        <v>102</v>
      </c>
      <c r="BL284" t="s">
        <v>914</v>
      </c>
      <c r="BM284" t="s">
        <v>5576</v>
      </c>
      <c r="BN284" t="s">
        <v>74</v>
      </c>
      <c r="BO284" t="s">
        <v>555</v>
      </c>
      <c r="BP284" t="s">
        <v>74</v>
      </c>
      <c r="BQ284" t="s">
        <v>74</v>
      </c>
      <c r="BR284" t="s">
        <v>105</v>
      </c>
      <c r="BS284" t="s">
        <v>5577</v>
      </c>
      <c r="BT284" t="str">
        <f>HYPERLINK("https%3A%2F%2Fwww.webofscience.com%2Fwos%2Fwoscc%2Ffull-record%2FWOS:000275392900006","View Full Record in Web of Science")</f>
        <v>View Full Record in Web of Science</v>
      </c>
    </row>
    <row r="285" spans="1:72" x14ac:dyDescent="0.15">
      <c r="A285" t="s">
        <v>72</v>
      </c>
      <c r="B285" t="s">
        <v>5578</v>
      </c>
      <c r="C285" t="s">
        <v>74</v>
      </c>
      <c r="D285" t="s">
        <v>74</v>
      </c>
      <c r="E285" t="s">
        <v>74</v>
      </c>
      <c r="F285" t="s">
        <v>5579</v>
      </c>
      <c r="G285" t="s">
        <v>74</v>
      </c>
      <c r="H285" t="s">
        <v>74</v>
      </c>
      <c r="I285" t="s">
        <v>5580</v>
      </c>
      <c r="J285" t="s">
        <v>5581</v>
      </c>
      <c r="K285" t="s">
        <v>74</v>
      </c>
      <c r="L285" t="s">
        <v>74</v>
      </c>
      <c r="M285" t="s">
        <v>78</v>
      </c>
      <c r="N285" t="s">
        <v>79</v>
      </c>
      <c r="O285" t="s">
        <v>74</v>
      </c>
      <c r="P285" t="s">
        <v>74</v>
      </c>
      <c r="Q285" t="s">
        <v>74</v>
      </c>
      <c r="R285" t="s">
        <v>74</v>
      </c>
      <c r="S285" t="s">
        <v>74</v>
      </c>
      <c r="T285" t="s">
        <v>5582</v>
      </c>
      <c r="U285" t="s">
        <v>5583</v>
      </c>
      <c r="V285" t="s">
        <v>5584</v>
      </c>
      <c r="W285" t="s">
        <v>5585</v>
      </c>
      <c r="X285" t="s">
        <v>5586</v>
      </c>
      <c r="Y285" t="s">
        <v>5587</v>
      </c>
      <c r="Z285" t="s">
        <v>5588</v>
      </c>
      <c r="AA285" t="s">
        <v>4405</v>
      </c>
      <c r="AB285" t="s">
        <v>5589</v>
      </c>
      <c r="AC285" t="s">
        <v>5590</v>
      </c>
      <c r="AD285" t="s">
        <v>5591</v>
      </c>
      <c r="AE285" t="s">
        <v>5592</v>
      </c>
      <c r="AF285" t="s">
        <v>74</v>
      </c>
      <c r="AG285">
        <v>19</v>
      </c>
      <c r="AH285">
        <v>20</v>
      </c>
      <c r="AI285">
        <v>23</v>
      </c>
      <c r="AJ285">
        <v>0</v>
      </c>
      <c r="AK285">
        <v>7</v>
      </c>
      <c r="AL285" t="s">
        <v>1063</v>
      </c>
      <c r="AM285" t="s">
        <v>1064</v>
      </c>
      <c r="AN285" t="s">
        <v>1065</v>
      </c>
      <c r="AO285" t="s">
        <v>5593</v>
      </c>
      <c r="AP285" t="s">
        <v>74</v>
      </c>
      <c r="AQ285" t="s">
        <v>74</v>
      </c>
      <c r="AR285" t="s">
        <v>5581</v>
      </c>
      <c r="AS285" t="s">
        <v>5594</v>
      </c>
      <c r="AT285" t="s">
        <v>5482</v>
      </c>
      <c r="AU285">
        <v>2010</v>
      </c>
      <c r="AV285">
        <v>66</v>
      </c>
      <c r="AW285">
        <v>8</v>
      </c>
      <c r="AX285" t="s">
        <v>74</v>
      </c>
      <c r="AY285" t="s">
        <v>74</v>
      </c>
      <c r="AZ285" t="s">
        <v>74</v>
      </c>
      <c r="BA285" t="s">
        <v>74</v>
      </c>
      <c r="BB285">
        <v>1557</v>
      </c>
      <c r="BC285">
        <v>1562</v>
      </c>
      <c r="BD285" t="s">
        <v>74</v>
      </c>
      <c r="BE285" t="s">
        <v>5595</v>
      </c>
      <c r="BF285" t="str">
        <f>HYPERLINK("http://dx.doi.org/10.1016/j.tet.2009.12.007","http://dx.doi.org/10.1016/j.tet.2009.12.007")</f>
        <v>http://dx.doi.org/10.1016/j.tet.2009.12.007</v>
      </c>
      <c r="BG285" t="s">
        <v>74</v>
      </c>
      <c r="BH285" t="s">
        <v>74</v>
      </c>
      <c r="BI285">
        <v>6</v>
      </c>
      <c r="BJ285" t="s">
        <v>5596</v>
      </c>
      <c r="BK285" t="s">
        <v>5597</v>
      </c>
      <c r="BL285" t="s">
        <v>2921</v>
      </c>
      <c r="BM285" t="s">
        <v>5598</v>
      </c>
      <c r="BN285" t="s">
        <v>74</v>
      </c>
      <c r="BO285" t="s">
        <v>74</v>
      </c>
      <c r="BP285" t="s">
        <v>74</v>
      </c>
      <c r="BQ285" t="s">
        <v>74</v>
      </c>
      <c r="BR285" t="s">
        <v>105</v>
      </c>
      <c r="BS285" t="s">
        <v>5599</v>
      </c>
      <c r="BT285" t="str">
        <f>HYPERLINK("https%3A%2F%2Fwww.webofscience.com%2Fwos%2Fwoscc%2Ffull-record%2FWOS:000274885700002","View Full Record in Web of Science")</f>
        <v>View Full Record in Web of Science</v>
      </c>
    </row>
    <row r="286" spans="1:72" x14ac:dyDescent="0.15">
      <c r="A286" t="s">
        <v>72</v>
      </c>
      <c r="B286" t="s">
        <v>5600</v>
      </c>
      <c r="C286" t="s">
        <v>74</v>
      </c>
      <c r="D286" t="s">
        <v>74</v>
      </c>
      <c r="E286" t="s">
        <v>74</v>
      </c>
      <c r="F286" t="s">
        <v>5601</v>
      </c>
      <c r="G286" t="s">
        <v>74</v>
      </c>
      <c r="H286" t="s">
        <v>74</v>
      </c>
      <c r="I286" t="s">
        <v>5602</v>
      </c>
      <c r="J286" t="s">
        <v>3613</v>
      </c>
      <c r="K286" t="s">
        <v>74</v>
      </c>
      <c r="L286" t="s">
        <v>74</v>
      </c>
      <c r="M286" t="s">
        <v>78</v>
      </c>
      <c r="N286" t="s">
        <v>79</v>
      </c>
      <c r="O286" t="s">
        <v>74</v>
      </c>
      <c r="P286" t="s">
        <v>74</v>
      </c>
      <c r="Q286" t="s">
        <v>74</v>
      </c>
      <c r="R286" t="s">
        <v>74</v>
      </c>
      <c r="S286" t="s">
        <v>74</v>
      </c>
      <c r="T286" t="s">
        <v>74</v>
      </c>
      <c r="U286" t="s">
        <v>5603</v>
      </c>
      <c r="V286" t="s">
        <v>5604</v>
      </c>
      <c r="W286" t="s">
        <v>5605</v>
      </c>
      <c r="X286" t="s">
        <v>5606</v>
      </c>
      <c r="Y286" t="s">
        <v>5607</v>
      </c>
      <c r="Z286" t="s">
        <v>5608</v>
      </c>
      <c r="AA286" t="s">
        <v>5609</v>
      </c>
      <c r="AB286" t="s">
        <v>5610</v>
      </c>
      <c r="AC286" t="s">
        <v>5611</v>
      </c>
      <c r="AD286" t="s">
        <v>5611</v>
      </c>
      <c r="AE286" t="s">
        <v>5612</v>
      </c>
      <c r="AF286" t="s">
        <v>74</v>
      </c>
      <c r="AG286">
        <v>27</v>
      </c>
      <c r="AH286">
        <v>156</v>
      </c>
      <c r="AI286">
        <v>176</v>
      </c>
      <c r="AJ286">
        <v>3</v>
      </c>
      <c r="AK286">
        <v>116</v>
      </c>
      <c r="AL286" t="s">
        <v>3625</v>
      </c>
      <c r="AM286" t="s">
        <v>92</v>
      </c>
      <c r="AN286" t="s">
        <v>3626</v>
      </c>
      <c r="AO286" t="s">
        <v>3627</v>
      </c>
      <c r="AP286" t="s">
        <v>74</v>
      </c>
      <c r="AQ286" t="s">
        <v>74</v>
      </c>
      <c r="AR286" t="s">
        <v>3613</v>
      </c>
      <c r="AS286" t="s">
        <v>3629</v>
      </c>
      <c r="AT286" t="s">
        <v>5613</v>
      </c>
      <c r="AU286">
        <v>2010</v>
      </c>
      <c r="AV286">
        <v>327</v>
      </c>
      <c r="AW286">
        <v>5968</v>
      </c>
      <c r="AX286" t="s">
        <v>74</v>
      </c>
      <c r="AY286" t="s">
        <v>74</v>
      </c>
      <c r="AZ286" t="s">
        <v>74</v>
      </c>
      <c r="BA286" t="s">
        <v>74</v>
      </c>
      <c r="BB286">
        <v>993</v>
      </c>
      <c r="BC286">
        <v>996</v>
      </c>
      <c r="BD286" t="s">
        <v>74</v>
      </c>
      <c r="BE286" t="s">
        <v>5614</v>
      </c>
      <c r="BF286" t="str">
        <f>HYPERLINK("http://dx.doi.org/10.1126/science.1185581","http://dx.doi.org/10.1126/science.1185581")</f>
        <v>http://dx.doi.org/10.1126/science.1185581</v>
      </c>
      <c r="BG286" t="s">
        <v>74</v>
      </c>
      <c r="BH286" t="s">
        <v>74</v>
      </c>
      <c r="BI286">
        <v>4</v>
      </c>
      <c r="BJ286" t="s">
        <v>323</v>
      </c>
      <c r="BK286" t="s">
        <v>102</v>
      </c>
      <c r="BL286" t="s">
        <v>324</v>
      </c>
      <c r="BM286" t="s">
        <v>5615</v>
      </c>
      <c r="BN286">
        <v>20167785</v>
      </c>
      <c r="BO286" t="s">
        <v>74</v>
      </c>
      <c r="BP286" t="s">
        <v>74</v>
      </c>
      <c r="BQ286" t="s">
        <v>74</v>
      </c>
      <c r="BR286" t="s">
        <v>105</v>
      </c>
      <c r="BS286" t="s">
        <v>5616</v>
      </c>
      <c r="BT286" t="str">
        <f>HYPERLINK("https%3A%2F%2Fwww.webofscience.com%2Fwos%2Fwoscc%2Ffull-record%2FWOS:000274625800039","View Full Record in Web of Science")</f>
        <v>View Full Record in Web of Science</v>
      </c>
    </row>
    <row r="287" spans="1:72" x14ac:dyDescent="0.15">
      <c r="A287" t="s">
        <v>72</v>
      </c>
      <c r="B287" t="s">
        <v>5617</v>
      </c>
      <c r="C287" t="s">
        <v>74</v>
      </c>
      <c r="D287" t="s">
        <v>74</v>
      </c>
      <c r="E287" t="s">
        <v>74</v>
      </c>
      <c r="F287" t="s">
        <v>5618</v>
      </c>
      <c r="G287" t="s">
        <v>74</v>
      </c>
      <c r="H287" t="s">
        <v>74</v>
      </c>
      <c r="I287" t="s">
        <v>5619</v>
      </c>
      <c r="J287" t="s">
        <v>3177</v>
      </c>
      <c r="K287" t="s">
        <v>74</v>
      </c>
      <c r="L287" t="s">
        <v>74</v>
      </c>
      <c r="M287" t="s">
        <v>78</v>
      </c>
      <c r="N287" t="s">
        <v>79</v>
      </c>
      <c r="O287" t="s">
        <v>74</v>
      </c>
      <c r="P287" t="s">
        <v>74</v>
      </c>
      <c r="Q287" t="s">
        <v>74</v>
      </c>
      <c r="R287" t="s">
        <v>74</v>
      </c>
      <c r="S287" t="s">
        <v>74</v>
      </c>
      <c r="T287" t="s">
        <v>5620</v>
      </c>
      <c r="U287" t="s">
        <v>5621</v>
      </c>
      <c r="V287" t="s">
        <v>5622</v>
      </c>
      <c r="W287" t="s">
        <v>5623</v>
      </c>
      <c r="X287" t="s">
        <v>5624</v>
      </c>
      <c r="Y287" t="s">
        <v>5625</v>
      </c>
      <c r="Z287" t="s">
        <v>5626</v>
      </c>
      <c r="AA287" t="s">
        <v>74</v>
      </c>
      <c r="AB287" t="s">
        <v>74</v>
      </c>
      <c r="AC287" t="s">
        <v>5627</v>
      </c>
      <c r="AD287" t="s">
        <v>5628</v>
      </c>
      <c r="AE287" t="s">
        <v>5629</v>
      </c>
      <c r="AF287" t="s">
        <v>74</v>
      </c>
      <c r="AG287">
        <v>77</v>
      </c>
      <c r="AH287">
        <v>42</v>
      </c>
      <c r="AI287">
        <v>52</v>
      </c>
      <c r="AJ287">
        <v>0</v>
      </c>
      <c r="AK287">
        <v>14</v>
      </c>
      <c r="AL287" t="s">
        <v>91</v>
      </c>
      <c r="AM287" t="s">
        <v>92</v>
      </c>
      <c r="AN287" t="s">
        <v>93</v>
      </c>
      <c r="AO287" t="s">
        <v>74</v>
      </c>
      <c r="AP287" t="s">
        <v>3190</v>
      </c>
      <c r="AQ287" t="s">
        <v>74</v>
      </c>
      <c r="AR287" t="s">
        <v>3191</v>
      </c>
      <c r="AS287" t="s">
        <v>3192</v>
      </c>
      <c r="AT287" t="s">
        <v>5630</v>
      </c>
      <c r="AU287">
        <v>2010</v>
      </c>
      <c r="AV287">
        <v>11</v>
      </c>
      <c r="AW287" t="s">
        <v>74</v>
      </c>
      <c r="AX287" t="s">
        <v>74</v>
      </c>
      <c r="AY287" t="s">
        <v>74</v>
      </c>
      <c r="AZ287" t="s">
        <v>74</v>
      </c>
      <c r="BA287" t="s">
        <v>74</v>
      </c>
      <c r="BB287" t="s">
        <v>74</v>
      </c>
      <c r="BC287" t="s">
        <v>74</v>
      </c>
      <c r="BD287" t="s">
        <v>5631</v>
      </c>
      <c r="BE287" t="s">
        <v>5632</v>
      </c>
      <c r="BF287" t="str">
        <f>HYPERLINK("http://dx.doi.org/10.1029/2009GC002992","http://dx.doi.org/10.1029/2009GC002992")</f>
        <v>http://dx.doi.org/10.1029/2009GC002992</v>
      </c>
      <c r="BG287" t="s">
        <v>74</v>
      </c>
      <c r="BH287" t="s">
        <v>74</v>
      </c>
      <c r="BI287">
        <v>18</v>
      </c>
      <c r="BJ287" t="s">
        <v>507</v>
      </c>
      <c r="BK287" t="s">
        <v>102</v>
      </c>
      <c r="BL287" t="s">
        <v>507</v>
      </c>
      <c r="BM287" t="s">
        <v>5633</v>
      </c>
      <c r="BN287" t="s">
        <v>74</v>
      </c>
      <c r="BO287" t="s">
        <v>104</v>
      </c>
      <c r="BP287" t="s">
        <v>74</v>
      </c>
      <c r="BQ287" t="s">
        <v>74</v>
      </c>
      <c r="BR287" t="s">
        <v>105</v>
      </c>
      <c r="BS287" t="s">
        <v>5634</v>
      </c>
      <c r="BT287" t="str">
        <f>HYPERLINK("https%3A%2F%2Fwww.webofscience.com%2Fwos%2Fwoscc%2Ffull-record%2FWOS:000274791100001","View Full Record in Web of Science")</f>
        <v>View Full Record in Web of Science</v>
      </c>
    </row>
    <row r="288" spans="1:72" x14ac:dyDescent="0.15">
      <c r="A288" t="s">
        <v>72</v>
      </c>
      <c r="B288" t="s">
        <v>5635</v>
      </c>
      <c r="C288" t="s">
        <v>74</v>
      </c>
      <c r="D288" t="s">
        <v>74</v>
      </c>
      <c r="E288" t="s">
        <v>74</v>
      </c>
      <c r="F288" t="s">
        <v>5636</v>
      </c>
      <c r="G288" t="s">
        <v>74</v>
      </c>
      <c r="H288" t="s">
        <v>74</v>
      </c>
      <c r="I288" t="s">
        <v>5637</v>
      </c>
      <c r="J288" t="s">
        <v>5638</v>
      </c>
      <c r="K288" t="s">
        <v>74</v>
      </c>
      <c r="L288" t="s">
        <v>74</v>
      </c>
      <c r="M288" t="s">
        <v>78</v>
      </c>
      <c r="N288" t="s">
        <v>79</v>
      </c>
      <c r="O288" t="s">
        <v>74</v>
      </c>
      <c r="P288" t="s">
        <v>74</v>
      </c>
      <c r="Q288" t="s">
        <v>74</v>
      </c>
      <c r="R288" t="s">
        <v>74</v>
      </c>
      <c r="S288" t="s">
        <v>74</v>
      </c>
      <c r="T288" t="s">
        <v>5639</v>
      </c>
      <c r="U288" t="s">
        <v>5640</v>
      </c>
      <c r="V288" t="s">
        <v>5641</v>
      </c>
      <c r="W288" t="s">
        <v>5642</v>
      </c>
      <c r="X288" t="s">
        <v>5643</v>
      </c>
      <c r="Y288" t="s">
        <v>5644</v>
      </c>
      <c r="Z288" t="s">
        <v>1221</v>
      </c>
      <c r="AA288" t="s">
        <v>1097</v>
      </c>
      <c r="AB288" t="s">
        <v>1098</v>
      </c>
      <c r="AC288" t="s">
        <v>5645</v>
      </c>
      <c r="AD288" t="s">
        <v>5646</v>
      </c>
      <c r="AE288" t="s">
        <v>5647</v>
      </c>
      <c r="AF288" t="s">
        <v>74</v>
      </c>
      <c r="AG288">
        <v>65</v>
      </c>
      <c r="AH288">
        <v>24</v>
      </c>
      <c r="AI288">
        <v>29</v>
      </c>
      <c r="AJ288">
        <v>0</v>
      </c>
      <c r="AK288">
        <v>12</v>
      </c>
      <c r="AL288" t="s">
        <v>5648</v>
      </c>
      <c r="AM288" t="s">
        <v>5649</v>
      </c>
      <c r="AN288" t="s">
        <v>5650</v>
      </c>
      <c r="AO288" t="s">
        <v>5651</v>
      </c>
      <c r="AP288" t="s">
        <v>5652</v>
      </c>
      <c r="AQ288" t="s">
        <v>74</v>
      </c>
      <c r="AR288" t="s">
        <v>5653</v>
      </c>
      <c r="AS288" t="s">
        <v>5654</v>
      </c>
      <c r="AT288" t="s">
        <v>5655</v>
      </c>
      <c r="AU288">
        <v>2010</v>
      </c>
      <c r="AV288">
        <v>88</v>
      </c>
      <c r="AW288">
        <v>3</v>
      </c>
      <c r="AX288" t="s">
        <v>74</v>
      </c>
      <c r="AY288" t="s">
        <v>74</v>
      </c>
      <c r="AZ288" t="s">
        <v>74</v>
      </c>
      <c r="BA288" t="s">
        <v>74</v>
      </c>
      <c r="BB288">
        <v>249</v>
      </c>
      <c r="BC288">
        <v>266</v>
      </c>
      <c r="BD288" t="s">
        <v>74</v>
      </c>
      <c r="BE288" t="s">
        <v>5656</v>
      </c>
      <c r="BF288" t="str">
        <f>HYPERLINK("http://dx.doi.org/10.3354/dao02155","http://dx.doi.org/10.3354/dao02155")</f>
        <v>http://dx.doi.org/10.3354/dao02155</v>
      </c>
      <c r="BG288" t="s">
        <v>74</v>
      </c>
      <c r="BH288" t="s">
        <v>74</v>
      </c>
      <c r="BI288">
        <v>18</v>
      </c>
      <c r="BJ288" t="s">
        <v>5657</v>
      </c>
      <c r="BK288" t="s">
        <v>102</v>
      </c>
      <c r="BL288" t="s">
        <v>5657</v>
      </c>
      <c r="BM288" t="s">
        <v>5658</v>
      </c>
      <c r="BN288">
        <v>20377014</v>
      </c>
      <c r="BO288" t="s">
        <v>104</v>
      </c>
      <c r="BP288" t="s">
        <v>74</v>
      </c>
      <c r="BQ288" t="s">
        <v>74</v>
      </c>
      <c r="BR288" t="s">
        <v>105</v>
      </c>
      <c r="BS288" t="s">
        <v>5659</v>
      </c>
      <c r="BT288" t="str">
        <f>HYPERLINK("https%3A%2F%2Fwww.webofscience.com%2Fwos%2Fwoscc%2Ffull-record%2FWOS:000275582400008","View Full Record in Web of Science")</f>
        <v>View Full Record in Web of Science</v>
      </c>
    </row>
    <row r="289" spans="1:72" x14ac:dyDescent="0.15">
      <c r="A289" t="s">
        <v>72</v>
      </c>
      <c r="B289" t="s">
        <v>5660</v>
      </c>
      <c r="C289" t="s">
        <v>74</v>
      </c>
      <c r="D289" t="s">
        <v>74</v>
      </c>
      <c r="E289" t="s">
        <v>74</v>
      </c>
      <c r="F289" t="s">
        <v>5661</v>
      </c>
      <c r="G289" t="s">
        <v>74</v>
      </c>
      <c r="H289" t="s">
        <v>74</v>
      </c>
      <c r="I289" t="s">
        <v>5662</v>
      </c>
      <c r="J289" t="s">
        <v>460</v>
      </c>
      <c r="K289" t="s">
        <v>74</v>
      </c>
      <c r="L289" t="s">
        <v>74</v>
      </c>
      <c r="M289" t="s">
        <v>78</v>
      </c>
      <c r="N289" t="s">
        <v>79</v>
      </c>
      <c r="O289" t="s">
        <v>74</v>
      </c>
      <c r="P289" t="s">
        <v>74</v>
      </c>
      <c r="Q289" t="s">
        <v>74</v>
      </c>
      <c r="R289" t="s">
        <v>74</v>
      </c>
      <c r="S289" t="s">
        <v>74</v>
      </c>
      <c r="T289" t="s">
        <v>74</v>
      </c>
      <c r="U289" t="s">
        <v>5663</v>
      </c>
      <c r="V289" t="s">
        <v>5664</v>
      </c>
      <c r="W289" t="s">
        <v>5665</v>
      </c>
      <c r="X289" t="s">
        <v>5666</v>
      </c>
      <c r="Y289" t="s">
        <v>5667</v>
      </c>
      <c r="Z289" t="s">
        <v>5668</v>
      </c>
      <c r="AA289" t="s">
        <v>5669</v>
      </c>
      <c r="AB289" t="s">
        <v>5670</v>
      </c>
      <c r="AC289" t="s">
        <v>5671</v>
      </c>
      <c r="AD289" t="s">
        <v>5672</v>
      </c>
      <c r="AE289" t="s">
        <v>5673</v>
      </c>
      <c r="AF289" t="s">
        <v>74</v>
      </c>
      <c r="AG289">
        <v>18</v>
      </c>
      <c r="AH289">
        <v>3</v>
      </c>
      <c r="AI289">
        <v>3</v>
      </c>
      <c r="AJ289">
        <v>0</v>
      </c>
      <c r="AK289">
        <v>2</v>
      </c>
      <c r="AL289" t="s">
        <v>91</v>
      </c>
      <c r="AM289" t="s">
        <v>92</v>
      </c>
      <c r="AN289" t="s">
        <v>93</v>
      </c>
      <c r="AO289" t="s">
        <v>471</v>
      </c>
      <c r="AP289" t="s">
        <v>472</v>
      </c>
      <c r="AQ289" t="s">
        <v>74</v>
      </c>
      <c r="AR289" t="s">
        <v>473</v>
      </c>
      <c r="AS289" t="s">
        <v>474</v>
      </c>
      <c r="AT289" t="s">
        <v>5655</v>
      </c>
      <c r="AU289">
        <v>2010</v>
      </c>
      <c r="AV289">
        <v>115</v>
      </c>
      <c r="AW289" t="s">
        <v>74</v>
      </c>
      <c r="AX289" t="s">
        <v>74</v>
      </c>
      <c r="AY289" t="s">
        <v>74</v>
      </c>
      <c r="AZ289" t="s">
        <v>74</v>
      </c>
      <c r="BA289" t="s">
        <v>74</v>
      </c>
      <c r="BB289" t="s">
        <v>74</v>
      </c>
      <c r="BC289" t="s">
        <v>74</v>
      </c>
      <c r="BD289" t="s">
        <v>5674</v>
      </c>
      <c r="BE289" t="s">
        <v>5675</v>
      </c>
      <c r="BF289" t="str">
        <f>HYPERLINK("http://dx.doi.org/10.1029/2009JA014636","http://dx.doi.org/10.1029/2009JA014636")</f>
        <v>http://dx.doi.org/10.1029/2009JA014636</v>
      </c>
      <c r="BG289" t="s">
        <v>74</v>
      </c>
      <c r="BH289" t="s">
        <v>74</v>
      </c>
      <c r="BI289">
        <v>10</v>
      </c>
      <c r="BJ289" t="s">
        <v>478</v>
      </c>
      <c r="BK289" t="s">
        <v>102</v>
      </c>
      <c r="BL289" t="s">
        <v>478</v>
      </c>
      <c r="BM289" t="s">
        <v>5676</v>
      </c>
      <c r="BN289" t="s">
        <v>74</v>
      </c>
      <c r="BO289" t="s">
        <v>5677</v>
      </c>
      <c r="BP289" t="s">
        <v>74</v>
      </c>
      <c r="BQ289" t="s">
        <v>74</v>
      </c>
      <c r="BR289" t="s">
        <v>105</v>
      </c>
      <c r="BS289" t="s">
        <v>5678</v>
      </c>
      <c r="BT289" t="str">
        <f>HYPERLINK("https%3A%2F%2Fwww.webofscience.com%2Fwos%2Fwoscc%2Ffull-record%2FWOS:000274791400001","View Full Record in Web of Science")</f>
        <v>View Full Record in Web of Science</v>
      </c>
    </row>
    <row r="290" spans="1:72" x14ac:dyDescent="0.15">
      <c r="A290" t="s">
        <v>72</v>
      </c>
      <c r="B290" t="s">
        <v>5679</v>
      </c>
      <c r="C290" t="s">
        <v>74</v>
      </c>
      <c r="D290" t="s">
        <v>74</v>
      </c>
      <c r="E290" t="s">
        <v>74</v>
      </c>
      <c r="F290" t="s">
        <v>5680</v>
      </c>
      <c r="G290" t="s">
        <v>74</v>
      </c>
      <c r="H290" t="s">
        <v>74</v>
      </c>
      <c r="I290" t="s">
        <v>5681</v>
      </c>
      <c r="J290" t="s">
        <v>5682</v>
      </c>
      <c r="K290" t="s">
        <v>74</v>
      </c>
      <c r="L290" t="s">
        <v>74</v>
      </c>
      <c r="M290" t="s">
        <v>78</v>
      </c>
      <c r="N290" t="s">
        <v>79</v>
      </c>
      <c r="O290" t="s">
        <v>74</v>
      </c>
      <c r="P290" t="s">
        <v>74</v>
      </c>
      <c r="Q290" t="s">
        <v>74</v>
      </c>
      <c r="R290" t="s">
        <v>74</v>
      </c>
      <c r="S290" t="s">
        <v>74</v>
      </c>
      <c r="T290" t="s">
        <v>5683</v>
      </c>
      <c r="U290" t="s">
        <v>5684</v>
      </c>
      <c r="V290" t="s">
        <v>5685</v>
      </c>
      <c r="W290" t="s">
        <v>5686</v>
      </c>
      <c r="X290" t="s">
        <v>5687</v>
      </c>
      <c r="Y290" t="s">
        <v>5688</v>
      </c>
      <c r="Z290" t="s">
        <v>5689</v>
      </c>
      <c r="AA290" t="s">
        <v>5690</v>
      </c>
      <c r="AB290" t="s">
        <v>5691</v>
      </c>
      <c r="AC290" t="s">
        <v>5692</v>
      </c>
      <c r="AD290" t="s">
        <v>5693</v>
      </c>
      <c r="AE290" t="s">
        <v>5694</v>
      </c>
      <c r="AF290" t="s">
        <v>74</v>
      </c>
      <c r="AG290">
        <v>62</v>
      </c>
      <c r="AH290">
        <v>45</v>
      </c>
      <c r="AI290">
        <v>54</v>
      </c>
      <c r="AJ290">
        <v>2</v>
      </c>
      <c r="AK290">
        <v>38</v>
      </c>
      <c r="AL290" t="s">
        <v>991</v>
      </c>
      <c r="AM290" t="s">
        <v>992</v>
      </c>
      <c r="AN290" t="s">
        <v>993</v>
      </c>
      <c r="AO290" t="s">
        <v>5695</v>
      </c>
      <c r="AP290" t="s">
        <v>5696</v>
      </c>
      <c r="AQ290" t="s">
        <v>74</v>
      </c>
      <c r="AR290" t="s">
        <v>5697</v>
      </c>
      <c r="AS290" t="s">
        <v>5698</v>
      </c>
      <c r="AT290" t="s">
        <v>5699</v>
      </c>
      <c r="AU290">
        <v>2010</v>
      </c>
      <c r="AV290">
        <v>24</v>
      </c>
      <c r="AW290">
        <v>4</v>
      </c>
      <c r="AX290" t="s">
        <v>74</v>
      </c>
      <c r="AY290" t="s">
        <v>74</v>
      </c>
      <c r="AZ290" t="s">
        <v>74</v>
      </c>
      <c r="BA290" t="s">
        <v>74</v>
      </c>
      <c r="BB290">
        <v>517</v>
      </c>
      <c r="BC290">
        <v>523</v>
      </c>
      <c r="BD290" t="s">
        <v>74</v>
      </c>
      <c r="BE290" t="s">
        <v>5700</v>
      </c>
      <c r="BF290" t="str">
        <f>HYPERLINK("http://dx.doi.org/10.1002/hyp.7580","http://dx.doi.org/10.1002/hyp.7580")</f>
        <v>http://dx.doi.org/10.1002/hyp.7580</v>
      </c>
      <c r="BG290" t="s">
        <v>74</v>
      </c>
      <c r="BH290" t="s">
        <v>74</v>
      </c>
      <c r="BI290">
        <v>7</v>
      </c>
      <c r="BJ290" t="s">
        <v>5701</v>
      </c>
      <c r="BK290" t="s">
        <v>102</v>
      </c>
      <c r="BL290" t="s">
        <v>5701</v>
      </c>
      <c r="BM290" t="s">
        <v>5702</v>
      </c>
      <c r="BN290" t="s">
        <v>74</v>
      </c>
      <c r="BO290" t="s">
        <v>74</v>
      </c>
      <c r="BP290" t="s">
        <v>74</v>
      </c>
      <c r="BQ290" t="s">
        <v>74</v>
      </c>
      <c r="BR290" t="s">
        <v>105</v>
      </c>
      <c r="BS290" t="s">
        <v>5703</v>
      </c>
      <c r="BT290" t="str">
        <f>HYPERLINK("https%3A%2F%2Fwww.webofscience.com%2Fwos%2Fwoscc%2Ffull-record%2FWOS:000274048400011","View Full Record in Web of Science")</f>
        <v>View Full Record in Web of Science</v>
      </c>
    </row>
    <row r="291" spans="1:72" x14ac:dyDescent="0.15">
      <c r="A291" t="s">
        <v>72</v>
      </c>
      <c r="B291" t="s">
        <v>5704</v>
      </c>
      <c r="C291" t="s">
        <v>74</v>
      </c>
      <c r="D291" t="s">
        <v>74</v>
      </c>
      <c r="E291" t="s">
        <v>74</v>
      </c>
      <c r="F291" t="s">
        <v>5705</v>
      </c>
      <c r="G291" t="s">
        <v>74</v>
      </c>
      <c r="H291" t="s">
        <v>74</v>
      </c>
      <c r="I291" t="s">
        <v>5706</v>
      </c>
      <c r="J291" t="s">
        <v>3382</v>
      </c>
      <c r="K291" t="s">
        <v>74</v>
      </c>
      <c r="L291" t="s">
        <v>74</v>
      </c>
      <c r="M291" t="s">
        <v>78</v>
      </c>
      <c r="N291" t="s">
        <v>79</v>
      </c>
      <c r="O291" t="s">
        <v>74</v>
      </c>
      <c r="P291" t="s">
        <v>74</v>
      </c>
      <c r="Q291" t="s">
        <v>74</v>
      </c>
      <c r="R291" t="s">
        <v>74</v>
      </c>
      <c r="S291" t="s">
        <v>74</v>
      </c>
      <c r="T291" t="s">
        <v>5707</v>
      </c>
      <c r="U291" t="s">
        <v>5708</v>
      </c>
      <c r="V291" t="s">
        <v>5709</v>
      </c>
      <c r="W291" t="s">
        <v>5710</v>
      </c>
      <c r="X291" t="s">
        <v>5711</v>
      </c>
      <c r="Y291" t="s">
        <v>5712</v>
      </c>
      <c r="Z291" t="s">
        <v>5713</v>
      </c>
      <c r="AA291" t="s">
        <v>5714</v>
      </c>
      <c r="AB291" t="s">
        <v>5715</v>
      </c>
      <c r="AC291" t="s">
        <v>5716</v>
      </c>
      <c r="AD291" t="s">
        <v>5717</v>
      </c>
      <c r="AE291" t="s">
        <v>5718</v>
      </c>
      <c r="AF291" t="s">
        <v>74</v>
      </c>
      <c r="AG291">
        <v>34</v>
      </c>
      <c r="AH291">
        <v>16</v>
      </c>
      <c r="AI291">
        <v>17</v>
      </c>
      <c r="AJ291">
        <v>0</v>
      </c>
      <c r="AK291">
        <v>30</v>
      </c>
      <c r="AL291" t="s">
        <v>5719</v>
      </c>
      <c r="AM291" t="s">
        <v>1896</v>
      </c>
      <c r="AN291" t="s">
        <v>5720</v>
      </c>
      <c r="AO291" t="s">
        <v>3396</v>
      </c>
      <c r="AP291" t="s">
        <v>74</v>
      </c>
      <c r="AQ291" t="s">
        <v>74</v>
      </c>
      <c r="AR291" t="s">
        <v>3398</v>
      </c>
      <c r="AS291" t="s">
        <v>3399</v>
      </c>
      <c r="AT291" t="s">
        <v>5699</v>
      </c>
      <c r="AU291">
        <v>2010</v>
      </c>
      <c r="AV291">
        <v>213</v>
      </c>
      <c r="AW291">
        <v>4</v>
      </c>
      <c r="AX291" t="s">
        <v>74</v>
      </c>
      <c r="AY291" t="s">
        <v>74</v>
      </c>
      <c r="AZ291" t="s">
        <v>74</v>
      </c>
      <c r="BA291" t="s">
        <v>74</v>
      </c>
      <c r="BB291">
        <v>558</v>
      </c>
      <c r="BC291">
        <v>563</v>
      </c>
      <c r="BD291" t="s">
        <v>74</v>
      </c>
      <c r="BE291" t="s">
        <v>5721</v>
      </c>
      <c r="BF291" t="str">
        <f>HYPERLINK("http://dx.doi.org/10.1242/jeb.032979","http://dx.doi.org/10.1242/jeb.032979")</f>
        <v>http://dx.doi.org/10.1242/jeb.032979</v>
      </c>
      <c r="BG291" t="s">
        <v>74</v>
      </c>
      <c r="BH291" t="s">
        <v>74</v>
      </c>
      <c r="BI291">
        <v>6</v>
      </c>
      <c r="BJ291" t="s">
        <v>3402</v>
      </c>
      <c r="BK291" t="s">
        <v>102</v>
      </c>
      <c r="BL291" t="s">
        <v>3403</v>
      </c>
      <c r="BM291" t="s">
        <v>5722</v>
      </c>
      <c r="BN291">
        <v>20118306</v>
      </c>
      <c r="BO291" t="s">
        <v>104</v>
      </c>
      <c r="BP291" t="s">
        <v>74</v>
      </c>
      <c r="BQ291" t="s">
        <v>74</v>
      </c>
      <c r="BR291" t="s">
        <v>105</v>
      </c>
      <c r="BS291" t="s">
        <v>5723</v>
      </c>
      <c r="BT291" t="str">
        <f>HYPERLINK("https%3A%2F%2Fwww.webofscience.com%2Fwos%2Fwoscc%2Ffull-record%2FWOS:000274152400012","View Full Record in Web of Science")</f>
        <v>View Full Record in Web of Science</v>
      </c>
    </row>
    <row r="292" spans="1:72" x14ac:dyDescent="0.15">
      <c r="A292" t="s">
        <v>72</v>
      </c>
      <c r="B292" t="s">
        <v>5724</v>
      </c>
      <c r="C292" t="s">
        <v>74</v>
      </c>
      <c r="D292" t="s">
        <v>74</v>
      </c>
      <c r="E292" t="s">
        <v>74</v>
      </c>
      <c r="F292" t="s">
        <v>5725</v>
      </c>
      <c r="G292" t="s">
        <v>74</v>
      </c>
      <c r="H292" t="s">
        <v>74</v>
      </c>
      <c r="I292" t="s">
        <v>5726</v>
      </c>
      <c r="J292" t="s">
        <v>135</v>
      </c>
      <c r="K292" t="s">
        <v>74</v>
      </c>
      <c r="L292" t="s">
        <v>74</v>
      </c>
      <c r="M292" t="s">
        <v>78</v>
      </c>
      <c r="N292" t="s">
        <v>79</v>
      </c>
      <c r="O292" t="s">
        <v>74</v>
      </c>
      <c r="P292" t="s">
        <v>74</v>
      </c>
      <c r="Q292" t="s">
        <v>74</v>
      </c>
      <c r="R292" t="s">
        <v>74</v>
      </c>
      <c r="S292" t="s">
        <v>74</v>
      </c>
      <c r="T292" t="s">
        <v>5727</v>
      </c>
      <c r="U292" t="s">
        <v>5728</v>
      </c>
      <c r="V292" t="s">
        <v>5729</v>
      </c>
      <c r="W292" t="s">
        <v>5730</v>
      </c>
      <c r="X292" t="s">
        <v>5731</v>
      </c>
      <c r="Y292" t="s">
        <v>5732</v>
      </c>
      <c r="Z292" t="s">
        <v>5733</v>
      </c>
      <c r="AA292" t="s">
        <v>74</v>
      </c>
      <c r="AB292" t="s">
        <v>5734</v>
      </c>
      <c r="AC292" t="s">
        <v>5735</v>
      </c>
      <c r="AD292" t="s">
        <v>5735</v>
      </c>
      <c r="AE292" t="s">
        <v>5736</v>
      </c>
      <c r="AF292" t="s">
        <v>74</v>
      </c>
      <c r="AG292">
        <v>62</v>
      </c>
      <c r="AH292">
        <v>5</v>
      </c>
      <c r="AI292">
        <v>5</v>
      </c>
      <c r="AJ292">
        <v>0</v>
      </c>
      <c r="AK292">
        <v>6</v>
      </c>
      <c r="AL292" t="s">
        <v>173</v>
      </c>
      <c r="AM292" t="s">
        <v>145</v>
      </c>
      <c r="AN292" t="s">
        <v>174</v>
      </c>
      <c r="AO292" t="s">
        <v>147</v>
      </c>
      <c r="AP292" t="s">
        <v>74</v>
      </c>
      <c r="AQ292" t="s">
        <v>74</v>
      </c>
      <c r="AR292" t="s">
        <v>149</v>
      </c>
      <c r="AS292" t="s">
        <v>150</v>
      </c>
      <c r="AT292" t="s">
        <v>5699</v>
      </c>
      <c r="AU292">
        <v>2010</v>
      </c>
      <c r="AV292">
        <v>269</v>
      </c>
      <c r="AW292" t="s">
        <v>1854</v>
      </c>
      <c r="AX292" t="s">
        <v>74</v>
      </c>
      <c r="AY292" t="s">
        <v>74</v>
      </c>
      <c r="AZ292" t="s">
        <v>74</v>
      </c>
      <c r="BA292" t="s">
        <v>74</v>
      </c>
      <c r="BB292">
        <v>1</v>
      </c>
      <c r="BC292">
        <v>17</v>
      </c>
      <c r="BD292" t="s">
        <v>74</v>
      </c>
      <c r="BE292" t="s">
        <v>5737</v>
      </c>
      <c r="BF292" t="str">
        <f>HYPERLINK("http://dx.doi.org/10.1016/j.margeo.2009.12.001","http://dx.doi.org/10.1016/j.margeo.2009.12.001")</f>
        <v>http://dx.doi.org/10.1016/j.margeo.2009.12.001</v>
      </c>
      <c r="BG292" t="s">
        <v>74</v>
      </c>
      <c r="BH292" t="s">
        <v>74</v>
      </c>
      <c r="BI292">
        <v>17</v>
      </c>
      <c r="BJ292" t="s">
        <v>154</v>
      </c>
      <c r="BK292" t="s">
        <v>102</v>
      </c>
      <c r="BL292" t="s">
        <v>155</v>
      </c>
      <c r="BM292" t="s">
        <v>5738</v>
      </c>
      <c r="BN292" t="s">
        <v>74</v>
      </c>
      <c r="BO292" t="s">
        <v>74</v>
      </c>
      <c r="BP292" t="s">
        <v>74</v>
      </c>
      <c r="BQ292" t="s">
        <v>74</v>
      </c>
      <c r="BR292" t="s">
        <v>105</v>
      </c>
      <c r="BS292" t="s">
        <v>5739</v>
      </c>
      <c r="BT292" t="str">
        <f>HYPERLINK("https%3A%2F%2Fwww.webofscience.com%2Fwos%2Fwoscc%2Ffull-record%2FWOS:000274874100001","View Full Record in Web of Science")</f>
        <v>View Full Record in Web of Science</v>
      </c>
    </row>
    <row r="293" spans="1:72" x14ac:dyDescent="0.15">
      <c r="A293" t="s">
        <v>72</v>
      </c>
      <c r="B293" t="s">
        <v>5740</v>
      </c>
      <c r="C293" t="s">
        <v>74</v>
      </c>
      <c r="D293" t="s">
        <v>74</v>
      </c>
      <c r="E293" t="s">
        <v>74</v>
      </c>
      <c r="F293" t="s">
        <v>5741</v>
      </c>
      <c r="G293" t="s">
        <v>74</v>
      </c>
      <c r="H293" t="s">
        <v>74</v>
      </c>
      <c r="I293" t="s">
        <v>5742</v>
      </c>
      <c r="J293" t="s">
        <v>211</v>
      </c>
      <c r="K293" t="s">
        <v>74</v>
      </c>
      <c r="L293" t="s">
        <v>74</v>
      </c>
      <c r="M293" t="s">
        <v>78</v>
      </c>
      <c r="N293" t="s">
        <v>79</v>
      </c>
      <c r="O293" t="s">
        <v>74</v>
      </c>
      <c r="P293" t="s">
        <v>74</v>
      </c>
      <c r="Q293" t="s">
        <v>74</v>
      </c>
      <c r="R293" t="s">
        <v>74</v>
      </c>
      <c r="S293" t="s">
        <v>74</v>
      </c>
      <c r="T293" t="s">
        <v>5743</v>
      </c>
      <c r="U293" t="s">
        <v>5744</v>
      </c>
      <c r="V293" t="s">
        <v>5745</v>
      </c>
      <c r="W293" t="s">
        <v>5746</v>
      </c>
      <c r="X293" t="s">
        <v>5747</v>
      </c>
      <c r="Y293" t="s">
        <v>5748</v>
      </c>
      <c r="Z293" t="s">
        <v>5749</v>
      </c>
      <c r="AA293" t="s">
        <v>5750</v>
      </c>
      <c r="AB293" t="s">
        <v>5751</v>
      </c>
      <c r="AC293" t="s">
        <v>5752</v>
      </c>
      <c r="AD293" t="s">
        <v>5753</v>
      </c>
      <c r="AE293" t="s">
        <v>5754</v>
      </c>
      <c r="AF293" t="s">
        <v>74</v>
      </c>
      <c r="AG293">
        <v>25</v>
      </c>
      <c r="AH293">
        <v>18</v>
      </c>
      <c r="AI293">
        <v>19</v>
      </c>
      <c r="AJ293">
        <v>0</v>
      </c>
      <c r="AK293">
        <v>22</v>
      </c>
      <c r="AL293" t="s">
        <v>224</v>
      </c>
      <c r="AM293" t="s">
        <v>225</v>
      </c>
      <c r="AN293" t="s">
        <v>5755</v>
      </c>
      <c r="AO293" t="s">
        <v>227</v>
      </c>
      <c r="AP293" t="s">
        <v>228</v>
      </c>
      <c r="AQ293" t="s">
        <v>74</v>
      </c>
      <c r="AR293" t="s">
        <v>229</v>
      </c>
      <c r="AS293" t="s">
        <v>230</v>
      </c>
      <c r="AT293" t="s">
        <v>5699</v>
      </c>
      <c r="AU293">
        <v>2010</v>
      </c>
      <c r="AV293">
        <v>114</v>
      </c>
      <c r="AW293">
        <v>2</v>
      </c>
      <c r="AX293" t="s">
        <v>74</v>
      </c>
      <c r="AY293" t="s">
        <v>74</v>
      </c>
      <c r="AZ293" t="s">
        <v>74</v>
      </c>
      <c r="BA293" t="s">
        <v>74</v>
      </c>
      <c r="BB293">
        <v>385</v>
      </c>
      <c r="BC293">
        <v>391</v>
      </c>
      <c r="BD293" t="s">
        <v>74</v>
      </c>
      <c r="BE293" t="s">
        <v>5756</v>
      </c>
      <c r="BF293" t="str">
        <f>HYPERLINK("http://dx.doi.org/10.1016/j.rse.2009.09.009","http://dx.doi.org/10.1016/j.rse.2009.09.009")</f>
        <v>http://dx.doi.org/10.1016/j.rse.2009.09.009</v>
      </c>
      <c r="BG293" t="s">
        <v>74</v>
      </c>
      <c r="BH293" t="s">
        <v>74</v>
      </c>
      <c r="BI293">
        <v>7</v>
      </c>
      <c r="BJ293" t="s">
        <v>232</v>
      </c>
      <c r="BK293" t="s">
        <v>102</v>
      </c>
      <c r="BL293" t="s">
        <v>233</v>
      </c>
      <c r="BM293" t="s">
        <v>5757</v>
      </c>
      <c r="BN293" t="s">
        <v>74</v>
      </c>
      <c r="BO293" t="s">
        <v>74</v>
      </c>
      <c r="BP293" t="s">
        <v>74</v>
      </c>
      <c r="BQ293" t="s">
        <v>74</v>
      </c>
      <c r="BR293" t="s">
        <v>105</v>
      </c>
      <c r="BS293" t="s">
        <v>5758</v>
      </c>
      <c r="BT293" t="str">
        <f>HYPERLINK("https%3A%2F%2Fwww.webofscience.com%2Fwos%2Fwoscc%2Ffull-record%2FWOS:000274370400013","View Full Record in Web of Science")</f>
        <v>View Full Record in Web of Science</v>
      </c>
    </row>
    <row r="294" spans="1:72" x14ac:dyDescent="0.15">
      <c r="A294" t="s">
        <v>72</v>
      </c>
      <c r="B294" t="s">
        <v>5759</v>
      </c>
      <c r="C294" t="s">
        <v>74</v>
      </c>
      <c r="D294" t="s">
        <v>74</v>
      </c>
      <c r="E294" t="s">
        <v>74</v>
      </c>
      <c r="F294" t="s">
        <v>5760</v>
      </c>
      <c r="G294" t="s">
        <v>74</v>
      </c>
      <c r="H294" t="s">
        <v>74</v>
      </c>
      <c r="I294" t="s">
        <v>5761</v>
      </c>
      <c r="J294" t="s">
        <v>77</v>
      </c>
      <c r="K294" t="s">
        <v>74</v>
      </c>
      <c r="L294" t="s">
        <v>74</v>
      </c>
      <c r="M294" t="s">
        <v>78</v>
      </c>
      <c r="N294" t="s">
        <v>79</v>
      </c>
      <c r="O294" t="s">
        <v>74</v>
      </c>
      <c r="P294" t="s">
        <v>74</v>
      </c>
      <c r="Q294" t="s">
        <v>74</v>
      </c>
      <c r="R294" t="s">
        <v>74</v>
      </c>
      <c r="S294" t="s">
        <v>74</v>
      </c>
      <c r="T294" t="s">
        <v>74</v>
      </c>
      <c r="U294" t="s">
        <v>5762</v>
      </c>
      <c r="V294" t="s">
        <v>5763</v>
      </c>
      <c r="W294" t="s">
        <v>5764</v>
      </c>
      <c r="X294" t="s">
        <v>5765</v>
      </c>
      <c r="Y294" t="s">
        <v>5766</v>
      </c>
      <c r="Z294" t="s">
        <v>5767</v>
      </c>
      <c r="AA294" t="s">
        <v>5768</v>
      </c>
      <c r="AB294" t="s">
        <v>5769</v>
      </c>
      <c r="AC294" t="s">
        <v>5770</v>
      </c>
      <c r="AD294" t="s">
        <v>5771</v>
      </c>
      <c r="AE294" t="s">
        <v>5772</v>
      </c>
      <c r="AF294" t="s">
        <v>74</v>
      </c>
      <c r="AG294">
        <v>44</v>
      </c>
      <c r="AH294">
        <v>69</v>
      </c>
      <c r="AI294">
        <v>87</v>
      </c>
      <c r="AJ294">
        <v>3</v>
      </c>
      <c r="AK294">
        <v>30</v>
      </c>
      <c r="AL294" t="s">
        <v>91</v>
      </c>
      <c r="AM294" t="s">
        <v>92</v>
      </c>
      <c r="AN294" t="s">
        <v>93</v>
      </c>
      <c r="AO294" t="s">
        <v>94</v>
      </c>
      <c r="AP294" t="s">
        <v>95</v>
      </c>
      <c r="AQ294" t="s">
        <v>74</v>
      </c>
      <c r="AR294" t="s">
        <v>96</v>
      </c>
      <c r="AS294" t="s">
        <v>97</v>
      </c>
      <c r="AT294" t="s">
        <v>5773</v>
      </c>
      <c r="AU294">
        <v>2010</v>
      </c>
      <c r="AV294">
        <v>115</v>
      </c>
      <c r="AW294" t="s">
        <v>74</v>
      </c>
      <c r="AX294" t="s">
        <v>74</v>
      </c>
      <c r="AY294" t="s">
        <v>74</v>
      </c>
      <c r="AZ294" t="s">
        <v>74</v>
      </c>
      <c r="BA294" t="s">
        <v>74</v>
      </c>
      <c r="BB294" t="s">
        <v>74</v>
      </c>
      <c r="BC294" t="s">
        <v>74</v>
      </c>
      <c r="BD294" t="s">
        <v>5774</v>
      </c>
      <c r="BE294" t="s">
        <v>5775</v>
      </c>
      <c r="BF294" t="str">
        <f>HYPERLINK("http://dx.doi.org/10.1029/2008JC005223","http://dx.doi.org/10.1029/2008JC005223")</f>
        <v>http://dx.doi.org/10.1029/2008JC005223</v>
      </c>
      <c r="BG294" t="s">
        <v>74</v>
      </c>
      <c r="BH294" t="s">
        <v>74</v>
      </c>
      <c r="BI294">
        <v>15</v>
      </c>
      <c r="BJ294" t="s">
        <v>101</v>
      </c>
      <c r="BK294" t="s">
        <v>102</v>
      </c>
      <c r="BL294" t="s">
        <v>101</v>
      </c>
      <c r="BM294" t="s">
        <v>5776</v>
      </c>
      <c r="BN294" t="s">
        <v>74</v>
      </c>
      <c r="BO294" t="s">
        <v>104</v>
      </c>
      <c r="BP294" t="s">
        <v>74</v>
      </c>
      <c r="BQ294" t="s">
        <v>74</v>
      </c>
      <c r="BR294" t="s">
        <v>105</v>
      </c>
      <c r="BS294" t="s">
        <v>5777</v>
      </c>
      <c r="BT294" t="str">
        <f>HYPERLINK("https%3A%2F%2Fwww.webofscience.com%2Fwos%2Fwoscc%2Ffull-record%2FWOS:000274358100001","View Full Record in Web of Science")</f>
        <v>View Full Record in Web of Science</v>
      </c>
    </row>
    <row r="295" spans="1:72" x14ac:dyDescent="0.15">
      <c r="A295" t="s">
        <v>72</v>
      </c>
      <c r="B295" t="s">
        <v>5778</v>
      </c>
      <c r="C295" t="s">
        <v>74</v>
      </c>
      <c r="D295" t="s">
        <v>74</v>
      </c>
      <c r="E295" t="s">
        <v>74</v>
      </c>
      <c r="F295" t="s">
        <v>5779</v>
      </c>
      <c r="G295" t="s">
        <v>74</v>
      </c>
      <c r="H295" t="s">
        <v>74</v>
      </c>
      <c r="I295" t="s">
        <v>5780</v>
      </c>
      <c r="J295" t="s">
        <v>77</v>
      </c>
      <c r="K295" t="s">
        <v>74</v>
      </c>
      <c r="L295" t="s">
        <v>74</v>
      </c>
      <c r="M295" t="s">
        <v>78</v>
      </c>
      <c r="N295" t="s">
        <v>79</v>
      </c>
      <c r="O295" t="s">
        <v>74</v>
      </c>
      <c r="P295" t="s">
        <v>74</v>
      </c>
      <c r="Q295" t="s">
        <v>74</v>
      </c>
      <c r="R295" t="s">
        <v>74</v>
      </c>
      <c r="S295" t="s">
        <v>74</v>
      </c>
      <c r="T295" t="s">
        <v>74</v>
      </c>
      <c r="U295" t="s">
        <v>5781</v>
      </c>
      <c r="V295" t="s">
        <v>5782</v>
      </c>
      <c r="W295" t="s">
        <v>5783</v>
      </c>
      <c r="X295" t="s">
        <v>5784</v>
      </c>
      <c r="Y295" t="s">
        <v>5785</v>
      </c>
      <c r="Z295" t="s">
        <v>5786</v>
      </c>
      <c r="AA295" t="s">
        <v>5787</v>
      </c>
      <c r="AB295" t="s">
        <v>5788</v>
      </c>
      <c r="AC295" t="s">
        <v>5789</v>
      </c>
      <c r="AD295" t="s">
        <v>5790</v>
      </c>
      <c r="AE295" t="s">
        <v>5791</v>
      </c>
      <c r="AF295" t="s">
        <v>74</v>
      </c>
      <c r="AG295">
        <v>82</v>
      </c>
      <c r="AH295">
        <v>110</v>
      </c>
      <c r="AI295">
        <v>112</v>
      </c>
      <c r="AJ295">
        <v>1</v>
      </c>
      <c r="AK295">
        <v>34</v>
      </c>
      <c r="AL295" t="s">
        <v>91</v>
      </c>
      <c r="AM295" t="s">
        <v>92</v>
      </c>
      <c r="AN295" t="s">
        <v>93</v>
      </c>
      <c r="AO295" t="s">
        <v>94</v>
      </c>
      <c r="AP295" t="s">
        <v>95</v>
      </c>
      <c r="AQ295" t="s">
        <v>74</v>
      </c>
      <c r="AR295" t="s">
        <v>96</v>
      </c>
      <c r="AS295" t="s">
        <v>97</v>
      </c>
      <c r="AT295" t="s">
        <v>5792</v>
      </c>
      <c r="AU295">
        <v>2010</v>
      </c>
      <c r="AV295">
        <v>115</v>
      </c>
      <c r="AW295" t="s">
        <v>74</v>
      </c>
      <c r="AX295" t="s">
        <v>74</v>
      </c>
      <c r="AY295" t="s">
        <v>74</v>
      </c>
      <c r="AZ295" t="s">
        <v>74</v>
      </c>
      <c r="BA295" t="s">
        <v>74</v>
      </c>
      <c r="BB295" t="s">
        <v>74</v>
      </c>
      <c r="BC295" t="s">
        <v>74</v>
      </c>
      <c r="BD295" t="s">
        <v>5793</v>
      </c>
      <c r="BE295" t="s">
        <v>5794</v>
      </c>
      <c r="BF295" t="str">
        <f>HYPERLINK("http://dx.doi.org/10.1029/2009JC005369","http://dx.doi.org/10.1029/2009JC005369")</f>
        <v>http://dx.doi.org/10.1029/2009JC005369</v>
      </c>
      <c r="BG295" t="s">
        <v>74</v>
      </c>
      <c r="BH295" t="s">
        <v>74</v>
      </c>
      <c r="BI295">
        <v>18</v>
      </c>
      <c r="BJ295" t="s">
        <v>101</v>
      </c>
      <c r="BK295" t="s">
        <v>102</v>
      </c>
      <c r="BL295" t="s">
        <v>101</v>
      </c>
      <c r="BM295" t="s">
        <v>5795</v>
      </c>
      <c r="BN295" t="s">
        <v>74</v>
      </c>
      <c r="BO295" t="s">
        <v>326</v>
      </c>
      <c r="BP295" t="s">
        <v>74</v>
      </c>
      <c r="BQ295" t="s">
        <v>74</v>
      </c>
      <c r="BR295" t="s">
        <v>105</v>
      </c>
      <c r="BS295" t="s">
        <v>5796</v>
      </c>
      <c r="BT295" t="str">
        <f>HYPERLINK("https%3A%2F%2Fwww.webofscience.com%2Fwos%2Fwoscc%2Ffull-record%2FWOS:000274358000001","View Full Record in Web of Science")</f>
        <v>View Full Record in Web of Science</v>
      </c>
    </row>
    <row r="296" spans="1:72" x14ac:dyDescent="0.15">
      <c r="A296" t="s">
        <v>72</v>
      </c>
      <c r="B296" t="s">
        <v>5797</v>
      </c>
      <c r="C296" t="s">
        <v>74</v>
      </c>
      <c r="D296" t="s">
        <v>74</v>
      </c>
      <c r="E296" t="s">
        <v>74</v>
      </c>
      <c r="F296" t="s">
        <v>5798</v>
      </c>
      <c r="G296" t="s">
        <v>74</v>
      </c>
      <c r="H296" t="s">
        <v>74</v>
      </c>
      <c r="I296" t="s">
        <v>5799</v>
      </c>
      <c r="J296" t="s">
        <v>239</v>
      </c>
      <c r="K296" t="s">
        <v>74</v>
      </c>
      <c r="L296" t="s">
        <v>74</v>
      </c>
      <c r="M296" t="s">
        <v>78</v>
      </c>
      <c r="N296" t="s">
        <v>79</v>
      </c>
      <c r="O296" t="s">
        <v>74</v>
      </c>
      <c r="P296" t="s">
        <v>74</v>
      </c>
      <c r="Q296" t="s">
        <v>74</v>
      </c>
      <c r="R296" t="s">
        <v>74</v>
      </c>
      <c r="S296" t="s">
        <v>74</v>
      </c>
      <c r="T296" t="s">
        <v>74</v>
      </c>
      <c r="U296" t="s">
        <v>5800</v>
      </c>
      <c r="V296" t="s">
        <v>5801</v>
      </c>
      <c r="W296" t="s">
        <v>5802</v>
      </c>
      <c r="X296" t="s">
        <v>5803</v>
      </c>
      <c r="Y296" t="s">
        <v>5804</v>
      </c>
      <c r="Z296" t="s">
        <v>5805</v>
      </c>
      <c r="AA296" t="s">
        <v>5806</v>
      </c>
      <c r="AB296" t="s">
        <v>5807</v>
      </c>
      <c r="AC296" t="s">
        <v>5808</v>
      </c>
      <c r="AD296" t="s">
        <v>5809</v>
      </c>
      <c r="AE296" t="s">
        <v>5810</v>
      </c>
      <c r="AF296" t="s">
        <v>74</v>
      </c>
      <c r="AG296">
        <v>17</v>
      </c>
      <c r="AH296">
        <v>5</v>
      </c>
      <c r="AI296">
        <v>5</v>
      </c>
      <c r="AJ296">
        <v>0</v>
      </c>
      <c r="AK296">
        <v>5</v>
      </c>
      <c r="AL296" t="s">
        <v>91</v>
      </c>
      <c r="AM296" t="s">
        <v>92</v>
      </c>
      <c r="AN296" t="s">
        <v>93</v>
      </c>
      <c r="AO296" t="s">
        <v>251</v>
      </c>
      <c r="AP296" t="s">
        <v>252</v>
      </c>
      <c r="AQ296" t="s">
        <v>74</v>
      </c>
      <c r="AR296" t="s">
        <v>253</v>
      </c>
      <c r="AS296" t="s">
        <v>254</v>
      </c>
      <c r="AT296" t="s">
        <v>5811</v>
      </c>
      <c r="AU296">
        <v>2010</v>
      </c>
      <c r="AV296">
        <v>115</v>
      </c>
      <c r="AW296" t="s">
        <v>74</v>
      </c>
      <c r="AX296" t="s">
        <v>74</v>
      </c>
      <c r="AY296" t="s">
        <v>74</v>
      </c>
      <c r="AZ296" t="s">
        <v>74</v>
      </c>
      <c r="BA296" t="s">
        <v>74</v>
      </c>
      <c r="BB296" t="s">
        <v>74</v>
      </c>
      <c r="BC296" t="s">
        <v>74</v>
      </c>
      <c r="BD296" t="s">
        <v>5812</v>
      </c>
      <c r="BE296" t="s">
        <v>5813</v>
      </c>
      <c r="BF296" t="str">
        <f>HYPERLINK("http://dx.doi.org/10.1029/2009JD012624","http://dx.doi.org/10.1029/2009JD012624")</f>
        <v>http://dx.doi.org/10.1029/2009JD012624</v>
      </c>
      <c r="BG296" t="s">
        <v>74</v>
      </c>
      <c r="BH296" t="s">
        <v>74</v>
      </c>
      <c r="BI296">
        <v>9</v>
      </c>
      <c r="BJ296" t="s">
        <v>258</v>
      </c>
      <c r="BK296" t="s">
        <v>102</v>
      </c>
      <c r="BL296" t="s">
        <v>258</v>
      </c>
      <c r="BM296" t="s">
        <v>5814</v>
      </c>
      <c r="BN296" t="s">
        <v>74</v>
      </c>
      <c r="BO296" t="s">
        <v>74</v>
      </c>
      <c r="BP296" t="s">
        <v>74</v>
      </c>
      <c r="BQ296" t="s">
        <v>74</v>
      </c>
      <c r="BR296" t="s">
        <v>105</v>
      </c>
      <c r="BS296" t="s">
        <v>5815</v>
      </c>
      <c r="BT296" t="str">
        <f>HYPERLINK("https%3A%2F%2Fwww.webofscience.com%2Fwos%2Fwoscc%2Ffull-record%2FWOS:000274356900006","View Full Record in Web of Science")</f>
        <v>View Full Record in Web of Science</v>
      </c>
    </row>
    <row r="297" spans="1:72" x14ac:dyDescent="0.15">
      <c r="A297" t="s">
        <v>72</v>
      </c>
      <c r="B297" t="s">
        <v>5816</v>
      </c>
      <c r="C297" t="s">
        <v>74</v>
      </c>
      <c r="D297" t="s">
        <v>74</v>
      </c>
      <c r="E297" t="s">
        <v>74</v>
      </c>
      <c r="F297" t="s">
        <v>5817</v>
      </c>
      <c r="G297" t="s">
        <v>74</v>
      </c>
      <c r="H297" t="s">
        <v>74</v>
      </c>
      <c r="I297" t="s">
        <v>5818</v>
      </c>
      <c r="J297" t="s">
        <v>460</v>
      </c>
      <c r="K297" t="s">
        <v>74</v>
      </c>
      <c r="L297" t="s">
        <v>74</v>
      </c>
      <c r="M297" t="s">
        <v>78</v>
      </c>
      <c r="N297" t="s">
        <v>79</v>
      </c>
      <c r="O297" t="s">
        <v>74</v>
      </c>
      <c r="P297" t="s">
        <v>74</v>
      </c>
      <c r="Q297" t="s">
        <v>74</v>
      </c>
      <c r="R297" t="s">
        <v>74</v>
      </c>
      <c r="S297" t="s">
        <v>74</v>
      </c>
      <c r="T297" t="s">
        <v>74</v>
      </c>
      <c r="U297" t="s">
        <v>5819</v>
      </c>
      <c r="V297" t="s">
        <v>5820</v>
      </c>
      <c r="W297" t="s">
        <v>5821</v>
      </c>
      <c r="X297" t="s">
        <v>5822</v>
      </c>
      <c r="Y297" t="s">
        <v>5823</v>
      </c>
      <c r="Z297" t="s">
        <v>5824</v>
      </c>
      <c r="AA297" t="s">
        <v>5825</v>
      </c>
      <c r="AB297" t="s">
        <v>5826</v>
      </c>
      <c r="AC297" t="s">
        <v>5827</v>
      </c>
      <c r="AD297" t="s">
        <v>5828</v>
      </c>
      <c r="AE297" t="s">
        <v>5829</v>
      </c>
      <c r="AF297" t="s">
        <v>74</v>
      </c>
      <c r="AG297">
        <v>73</v>
      </c>
      <c r="AH297">
        <v>19</v>
      </c>
      <c r="AI297">
        <v>19</v>
      </c>
      <c r="AJ297">
        <v>0</v>
      </c>
      <c r="AK297">
        <v>4</v>
      </c>
      <c r="AL297" t="s">
        <v>91</v>
      </c>
      <c r="AM297" t="s">
        <v>92</v>
      </c>
      <c r="AN297" t="s">
        <v>93</v>
      </c>
      <c r="AO297" t="s">
        <v>471</v>
      </c>
      <c r="AP297" t="s">
        <v>472</v>
      </c>
      <c r="AQ297" t="s">
        <v>74</v>
      </c>
      <c r="AR297" t="s">
        <v>473</v>
      </c>
      <c r="AS297" t="s">
        <v>474</v>
      </c>
      <c r="AT297" t="s">
        <v>5811</v>
      </c>
      <c r="AU297">
        <v>2010</v>
      </c>
      <c r="AV297">
        <v>115</v>
      </c>
      <c r="AW297" t="s">
        <v>74</v>
      </c>
      <c r="AX297" t="s">
        <v>74</v>
      </c>
      <c r="AY297" t="s">
        <v>74</v>
      </c>
      <c r="AZ297" t="s">
        <v>74</v>
      </c>
      <c r="BA297" t="s">
        <v>74</v>
      </c>
      <c r="BB297" t="s">
        <v>74</v>
      </c>
      <c r="BC297" t="s">
        <v>74</v>
      </c>
      <c r="BD297" t="s">
        <v>5830</v>
      </c>
      <c r="BE297" t="s">
        <v>5831</v>
      </c>
      <c r="BF297" t="str">
        <f>HYPERLINK("http://dx.doi.org/10.1029/2009JA014697","http://dx.doi.org/10.1029/2009JA014697")</f>
        <v>http://dx.doi.org/10.1029/2009JA014697</v>
      </c>
      <c r="BG297" t="s">
        <v>74</v>
      </c>
      <c r="BH297" t="s">
        <v>74</v>
      </c>
      <c r="BI297">
        <v>13</v>
      </c>
      <c r="BJ297" t="s">
        <v>478</v>
      </c>
      <c r="BK297" t="s">
        <v>102</v>
      </c>
      <c r="BL297" t="s">
        <v>478</v>
      </c>
      <c r="BM297" t="s">
        <v>5832</v>
      </c>
      <c r="BN297" t="s">
        <v>74</v>
      </c>
      <c r="BO297" t="s">
        <v>104</v>
      </c>
      <c r="BP297" t="s">
        <v>74</v>
      </c>
      <c r="BQ297" t="s">
        <v>74</v>
      </c>
      <c r="BR297" t="s">
        <v>105</v>
      </c>
      <c r="BS297" t="s">
        <v>5833</v>
      </c>
      <c r="BT297" t="str">
        <f>HYPERLINK("https%3A%2F%2Fwww.webofscience.com%2Fwos%2Fwoscc%2Ffull-record%2FWOS:000274359700006","View Full Record in Web of Science")</f>
        <v>View Full Record in Web of Science</v>
      </c>
    </row>
    <row r="298" spans="1:72" x14ac:dyDescent="0.15">
      <c r="A298" t="s">
        <v>72</v>
      </c>
      <c r="B298" t="s">
        <v>5834</v>
      </c>
      <c r="C298" t="s">
        <v>74</v>
      </c>
      <c r="D298" t="s">
        <v>74</v>
      </c>
      <c r="E298" t="s">
        <v>74</v>
      </c>
      <c r="F298" t="s">
        <v>5835</v>
      </c>
      <c r="G298" t="s">
        <v>74</v>
      </c>
      <c r="H298" t="s">
        <v>74</v>
      </c>
      <c r="I298" t="s">
        <v>5836</v>
      </c>
      <c r="J298" t="s">
        <v>3177</v>
      </c>
      <c r="K298" t="s">
        <v>74</v>
      </c>
      <c r="L298" t="s">
        <v>74</v>
      </c>
      <c r="M298" t="s">
        <v>78</v>
      </c>
      <c r="N298" t="s">
        <v>79</v>
      </c>
      <c r="O298" t="s">
        <v>74</v>
      </c>
      <c r="P298" t="s">
        <v>74</v>
      </c>
      <c r="Q298" t="s">
        <v>74</v>
      </c>
      <c r="R298" t="s">
        <v>74</v>
      </c>
      <c r="S298" t="s">
        <v>74</v>
      </c>
      <c r="T298" t="s">
        <v>5837</v>
      </c>
      <c r="U298" t="s">
        <v>5838</v>
      </c>
      <c r="V298" t="s">
        <v>5839</v>
      </c>
      <c r="W298" t="s">
        <v>5840</v>
      </c>
      <c r="X298" t="s">
        <v>5841</v>
      </c>
      <c r="Y298" t="s">
        <v>5842</v>
      </c>
      <c r="Z298" t="s">
        <v>5843</v>
      </c>
      <c r="AA298" t="s">
        <v>5844</v>
      </c>
      <c r="AB298" t="s">
        <v>5845</v>
      </c>
      <c r="AC298" t="s">
        <v>5846</v>
      </c>
      <c r="AD298" t="s">
        <v>793</v>
      </c>
      <c r="AE298" t="s">
        <v>5847</v>
      </c>
      <c r="AF298" t="s">
        <v>74</v>
      </c>
      <c r="AG298">
        <v>58</v>
      </c>
      <c r="AH298">
        <v>4</v>
      </c>
      <c r="AI298">
        <v>4</v>
      </c>
      <c r="AJ298">
        <v>0</v>
      </c>
      <c r="AK298">
        <v>5</v>
      </c>
      <c r="AL298" t="s">
        <v>91</v>
      </c>
      <c r="AM298" t="s">
        <v>92</v>
      </c>
      <c r="AN298" t="s">
        <v>93</v>
      </c>
      <c r="AO298" t="s">
        <v>3190</v>
      </c>
      <c r="AP298" t="s">
        <v>74</v>
      </c>
      <c r="AQ298" t="s">
        <v>74</v>
      </c>
      <c r="AR298" t="s">
        <v>3191</v>
      </c>
      <c r="AS298" t="s">
        <v>3192</v>
      </c>
      <c r="AT298" t="s">
        <v>5848</v>
      </c>
      <c r="AU298">
        <v>2010</v>
      </c>
      <c r="AV298">
        <v>11</v>
      </c>
      <c r="AW298" t="s">
        <v>74</v>
      </c>
      <c r="AX298" t="s">
        <v>74</v>
      </c>
      <c r="AY298" t="s">
        <v>74</v>
      </c>
      <c r="AZ298" t="s">
        <v>74</v>
      </c>
      <c r="BA298" t="s">
        <v>74</v>
      </c>
      <c r="BB298" t="s">
        <v>74</v>
      </c>
      <c r="BC298" t="s">
        <v>74</v>
      </c>
      <c r="BD298" t="s">
        <v>5849</v>
      </c>
      <c r="BE298" t="s">
        <v>5850</v>
      </c>
      <c r="BF298" t="str">
        <f>HYPERLINK("http://dx.doi.org/10.1029/2009GC002629","http://dx.doi.org/10.1029/2009GC002629")</f>
        <v>http://dx.doi.org/10.1029/2009GC002629</v>
      </c>
      <c r="BG298" t="s">
        <v>74</v>
      </c>
      <c r="BH298" t="s">
        <v>74</v>
      </c>
      <c r="BI298">
        <v>22</v>
      </c>
      <c r="BJ298" t="s">
        <v>507</v>
      </c>
      <c r="BK298" t="s">
        <v>102</v>
      </c>
      <c r="BL298" t="s">
        <v>507</v>
      </c>
      <c r="BM298" t="s">
        <v>5851</v>
      </c>
      <c r="BN298" t="s">
        <v>74</v>
      </c>
      <c r="BO298" t="s">
        <v>326</v>
      </c>
      <c r="BP298" t="s">
        <v>74</v>
      </c>
      <c r="BQ298" t="s">
        <v>74</v>
      </c>
      <c r="BR298" t="s">
        <v>105</v>
      </c>
      <c r="BS298" t="s">
        <v>5852</v>
      </c>
      <c r="BT298" t="str">
        <f>HYPERLINK("https%3A%2F%2Fwww.webofscience.com%2Fwos%2Fwoscc%2Ffull-record%2FWOS:000274396400001","View Full Record in Web of Science")</f>
        <v>View Full Record in Web of Science</v>
      </c>
    </row>
    <row r="299" spans="1:72" x14ac:dyDescent="0.15">
      <c r="A299" t="s">
        <v>72</v>
      </c>
      <c r="B299" t="s">
        <v>5853</v>
      </c>
      <c r="C299" t="s">
        <v>74</v>
      </c>
      <c r="D299" t="s">
        <v>74</v>
      </c>
      <c r="E299" t="s">
        <v>74</v>
      </c>
      <c r="F299" t="s">
        <v>5854</v>
      </c>
      <c r="G299" t="s">
        <v>74</v>
      </c>
      <c r="H299" t="s">
        <v>74</v>
      </c>
      <c r="I299" t="s">
        <v>5855</v>
      </c>
      <c r="J299" t="s">
        <v>3336</v>
      </c>
      <c r="K299" t="s">
        <v>74</v>
      </c>
      <c r="L299" t="s">
        <v>74</v>
      </c>
      <c r="M299" t="s">
        <v>78</v>
      </c>
      <c r="N299" t="s">
        <v>79</v>
      </c>
      <c r="O299" t="s">
        <v>74</v>
      </c>
      <c r="P299" t="s">
        <v>74</v>
      </c>
      <c r="Q299" t="s">
        <v>74</v>
      </c>
      <c r="R299" t="s">
        <v>74</v>
      </c>
      <c r="S299" t="s">
        <v>74</v>
      </c>
      <c r="T299" t="s">
        <v>74</v>
      </c>
      <c r="U299" t="s">
        <v>5856</v>
      </c>
      <c r="V299" t="s">
        <v>5857</v>
      </c>
      <c r="W299" t="s">
        <v>5858</v>
      </c>
      <c r="X299" t="s">
        <v>5859</v>
      </c>
      <c r="Y299" t="s">
        <v>5860</v>
      </c>
      <c r="Z299" t="s">
        <v>5861</v>
      </c>
      <c r="AA299" t="s">
        <v>5862</v>
      </c>
      <c r="AB299" t="s">
        <v>5863</v>
      </c>
      <c r="AC299" t="s">
        <v>5864</v>
      </c>
      <c r="AD299" t="s">
        <v>5865</v>
      </c>
      <c r="AE299" t="s">
        <v>5866</v>
      </c>
      <c r="AF299" t="s">
        <v>74</v>
      </c>
      <c r="AG299">
        <v>64</v>
      </c>
      <c r="AH299">
        <v>33</v>
      </c>
      <c r="AI299">
        <v>36</v>
      </c>
      <c r="AJ299">
        <v>0</v>
      </c>
      <c r="AK299">
        <v>18</v>
      </c>
      <c r="AL299" t="s">
        <v>91</v>
      </c>
      <c r="AM299" t="s">
        <v>92</v>
      </c>
      <c r="AN299" t="s">
        <v>93</v>
      </c>
      <c r="AO299" t="s">
        <v>3347</v>
      </c>
      <c r="AP299" t="s">
        <v>3514</v>
      </c>
      <c r="AQ299" t="s">
        <v>74</v>
      </c>
      <c r="AR299" t="s">
        <v>3336</v>
      </c>
      <c r="AS299" t="s">
        <v>3348</v>
      </c>
      <c r="AT299" t="s">
        <v>5848</v>
      </c>
      <c r="AU299">
        <v>2010</v>
      </c>
      <c r="AV299">
        <v>25</v>
      </c>
      <c r="AW299" t="s">
        <v>74</v>
      </c>
      <c r="AX299" t="s">
        <v>74</v>
      </c>
      <c r="AY299" t="s">
        <v>74</v>
      </c>
      <c r="AZ299" t="s">
        <v>74</v>
      </c>
      <c r="BA299" t="s">
        <v>74</v>
      </c>
      <c r="BB299" t="s">
        <v>74</v>
      </c>
      <c r="BC299" t="s">
        <v>74</v>
      </c>
      <c r="BD299" t="s">
        <v>5867</v>
      </c>
      <c r="BE299" t="s">
        <v>5868</v>
      </c>
      <c r="BF299" t="str">
        <f>HYPERLINK("http://dx.doi.org/10.1029/2009PA001754","http://dx.doi.org/10.1029/2009PA001754")</f>
        <v>http://dx.doi.org/10.1029/2009PA001754</v>
      </c>
      <c r="BG299" t="s">
        <v>74</v>
      </c>
      <c r="BH299" t="s">
        <v>74</v>
      </c>
      <c r="BI299">
        <v>15</v>
      </c>
      <c r="BJ299" t="s">
        <v>3352</v>
      </c>
      <c r="BK299" t="s">
        <v>102</v>
      </c>
      <c r="BL299" t="s">
        <v>3353</v>
      </c>
      <c r="BM299" t="s">
        <v>5869</v>
      </c>
      <c r="BN299" t="s">
        <v>74</v>
      </c>
      <c r="BO299" t="s">
        <v>5870</v>
      </c>
      <c r="BP299" t="s">
        <v>74</v>
      </c>
      <c r="BQ299" t="s">
        <v>74</v>
      </c>
      <c r="BR299" t="s">
        <v>105</v>
      </c>
      <c r="BS299" t="s">
        <v>5871</v>
      </c>
      <c r="BT299" t="str">
        <f>HYPERLINK("https%3A%2F%2Fwww.webofscience.com%2Fwos%2Fwoscc%2Ffull-record%2FWOS:000274360400001","View Full Record in Web of Science")</f>
        <v>View Full Record in Web of Science</v>
      </c>
    </row>
    <row r="300" spans="1:72" x14ac:dyDescent="0.15">
      <c r="A300" t="s">
        <v>72</v>
      </c>
      <c r="B300" t="s">
        <v>5872</v>
      </c>
      <c r="C300" t="s">
        <v>74</v>
      </c>
      <c r="D300" t="s">
        <v>74</v>
      </c>
      <c r="E300" t="s">
        <v>74</v>
      </c>
      <c r="F300" t="s">
        <v>5873</v>
      </c>
      <c r="G300" t="s">
        <v>74</v>
      </c>
      <c r="H300" t="s">
        <v>74</v>
      </c>
      <c r="I300" t="s">
        <v>5874</v>
      </c>
      <c r="J300" t="s">
        <v>306</v>
      </c>
      <c r="K300" t="s">
        <v>74</v>
      </c>
      <c r="L300" t="s">
        <v>74</v>
      </c>
      <c r="M300" t="s">
        <v>78</v>
      </c>
      <c r="N300" t="s">
        <v>79</v>
      </c>
      <c r="O300" t="s">
        <v>74</v>
      </c>
      <c r="P300" t="s">
        <v>74</v>
      </c>
      <c r="Q300" t="s">
        <v>74</v>
      </c>
      <c r="R300" t="s">
        <v>74</v>
      </c>
      <c r="S300" t="s">
        <v>74</v>
      </c>
      <c r="T300" t="s">
        <v>5875</v>
      </c>
      <c r="U300" t="s">
        <v>5876</v>
      </c>
      <c r="V300" t="s">
        <v>5877</v>
      </c>
      <c r="W300" t="s">
        <v>5878</v>
      </c>
      <c r="X300" t="s">
        <v>5879</v>
      </c>
      <c r="Y300" t="s">
        <v>5880</v>
      </c>
      <c r="Z300" t="s">
        <v>5881</v>
      </c>
      <c r="AA300" t="s">
        <v>5882</v>
      </c>
      <c r="AB300" t="s">
        <v>5883</v>
      </c>
      <c r="AC300" t="s">
        <v>5884</v>
      </c>
      <c r="AD300" t="s">
        <v>5885</v>
      </c>
      <c r="AE300" t="s">
        <v>5886</v>
      </c>
      <c r="AF300" t="s">
        <v>74</v>
      </c>
      <c r="AG300">
        <v>36</v>
      </c>
      <c r="AH300">
        <v>394</v>
      </c>
      <c r="AI300">
        <v>470</v>
      </c>
      <c r="AJ300">
        <v>11</v>
      </c>
      <c r="AK300">
        <v>314</v>
      </c>
      <c r="AL300" t="s">
        <v>317</v>
      </c>
      <c r="AM300" t="s">
        <v>92</v>
      </c>
      <c r="AN300" t="s">
        <v>318</v>
      </c>
      <c r="AO300" t="s">
        <v>319</v>
      </c>
      <c r="AP300" t="s">
        <v>74</v>
      </c>
      <c r="AQ300" t="s">
        <v>74</v>
      </c>
      <c r="AR300" t="s">
        <v>320</v>
      </c>
      <c r="AS300" t="s">
        <v>321</v>
      </c>
      <c r="AT300" t="s">
        <v>5848</v>
      </c>
      <c r="AU300">
        <v>2010</v>
      </c>
      <c r="AV300">
        <v>107</v>
      </c>
      <c r="AW300">
        <v>5</v>
      </c>
      <c r="AX300" t="s">
        <v>74</v>
      </c>
      <c r="AY300" t="s">
        <v>74</v>
      </c>
      <c r="AZ300" t="s">
        <v>74</v>
      </c>
      <c r="BA300" t="s">
        <v>74</v>
      </c>
      <c r="BB300">
        <v>2078</v>
      </c>
      <c r="BC300">
        <v>2081</v>
      </c>
      <c r="BD300" t="s">
        <v>74</v>
      </c>
      <c r="BE300" t="s">
        <v>5887</v>
      </c>
      <c r="BF300" t="str">
        <f>HYPERLINK("http://dx.doi.org/10.1073/pnas.0909493107","http://dx.doi.org/10.1073/pnas.0909493107")</f>
        <v>http://dx.doi.org/10.1073/pnas.0909493107</v>
      </c>
      <c r="BG300" t="s">
        <v>74</v>
      </c>
      <c r="BH300" t="s">
        <v>74</v>
      </c>
      <c r="BI300">
        <v>4</v>
      </c>
      <c r="BJ300" t="s">
        <v>323</v>
      </c>
      <c r="BK300" t="s">
        <v>102</v>
      </c>
      <c r="BL300" t="s">
        <v>324</v>
      </c>
      <c r="BM300" t="s">
        <v>5888</v>
      </c>
      <c r="BN300">
        <v>20080662</v>
      </c>
      <c r="BO300" t="s">
        <v>5889</v>
      </c>
      <c r="BP300" t="s">
        <v>74</v>
      </c>
      <c r="BQ300" t="s">
        <v>74</v>
      </c>
      <c r="BR300" t="s">
        <v>105</v>
      </c>
      <c r="BS300" t="s">
        <v>5890</v>
      </c>
      <c r="BT300" t="str">
        <f>HYPERLINK("https%3A%2F%2Fwww.webofscience.com%2Fwos%2Fwoscc%2Ffull-record%2FWOS:000274296300050","View Full Record in Web of Science")</f>
        <v>View Full Record in Web of Science</v>
      </c>
    </row>
    <row r="301" spans="1:72" x14ac:dyDescent="0.15">
      <c r="A301" t="s">
        <v>72</v>
      </c>
      <c r="B301" t="s">
        <v>5891</v>
      </c>
      <c r="C301" t="s">
        <v>74</v>
      </c>
      <c r="D301" t="s">
        <v>74</v>
      </c>
      <c r="E301" t="s">
        <v>74</v>
      </c>
      <c r="F301" t="s">
        <v>5892</v>
      </c>
      <c r="G301" t="s">
        <v>74</v>
      </c>
      <c r="H301" t="s">
        <v>74</v>
      </c>
      <c r="I301" t="s">
        <v>5893</v>
      </c>
      <c r="J301" t="s">
        <v>265</v>
      </c>
      <c r="K301" t="s">
        <v>74</v>
      </c>
      <c r="L301" t="s">
        <v>74</v>
      </c>
      <c r="M301" t="s">
        <v>78</v>
      </c>
      <c r="N301" t="s">
        <v>79</v>
      </c>
      <c r="O301" t="s">
        <v>74</v>
      </c>
      <c r="P301" t="s">
        <v>74</v>
      </c>
      <c r="Q301" t="s">
        <v>74</v>
      </c>
      <c r="R301" t="s">
        <v>74</v>
      </c>
      <c r="S301" t="s">
        <v>74</v>
      </c>
      <c r="T301" t="s">
        <v>5894</v>
      </c>
      <c r="U301" t="s">
        <v>5895</v>
      </c>
      <c r="V301" t="s">
        <v>5896</v>
      </c>
      <c r="W301" t="s">
        <v>5897</v>
      </c>
      <c r="X301" t="s">
        <v>5898</v>
      </c>
      <c r="Y301" t="s">
        <v>5899</v>
      </c>
      <c r="Z301" t="s">
        <v>5900</v>
      </c>
      <c r="AA301" t="s">
        <v>74</v>
      </c>
      <c r="AB301" t="s">
        <v>74</v>
      </c>
      <c r="AC301" t="s">
        <v>74</v>
      </c>
      <c r="AD301" t="s">
        <v>74</v>
      </c>
      <c r="AE301" t="s">
        <v>74</v>
      </c>
      <c r="AF301" t="s">
        <v>74</v>
      </c>
      <c r="AG301">
        <v>64</v>
      </c>
      <c r="AH301">
        <v>21</v>
      </c>
      <c r="AI301">
        <v>22</v>
      </c>
      <c r="AJ301">
        <v>0</v>
      </c>
      <c r="AK301">
        <v>4</v>
      </c>
      <c r="AL301" t="s">
        <v>275</v>
      </c>
      <c r="AM301" t="s">
        <v>276</v>
      </c>
      <c r="AN301" t="s">
        <v>277</v>
      </c>
      <c r="AO301" t="s">
        <v>278</v>
      </c>
      <c r="AP301" t="s">
        <v>279</v>
      </c>
      <c r="AQ301" t="s">
        <v>74</v>
      </c>
      <c r="AR301" t="s">
        <v>265</v>
      </c>
      <c r="AS301" t="s">
        <v>280</v>
      </c>
      <c r="AT301" t="s">
        <v>5848</v>
      </c>
      <c r="AU301">
        <v>2010</v>
      </c>
      <c r="AV301" t="s">
        <v>74</v>
      </c>
      <c r="AW301">
        <v>2349</v>
      </c>
      <c r="AX301" t="s">
        <v>74</v>
      </c>
      <c r="AY301" t="s">
        <v>74</v>
      </c>
      <c r="AZ301" t="s">
        <v>74</v>
      </c>
      <c r="BA301" t="s">
        <v>74</v>
      </c>
      <c r="BB301">
        <v>39</v>
      </c>
      <c r="BC301">
        <v>54</v>
      </c>
      <c r="BD301" t="s">
        <v>74</v>
      </c>
      <c r="BE301" t="s">
        <v>74</v>
      </c>
      <c r="BF301" t="s">
        <v>74</v>
      </c>
      <c r="BG301" t="s">
        <v>74</v>
      </c>
      <c r="BH301" t="s">
        <v>74</v>
      </c>
      <c r="BI301">
        <v>16</v>
      </c>
      <c r="BJ301" t="s">
        <v>281</v>
      </c>
      <c r="BK301" t="s">
        <v>102</v>
      </c>
      <c r="BL301" t="s">
        <v>281</v>
      </c>
      <c r="BM301" t="s">
        <v>5901</v>
      </c>
      <c r="BN301" t="s">
        <v>74</v>
      </c>
      <c r="BO301" t="s">
        <v>74</v>
      </c>
      <c r="BP301" t="s">
        <v>74</v>
      </c>
      <c r="BQ301" t="s">
        <v>74</v>
      </c>
      <c r="BR301" t="s">
        <v>105</v>
      </c>
      <c r="BS301" t="s">
        <v>5902</v>
      </c>
      <c r="BT301" t="str">
        <f>HYPERLINK("https%3A%2F%2Fwww.webofscience.com%2Fwos%2Fwoscc%2Ffull-record%2FWOS:000274127900003","View Full Record in Web of Science")</f>
        <v>View Full Record in Web of Science</v>
      </c>
    </row>
    <row r="302" spans="1:72" x14ac:dyDescent="0.15">
      <c r="A302" t="s">
        <v>72</v>
      </c>
      <c r="B302" t="s">
        <v>5903</v>
      </c>
      <c r="C302" t="s">
        <v>74</v>
      </c>
      <c r="D302" t="s">
        <v>74</v>
      </c>
      <c r="E302" t="s">
        <v>74</v>
      </c>
      <c r="F302" t="s">
        <v>5904</v>
      </c>
      <c r="G302" t="s">
        <v>74</v>
      </c>
      <c r="H302" t="s">
        <v>74</v>
      </c>
      <c r="I302" t="s">
        <v>5905</v>
      </c>
      <c r="J302" t="s">
        <v>586</v>
      </c>
      <c r="K302" t="s">
        <v>74</v>
      </c>
      <c r="L302" t="s">
        <v>74</v>
      </c>
      <c r="M302" t="s">
        <v>78</v>
      </c>
      <c r="N302" t="s">
        <v>536</v>
      </c>
      <c r="O302" t="s">
        <v>74</v>
      </c>
      <c r="P302" t="s">
        <v>74</v>
      </c>
      <c r="Q302" t="s">
        <v>74</v>
      </c>
      <c r="R302" t="s">
        <v>74</v>
      </c>
      <c r="S302" t="s">
        <v>74</v>
      </c>
      <c r="T302" t="s">
        <v>74</v>
      </c>
      <c r="U302" t="s">
        <v>74</v>
      </c>
      <c r="V302" t="s">
        <v>74</v>
      </c>
      <c r="W302" t="s">
        <v>5906</v>
      </c>
      <c r="X302" t="s">
        <v>5907</v>
      </c>
      <c r="Y302" t="s">
        <v>5908</v>
      </c>
      <c r="Z302" t="s">
        <v>74</v>
      </c>
      <c r="AA302" t="s">
        <v>4065</v>
      </c>
      <c r="AB302" t="s">
        <v>74</v>
      </c>
      <c r="AC302" t="s">
        <v>5909</v>
      </c>
      <c r="AD302" t="s">
        <v>1972</v>
      </c>
      <c r="AE302" t="s">
        <v>74</v>
      </c>
      <c r="AF302" t="s">
        <v>74</v>
      </c>
      <c r="AG302">
        <v>0</v>
      </c>
      <c r="AH302">
        <v>8</v>
      </c>
      <c r="AI302">
        <v>8</v>
      </c>
      <c r="AJ302">
        <v>0</v>
      </c>
      <c r="AK302">
        <v>4</v>
      </c>
      <c r="AL302" t="s">
        <v>587</v>
      </c>
      <c r="AM302" t="s">
        <v>225</v>
      </c>
      <c r="AN302" t="s">
        <v>588</v>
      </c>
      <c r="AO302" t="s">
        <v>589</v>
      </c>
      <c r="AP302" t="s">
        <v>74</v>
      </c>
      <c r="AQ302" t="s">
        <v>74</v>
      </c>
      <c r="AR302" t="s">
        <v>590</v>
      </c>
      <c r="AS302" t="s">
        <v>591</v>
      </c>
      <c r="AT302" t="s">
        <v>5910</v>
      </c>
      <c r="AU302">
        <v>2010</v>
      </c>
      <c r="AV302">
        <v>22</v>
      </c>
      <c r="AW302">
        <v>1</v>
      </c>
      <c r="AX302" t="s">
        <v>74</v>
      </c>
      <c r="AY302" t="s">
        <v>74</v>
      </c>
      <c r="AZ302" t="s">
        <v>74</v>
      </c>
      <c r="BA302" t="s">
        <v>74</v>
      </c>
      <c r="BB302">
        <v>1</v>
      </c>
      <c r="BC302">
        <v>1</v>
      </c>
      <c r="BD302" t="s">
        <v>74</v>
      </c>
      <c r="BE302" t="s">
        <v>5911</v>
      </c>
      <c r="BF302" t="str">
        <f>HYPERLINK("http://dx.doi.org/10.1017/S0954102009990782","http://dx.doi.org/10.1017/S0954102009990782")</f>
        <v>http://dx.doi.org/10.1017/S0954102009990782</v>
      </c>
      <c r="BG302" t="s">
        <v>74</v>
      </c>
      <c r="BH302" t="s">
        <v>74</v>
      </c>
      <c r="BI302">
        <v>1</v>
      </c>
      <c r="BJ302" t="s">
        <v>593</v>
      </c>
      <c r="BK302" t="s">
        <v>102</v>
      </c>
      <c r="BL302" t="s">
        <v>594</v>
      </c>
      <c r="BM302" t="s">
        <v>5912</v>
      </c>
      <c r="BN302" t="s">
        <v>74</v>
      </c>
      <c r="BO302" t="s">
        <v>5913</v>
      </c>
      <c r="BP302" t="s">
        <v>74</v>
      </c>
      <c r="BQ302" t="s">
        <v>74</v>
      </c>
      <c r="BR302" t="s">
        <v>105</v>
      </c>
      <c r="BS302" t="s">
        <v>5914</v>
      </c>
      <c r="BT302" t="str">
        <f>HYPERLINK("https%3A%2F%2Fwww.webofscience.com%2Fwos%2Fwoscc%2Ffull-record%2FWOS:000274868100001","View Full Record in Web of Science")</f>
        <v>View Full Record in Web of Science</v>
      </c>
    </row>
    <row r="303" spans="1:72" x14ac:dyDescent="0.15">
      <c r="A303" t="s">
        <v>72</v>
      </c>
      <c r="B303" t="s">
        <v>5915</v>
      </c>
      <c r="C303" t="s">
        <v>74</v>
      </c>
      <c r="D303" t="s">
        <v>74</v>
      </c>
      <c r="E303" t="s">
        <v>74</v>
      </c>
      <c r="F303" t="s">
        <v>5916</v>
      </c>
      <c r="G303" t="s">
        <v>74</v>
      </c>
      <c r="H303" t="s">
        <v>74</v>
      </c>
      <c r="I303" t="s">
        <v>5917</v>
      </c>
      <c r="J303" t="s">
        <v>586</v>
      </c>
      <c r="K303" t="s">
        <v>74</v>
      </c>
      <c r="L303" t="s">
        <v>74</v>
      </c>
      <c r="M303" t="s">
        <v>78</v>
      </c>
      <c r="N303" t="s">
        <v>79</v>
      </c>
      <c r="O303" t="s">
        <v>74</v>
      </c>
      <c r="P303" t="s">
        <v>74</v>
      </c>
      <c r="Q303" t="s">
        <v>74</v>
      </c>
      <c r="R303" t="s">
        <v>74</v>
      </c>
      <c r="S303" t="s">
        <v>74</v>
      </c>
      <c r="T303" t="s">
        <v>5918</v>
      </c>
      <c r="U303" t="s">
        <v>5919</v>
      </c>
      <c r="V303" t="s">
        <v>5920</v>
      </c>
      <c r="W303" t="s">
        <v>5921</v>
      </c>
      <c r="X303" t="s">
        <v>5922</v>
      </c>
      <c r="Y303" t="s">
        <v>5923</v>
      </c>
      <c r="Z303" t="s">
        <v>5924</v>
      </c>
      <c r="AA303" t="s">
        <v>5925</v>
      </c>
      <c r="AB303" t="s">
        <v>5926</v>
      </c>
      <c r="AC303" t="s">
        <v>5927</v>
      </c>
      <c r="AD303" t="s">
        <v>5928</v>
      </c>
      <c r="AE303" t="s">
        <v>5929</v>
      </c>
      <c r="AF303" t="s">
        <v>74</v>
      </c>
      <c r="AG303">
        <v>51</v>
      </c>
      <c r="AH303">
        <v>39</v>
      </c>
      <c r="AI303">
        <v>43</v>
      </c>
      <c r="AJ303">
        <v>0</v>
      </c>
      <c r="AK303">
        <v>19</v>
      </c>
      <c r="AL303" t="s">
        <v>587</v>
      </c>
      <c r="AM303" t="s">
        <v>225</v>
      </c>
      <c r="AN303" t="s">
        <v>588</v>
      </c>
      <c r="AO303" t="s">
        <v>589</v>
      </c>
      <c r="AP303" t="s">
        <v>613</v>
      </c>
      <c r="AQ303" t="s">
        <v>74</v>
      </c>
      <c r="AR303" t="s">
        <v>590</v>
      </c>
      <c r="AS303" t="s">
        <v>591</v>
      </c>
      <c r="AT303" t="s">
        <v>5910</v>
      </c>
      <c r="AU303">
        <v>2010</v>
      </c>
      <c r="AV303">
        <v>22</v>
      </c>
      <c r="AW303">
        <v>1</v>
      </c>
      <c r="AX303" t="s">
        <v>74</v>
      </c>
      <c r="AY303" t="s">
        <v>74</v>
      </c>
      <c r="AZ303" t="s">
        <v>74</v>
      </c>
      <c r="BA303" t="s">
        <v>74</v>
      </c>
      <c r="BB303">
        <v>3</v>
      </c>
      <c r="BC303">
        <v>10</v>
      </c>
      <c r="BD303" t="s">
        <v>74</v>
      </c>
      <c r="BE303" t="s">
        <v>5930</v>
      </c>
      <c r="BF303" t="str">
        <f>HYPERLINK("http://dx.doi.org/10.1017/S095410200999037X","http://dx.doi.org/10.1017/S095410200999037X")</f>
        <v>http://dx.doi.org/10.1017/S095410200999037X</v>
      </c>
      <c r="BG303" t="s">
        <v>74</v>
      </c>
      <c r="BH303" t="s">
        <v>74</v>
      </c>
      <c r="BI303">
        <v>8</v>
      </c>
      <c r="BJ303" t="s">
        <v>593</v>
      </c>
      <c r="BK303" t="s">
        <v>102</v>
      </c>
      <c r="BL303" t="s">
        <v>594</v>
      </c>
      <c r="BM303" t="s">
        <v>5912</v>
      </c>
      <c r="BN303" t="s">
        <v>74</v>
      </c>
      <c r="BO303" t="s">
        <v>74</v>
      </c>
      <c r="BP303" t="s">
        <v>74</v>
      </c>
      <c r="BQ303" t="s">
        <v>74</v>
      </c>
      <c r="BR303" t="s">
        <v>105</v>
      </c>
      <c r="BS303" t="s">
        <v>5931</v>
      </c>
      <c r="BT303" t="str">
        <f>HYPERLINK("https%3A%2F%2Fwww.webofscience.com%2Fwos%2Fwoscc%2Ffull-record%2FWOS:000274868100002","View Full Record in Web of Science")</f>
        <v>View Full Record in Web of Science</v>
      </c>
    </row>
    <row r="304" spans="1:72" x14ac:dyDescent="0.15">
      <c r="A304" t="s">
        <v>72</v>
      </c>
      <c r="B304" t="s">
        <v>5932</v>
      </c>
      <c r="C304" t="s">
        <v>74</v>
      </c>
      <c r="D304" t="s">
        <v>74</v>
      </c>
      <c r="E304" t="s">
        <v>74</v>
      </c>
      <c r="F304" t="s">
        <v>5933</v>
      </c>
      <c r="G304" t="s">
        <v>74</v>
      </c>
      <c r="H304" t="s">
        <v>74</v>
      </c>
      <c r="I304" t="s">
        <v>5934</v>
      </c>
      <c r="J304" t="s">
        <v>586</v>
      </c>
      <c r="K304" t="s">
        <v>74</v>
      </c>
      <c r="L304" t="s">
        <v>74</v>
      </c>
      <c r="M304" t="s">
        <v>78</v>
      </c>
      <c r="N304" t="s">
        <v>79</v>
      </c>
      <c r="O304" t="s">
        <v>74</v>
      </c>
      <c r="P304" t="s">
        <v>74</v>
      </c>
      <c r="Q304" t="s">
        <v>74</v>
      </c>
      <c r="R304" t="s">
        <v>74</v>
      </c>
      <c r="S304" t="s">
        <v>74</v>
      </c>
      <c r="T304" t="s">
        <v>5935</v>
      </c>
      <c r="U304" t="s">
        <v>5936</v>
      </c>
      <c r="V304" t="s">
        <v>5937</v>
      </c>
      <c r="W304" t="s">
        <v>5938</v>
      </c>
      <c r="X304" t="s">
        <v>5939</v>
      </c>
      <c r="Y304" t="s">
        <v>3298</v>
      </c>
      <c r="Z304" t="s">
        <v>3299</v>
      </c>
      <c r="AA304" t="s">
        <v>5940</v>
      </c>
      <c r="AB304" t="s">
        <v>5941</v>
      </c>
      <c r="AC304" t="s">
        <v>5942</v>
      </c>
      <c r="AD304" t="s">
        <v>5943</v>
      </c>
      <c r="AE304" t="s">
        <v>5944</v>
      </c>
      <c r="AF304" t="s">
        <v>74</v>
      </c>
      <c r="AG304">
        <v>49</v>
      </c>
      <c r="AH304">
        <v>12</v>
      </c>
      <c r="AI304">
        <v>14</v>
      </c>
      <c r="AJ304">
        <v>0</v>
      </c>
      <c r="AK304">
        <v>22</v>
      </c>
      <c r="AL304" t="s">
        <v>587</v>
      </c>
      <c r="AM304" t="s">
        <v>225</v>
      </c>
      <c r="AN304" t="s">
        <v>588</v>
      </c>
      <c r="AO304" t="s">
        <v>589</v>
      </c>
      <c r="AP304" t="s">
        <v>74</v>
      </c>
      <c r="AQ304" t="s">
        <v>74</v>
      </c>
      <c r="AR304" t="s">
        <v>590</v>
      </c>
      <c r="AS304" t="s">
        <v>591</v>
      </c>
      <c r="AT304" t="s">
        <v>5910</v>
      </c>
      <c r="AU304">
        <v>2010</v>
      </c>
      <c r="AV304">
        <v>22</v>
      </c>
      <c r="AW304">
        <v>1</v>
      </c>
      <c r="AX304" t="s">
        <v>74</v>
      </c>
      <c r="AY304" t="s">
        <v>74</v>
      </c>
      <c r="AZ304" t="s">
        <v>74</v>
      </c>
      <c r="BA304" t="s">
        <v>74</v>
      </c>
      <c r="BB304">
        <v>11</v>
      </c>
      <c r="BC304">
        <v>18</v>
      </c>
      <c r="BD304" t="s">
        <v>74</v>
      </c>
      <c r="BE304" t="s">
        <v>5945</v>
      </c>
      <c r="BF304" t="str">
        <f>HYPERLINK("http://dx.doi.org/10.1017/S0954102009990381","http://dx.doi.org/10.1017/S0954102009990381")</f>
        <v>http://dx.doi.org/10.1017/S0954102009990381</v>
      </c>
      <c r="BG304" t="s">
        <v>74</v>
      </c>
      <c r="BH304" t="s">
        <v>74</v>
      </c>
      <c r="BI304">
        <v>8</v>
      </c>
      <c r="BJ304" t="s">
        <v>593</v>
      </c>
      <c r="BK304" t="s">
        <v>102</v>
      </c>
      <c r="BL304" t="s">
        <v>594</v>
      </c>
      <c r="BM304" t="s">
        <v>5912</v>
      </c>
      <c r="BN304" t="s">
        <v>74</v>
      </c>
      <c r="BO304" t="s">
        <v>5946</v>
      </c>
      <c r="BP304" t="s">
        <v>74</v>
      </c>
      <c r="BQ304" t="s">
        <v>74</v>
      </c>
      <c r="BR304" t="s">
        <v>105</v>
      </c>
      <c r="BS304" t="s">
        <v>5947</v>
      </c>
      <c r="BT304" t="str">
        <f>HYPERLINK("https%3A%2F%2Fwww.webofscience.com%2Fwos%2Fwoscc%2Ffull-record%2FWOS:000274868100003","View Full Record in Web of Science")</f>
        <v>View Full Record in Web of Science</v>
      </c>
    </row>
    <row r="305" spans="1:72" x14ac:dyDescent="0.15">
      <c r="A305" t="s">
        <v>72</v>
      </c>
      <c r="B305" t="s">
        <v>5948</v>
      </c>
      <c r="C305" t="s">
        <v>74</v>
      </c>
      <c r="D305" t="s">
        <v>74</v>
      </c>
      <c r="E305" t="s">
        <v>74</v>
      </c>
      <c r="F305" t="s">
        <v>5949</v>
      </c>
      <c r="G305" t="s">
        <v>74</v>
      </c>
      <c r="H305" t="s">
        <v>74</v>
      </c>
      <c r="I305" t="s">
        <v>5950</v>
      </c>
      <c r="J305" t="s">
        <v>586</v>
      </c>
      <c r="K305" t="s">
        <v>74</v>
      </c>
      <c r="L305" t="s">
        <v>74</v>
      </c>
      <c r="M305" t="s">
        <v>78</v>
      </c>
      <c r="N305" t="s">
        <v>79</v>
      </c>
      <c r="O305" t="s">
        <v>74</v>
      </c>
      <c r="P305" t="s">
        <v>74</v>
      </c>
      <c r="Q305" t="s">
        <v>74</v>
      </c>
      <c r="R305" t="s">
        <v>74</v>
      </c>
      <c r="S305" t="s">
        <v>74</v>
      </c>
      <c r="T305" t="s">
        <v>5951</v>
      </c>
      <c r="U305" t="s">
        <v>5952</v>
      </c>
      <c r="V305" t="s">
        <v>5953</v>
      </c>
      <c r="W305" t="s">
        <v>5954</v>
      </c>
      <c r="X305" t="s">
        <v>5955</v>
      </c>
      <c r="Y305" t="s">
        <v>5956</v>
      </c>
      <c r="Z305" t="s">
        <v>5957</v>
      </c>
      <c r="AA305" t="s">
        <v>74</v>
      </c>
      <c r="AB305" t="s">
        <v>5958</v>
      </c>
      <c r="AC305" t="s">
        <v>5959</v>
      </c>
      <c r="AD305" t="s">
        <v>5960</v>
      </c>
      <c r="AE305" t="s">
        <v>5961</v>
      </c>
      <c r="AF305" t="s">
        <v>74</v>
      </c>
      <c r="AG305">
        <v>35</v>
      </c>
      <c r="AH305">
        <v>6</v>
      </c>
      <c r="AI305">
        <v>6</v>
      </c>
      <c r="AJ305">
        <v>0</v>
      </c>
      <c r="AK305">
        <v>19</v>
      </c>
      <c r="AL305" t="s">
        <v>587</v>
      </c>
      <c r="AM305" t="s">
        <v>225</v>
      </c>
      <c r="AN305" t="s">
        <v>588</v>
      </c>
      <c r="AO305" t="s">
        <v>589</v>
      </c>
      <c r="AP305" t="s">
        <v>613</v>
      </c>
      <c r="AQ305" t="s">
        <v>74</v>
      </c>
      <c r="AR305" t="s">
        <v>590</v>
      </c>
      <c r="AS305" t="s">
        <v>591</v>
      </c>
      <c r="AT305" t="s">
        <v>5910</v>
      </c>
      <c r="AU305">
        <v>2010</v>
      </c>
      <c r="AV305">
        <v>22</v>
      </c>
      <c r="AW305">
        <v>1</v>
      </c>
      <c r="AX305" t="s">
        <v>74</v>
      </c>
      <c r="AY305" t="s">
        <v>74</v>
      </c>
      <c r="AZ305" t="s">
        <v>74</v>
      </c>
      <c r="BA305" t="s">
        <v>74</v>
      </c>
      <c r="BB305">
        <v>19</v>
      </c>
      <c r="BC305">
        <v>24</v>
      </c>
      <c r="BD305" t="s">
        <v>74</v>
      </c>
      <c r="BE305" t="s">
        <v>5962</v>
      </c>
      <c r="BF305" t="str">
        <f>HYPERLINK("http://dx.doi.org/10.1017/S0954102009990393","http://dx.doi.org/10.1017/S0954102009990393")</f>
        <v>http://dx.doi.org/10.1017/S0954102009990393</v>
      </c>
      <c r="BG305" t="s">
        <v>74</v>
      </c>
      <c r="BH305" t="s">
        <v>74</v>
      </c>
      <c r="BI305">
        <v>6</v>
      </c>
      <c r="BJ305" t="s">
        <v>593</v>
      </c>
      <c r="BK305" t="s">
        <v>102</v>
      </c>
      <c r="BL305" t="s">
        <v>594</v>
      </c>
      <c r="BM305" t="s">
        <v>5912</v>
      </c>
      <c r="BN305" t="s">
        <v>74</v>
      </c>
      <c r="BO305" t="s">
        <v>74</v>
      </c>
      <c r="BP305" t="s">
        <v>74</v>
      </c>
      <c r="BQ305" t="s">
        <v>74</v>
      </c>
      <c r="BR305" t="s">
        <v>105</v>
      </c>
      <c r="BS305" t="s">
        <v>5963</v>
      </c>
      <c r="BT305" t="str">
        <f>HYPERLINK("https%3A%2F%2Fwww.webofscience.com%2Fwos%2Fwoscc%2Ffull-record%2FWOS:000274868100004","View Full Record in Web of Science")</f>
        <v>View Full Record in Web of Science</v>
      </c>
    </row>
    <row r="306" spans="1:72" x14ac:dyDescent="0.15">
      <c r="A306" t="s">
        <v>72</v>
      </c>
      <c r="B306" t="s">
        <v>5964</v>
      </c>
      <c r="C306" t="s">
        <v>74</v>
      </c>
      <c r="D306" t="s">
        <v>74</v>
      </c>
      <c r="E306" t="s">
        <v>74</v>
      </c>
      <c r="F306" t="s">
        <v>5965</v>
      </c>
      <c r="G306" t="s">
        <v>74</v>
      </c>
      <c r="H306" t="s">
        <v>74</v>
      </c>
      <c r="I306" t="s">
        <v>5966</v>
      </c>
      <c r="J306" t="s">
        <v>586</v>
      </c>
      <c r="K306" t="s">
        <v>74</v>
      </c>
      <c r="L306" t="s">
        <v>74</v>
      </c>
      <c r="M306" t="s">
        <v>78</v>
      </c>
      <c r="N306" t="s">
        <v>79</v>
      </c>
      <c r="O306" t="s">
        <v>74</v>
      </c>
      <c r="P306" t="s">
        <v>74</v>
      </c>
      <c r="Q306" t="s">
        <v>74</v>
      </c>
      <c r="R306" t="s">
        <v>74</v>
      </c>
      <c r="S306" t="s">
        <v>74</v>
      </c>
      <c r="T306" t="s">
        <v>5967</v>
      </c>
      <c r="U306" t="s">
        <v>5968</v>
      </c>
      <c r="V306" t="s">
        <v>5969</v>
      </c>
      <c r="W306" t="s">
        <v>5970</v>
      </c>
      <c r="X306" t="s">
        <v>5971</v>
      </c>
      <c r="Y306" t="s">
        <v>5972</v>
      </c>
      <c r="Z306" t="s">
        <v>2151</v>
      </c>
      <c r="AA306" t="s">
        <v>2152</v>
      </c>
      <c r="AB306" t="s">
        <v>2153</v>
      </c>
      <c r="AC306" t="s">
        <v>5973</v>
      </c>
      <c r="AD306" t="s">
        <v>5974</v>
      </c>
      <c r="AE306" t="s">
        <v>5975</v>
      </c>
      <c r="AF306" t="s">
        <v>74</v>
      </c>
      <c r="AG306">
        <v>34</v>
      </c>
      <c r="AH306">
        <v>4</v>
      </c>
      <c r="AI306">
        <v>5</v>
      </c>
      <c r="AJ306">
        <v>0</v>
      </c>
      <c r="AK306">
        <v>17</v>
      </c>
      <c r="AL306" t="s">
        <v>587</v>
      </c>
      <c r="AM306" t="s">
        <v>225</v>
      </c>
      <c r="AN306" t="s">
        <v>588</v>
      </c>
      <c r="AO306" t="s">
        <v>589</v>
      </c>
      <c r="AP306" t="s">
        <v>613</v>
      </c>
      <c r="AQ306" t="s">
        <v>74</v>
      </c>
      <c r="AR306" t="s">
        <v>590</v>
      </c>
      <c r="AS306" t="s">
        <v>591</v>
      </c>
      <c r="AT306" t="s">
        <v>5910</v>
      </c>
      <c r="AU306">
        <v>2010</v>
      </c>
      <c r="AV306">
        <v>22</v>
      </c>
      <c r="AW306">
        <v>1</v>
      </c>
      <c r="AX306" t="s">
        <v>74</v>
      </c>
      <c r="AY306" t="s">
        <v>74</v>
      </c>
      <c r="AZ306" t="s">
        <v>74</v>
      </c>
      <c r="BA306" t="s">
        <v>74</v>
      </c>
      <c r="BB306">
        <v>25</v>
      </c>
      <c r="BC306">
        <v>29</v>
      </c>
      <c r="BD306" t="s">
        <v>74</v>
      </c>
      <c r="BE306" t="s">
        <v>5976</v>
      </c>
      <c r="BF306" t="str">
        <f>HYPERLINK("http://dx.doi.org/10.1017/S0954102009990447","http://dx.doi.org/10.1017/S0954102009990447")</f>
        <v>http://dx.doi.org/10.1017/S0954102009990447</v>
      </c>
      <c r="BG306" t="s">
        <v>74</v>
      </c>
      <c r="BH306" t="s">
        <v>74</v>
      </c>
      <c r="BI306">
        <v>5</v>
      </c>
      <c r="BJ306" t="s">
        <v>593</v>
      </c>
      <c r="BK306" t="s">
        <v>102</v>
      </c>
      <c r="BL306" t="s">
        <v>594</v>
      </c>
      <c r="BM306" t="s">
        <v>5912</v>
      </c>
      <c r="BN306" t="s">
        <v>74</v>
      </c>
      <c r="BO306" t="s">
        <v>74</v>
      </c>
      <c r="BP306" t="s">
        <v>74</v>
      </c>
      <c r="BQ306" t="s">
        <v>74</v>
      </c>
      <c r="BR306" t="s">
        <v>105</v>
      </c>
      <c r="BS306" t="s">
        <v>5977</v>
      </c>
      <c r="BT306" t="str">
        <f>HYPERLINK("https%3A%2F%2Fwww.webofscience.com%2Fwos%2Fwoscc%2Ffull-record%2FWOS:000274868100005","View Full Record in Web of Science")</f>
        <v>View Full Record in Web of Science</v>
      </c>
    </row>
    <row r="307" spans="1:72" x14ac:dyDescent="0.15">
      <c r="A307" t="s">
        <v>72</v>
      </c>
      <c r="B307" t="s">
        <v>5978</v>
      </c>
      <c r="C307" t="s">
        <v>74</v>
      </c>
      <c r="D307" t="s">
        <v>74</v>
      </c>
      <c r="E307" t="s">
        <v>74</v>
      </c>
      <c r="F307" t="s">
        <v>5979</v>
      </c>
      <c r="G307" t="s">
        <v>74</v>
      </c>
      <c r="H307" t="s">
        <v>74</v>
      </c>
      <c r="I307" t="s">
        <v>5980</v>
      </c>
      <c r="J307" t="s">
        <v>586</v>
      </c>
      <c r="K307" t="s">
        <v>74</v>
      </c>
      <c r="L307" t="s">
        <v>74</v>
      </c>
      <c r="M307" t="s">
        <v>78</v>
      </c>
      <c r="N307" t="s">
        <v>79</v>
      </c>
      <c r="O307" t="s">
        <v>74</v>
      </c>
      <c r="P307" t="s">
        <v>74</v>
      </c>
      <c r="Q307" t="s">
        <v>74</v>
      </c>
      <c r="R307" t="s">
        <v>74</v>
      </c>
      <c r="S307" t="s">
        <v>74</v>
      </c>
      <c r="T307" t="s">
        <v>5981</v>
      </c>
      <c r="U307" t="s">
        <v>5982</v>
      </c>
      <c r="V307" t="s">
        <v>5983</v>
      </c>
      <c r="W307" t="s">
        <v>5984</v>
      </c>
      <c r="X307" t="s">
        <v>5985</v>
      </c>
      <c r="Y307" t="s">
        <v>5986</v>
      </c>
      <c r="Z307" t="s">
        <v>5987</v>
      </c>
      <c r="AA307" t="s">
        <v>5988</v>
      </c>
      <c r="AB307" t="s">
        <v>5989</v>
      </c>
      <c r="AC307" t="s">
        <v>5990</v>
      </c>
      <c r="AD307" t="s">
        <v>5991</v>
      </c>
      <c r="AE307" t="s">
        <v>5992</v>
      </c>
      <c r="AF307" t="s">
        <v>74</v>
      </c>
      <c r="AG307">
        <v>28</v>
      </c>
      <c r="AH307">
        <v>35</v>
      </c>
      <c r="AI307">
        <v>37</v>
      </c>
      <c r="AJ307">
        <v>0</v>
      </c>
      <c r="AK307">
        <v>38</v>
      </c>
      <c r="AL307" t="s">
        <v>587</v>
      </c>
      <c r="AM307" t="s">
        <v>225</v>
      </c>
      <c r="AN307" t="s">
        <v>588</v>
      </c>
      <c r="AO307" t="s">
        <v>589</v>
      </c>
      <c r="AP307" t="s">
        <v>74</v>
      </c>
      <c r="AQ307" t="s">
        <v>74</v>
      </c>
      <c r="AR307" t="s">
        <v>590</v>
      </c>
      <c r="AS307" t="s">
        <v>591</v>
      </c>
      <c r="AT307" t="s">
        <v>5910</v>
      </c>
      <c r="AU307">
        <v>2010</v>
      </c>
      <c r="AV307">
        <v>22</v>
      </c>
      <c r="AW307">
        <v>1</v>
      </c>
      <c r="AX307" t="s">
        <v>74</v>
      </c>
      <c r="AY307" t="s">
        <v>74</v>
      </c>
      <c r="AZ307" t="s">
        <v>74</v>
      </c>
      <c r="BA307" t="s">
        <v>74</v>
      </c>
      <c r="BB307">
        <v>31</v>
      </c>
      <c r="BC307">
        <v>38</v>
      </c>
      <c r="BD307" t="s">
        <v>74</v>
      </c>
      <c r="BE307" t="s">
        <v>5993</v>
      </c>
      <c r="BF307" t="str">
        <f>HYPERLINK("http://dx.doi.org/10.1017/S0954102009990472","http://dx.doi.org/10.1017/S0954102009990472")</f>
        <v>http://dx.doi.org/10.1017/S0954102009990472</v>
      </c>
      <c r="BG307" t="s">
        <v>74</v>
      </c>
      <c r="BH307" t="s">
        <v>74</v>
      </c>
      <c r="BI307">
        <v>8</v>
      </c>
      <c r="BJ307" t="s">
        <v>593</v>
      </c>
      <c r="BK307" t="s">
        <v>102</v>
      </c>
      <c r="BL307" t="s">
        <v>594</v>
      </c>
      <c r="BM307" t="s">
        <v>5912</v>
      </c>
      <c r="BN307" t="s">
        <v>74</v>
      </c>
      <c r="BO307" t="s">
        <v>74</v>
      </c>
      <c r="BP307" t="s">
        <v>74</v>
      </c>
      <c r="BQ307" t="s">
        <v>74</v>
      </c>
      <c r="BR307" t="s">
        <v>105</v>
      </c>
      <c r="BS307" t="s">
        <v>5994</v>
      </c>
      <c r="BT307" t="str">
        <f>HYPERLINK("https%3A%2F%2Fwww.webofscience.com%2Fwos%2Fwoscc%2Ffull-record%2FWOS:000274868100006","View Full Record in Web of Science")</f>
        <v>View Full Record in Web of Science</v>
      </c>
    </row>
    <row r="308" spans="1:72" x14ac:dyDescent="0.15">
      <c r="A308" t="s">
        <v>72</v>
      </c>
      <c r="B308" t="s">
        <v>5995</v>
      </c>
      <c r="C308" t="s">
        <v>74</v>
      </c>
      <c r="D308" t="s">
        <v>74</v>
      </c>
      <c r="E308" t="s">
        <v>74</v>
      </c>
      <c r="F308" t="s">
        <v>5996</v>
      </c>
      <c r="G308" t="s">
        <v>74</v>
      </c>
      <c r="H308" t="s">
        <v>74</v>
      </c>
      <c r="I308" t="s">
        <v>5997</v>
      </c>
      <c r="J308" t="s">
        <v>586</v>
      </c>
      <c r="K308" t="s">
        <v>74</v>
      </c>
      <c r="L308" t="s">
        <v>74</v>
      </c>
      <c r="M308" t="s">
        <v>78</v>
      </c>
      <c r="N308" t="s">
        <v>79</v>
      </c>
      <c r="O308" t="s">
        <v>74</v>
      </c>
      <c r="P308" t="s">
        <v>74</v>
      </c>
      <c r="Q308" t="s">
        <v>74</v>
      </c>
      <c r="R308" t="s">
        <v>74</v>
      </c>
      <c r="S308" t="s">
        <v>74</v>
      </c>
      <c r="T308" t="s">
        <v>5998</v>
      </c>
      <c r="U308" t="s">
        <v>5999</v>
      </c>
      <c r="V308" t="s">
        <v>6000</v>
      </c>
      <c r="W308" t="s">
        <v>6001</v>
      </c>
      <c r="X308" t="s">
        <v>6002</v>
      </c>
      <c r="Y308" t="s">
        <v>6003</v>
      </c>
      <c r="Z308" t="s">
        <v>6004</v>
      </c>
      <c r="AA308" t="s">
        <v>74</v>
      </c>
      <c r="AB308" t="s">
        <v>6005</v>
      </c>
      <c r="AC308" t="s">
        <v>6006</v>
      </c>
      <c r="AD308" t="s">
        <v>6006</v>
      </c>
      <c r="AE308" t="s">
        <v>6007</v>
      </c>
      <c r="AF308" t="s">
        <v>74</v>
      </c>
      <c r="AG308">
        <v>15</v>
      </c>
      <c r="AH308">
        <v>47</v>
      </c>
      <c r="AI308">
        <v>50</v>
      </c>
      <c r="AJ308">
        <v>0</v>
      </c>
      <c r="AK308">
        <v>27</v>
      </c>
      <c r="AL308" t="s">
        <v>587</v>
      </c>
      <c r="AM308" t="s">
        <v>225</v>
      </c>
      <c r="AN308" t="s">
        <v>588</v>
      </c>
      <c r="AO308" t="s">
        <v>589</v>
      </c>
      <c r="AP308" t="s">
        <v>74</v>
      </c>
      <c r="AQ308" t="s">
        <v>74</v>
      </c>
      <c r="AR308" t="s">
        <v>590</v>
      </c>
      <c r="AS308" t="s">
        <v>591</v>
      </c>
      <c r="AT308" t="s">
        <v>5910</v>
      </c>
      <c r="AU308">
        <v>2010</v>
      </c>
      <c r="AV308">
        <v>22</v>
      </c>
      <c r="AW308">
        <v>1</v>
      </c>
      <c r="AX308" t="s">
        <v>74</v>
      </c>
      <c r="AY308" t="s">
        <v>74</v>
      </c>
      <c r="AZ308" t="s">
        <v>74</v>
      </c>
      <c r="BA308" t="s">
        <v>74</v>
      </c>
      <c r="BB308">
        <v>39</v>
      </c>
      <c r="BC308">
        <v>42</v>
      </c>
      <c r="BD308" t="s">
        <v>74</v>
      </c>
      <c r="BE308" t="s">
        <v>6008</v>
      </c>
      <c r="BF308" t="str">
        <f>HYPERLINK("http://dx.doi.org/10.1017/S0954102009990459","http://dx.doi.org/10.1017/S0954102009990459")</f>
        <v>http://dx.doi.org/10.1017/S0954102009990459</v>
      </c>
      <c r="BG308" t="s">
        <v>74</v>
      </c>
      <c r="BH308" t="s">
        <v>74</v>
      </c>
      <c r="BI308">
        <v>4</v>
      </c>
      <c r="BJ308" t="s">
        <v>593</v>
      </c>
      <c r="BK308" t="s">
        <v>102</v>
      </c>
      <c r="BL308" t="s">
        <v>594</v>
      </c>
      <c r="BM308" t="s">
        <v>5912</v>
      </c>
      <c r="BN308" t="s">
        <v>74</v>
      </c>
      <c r="BO308" t="s">
        <v>74</v>
      </c>
      <c r="BP308" t="s">
        <v>74</v>
      </c>
      <c r="BQ308" t="s">
        <v>74</v>
      </c>
      <c r="BR308" t="s">
        <v>105</v>
      </c>
      <c r="BS308" t="s">
        <v>6009</v>
      </c>
      <c r="BT308" t="str">
        <f>HYPERLINK("https%3A%2F%2Fwww.webofscience.com%2Fwos%2Fwoscc%2Ffull-record%2FWOS:000274868100007","View Full Record in Web of Science")</f>
        <v>View Full Record in Web of Science</v>
      </c>
    </row>
    <row r="309" spans="1:72" x14ac:dyDescent="0.15">
      <c r="A309" t="s">
        <v>72</v>
      </c>
      <c r="B309" t="s">
        <v>6010</v>
      </c>
      <c r="C309" t="s">
        <v>74</v>
      </c>
      <c r="D309" t="s">
        <v>74</v>
      </c>
      <c r="E309" t="s">
        <v>74</v>
      </c>
      <c r="F309" t="s">
        <v>6011</v>
      </c>
      <c r="G309" t="s">
        <v>74</v>
      </c>
      <c r="H309" t="s">
        <v>74</v>
      </c>
      <c r="I309" t="s">
        <v>6012</v>
      </c>
      <c r="J309" t="s">
        <v>586</v>
      </c>
      <c r="K309" t="s">
        <v>74</v>
      </c>
      <c r="L309" t="s">
        <v>74</v>
      </c>
      <c r="M309" t="s">
        <v>78</v>
      </c>
      <c r="N309" t="s">
        <v>79</v>
      </c>
      <c r="O309" t="s">
        <v>74</v>
      </c>
      <c r="P309" t="s">
        <v>74</v>
      </c>
      <c r="Q309" t="s">
        <v>74</v>
      </c>
      <c r="R309" t="s">
        <v>74</v>
      </c>
      <c r="S309" t="s">
        <v>74</v>
      </c>
      <c r="T309" t="s">
        <v>74</v>
      </c>
      <c r="U309" t="s">
        <v>6013</v>
      </c>
      <c r="V309" t="s">
        <v>74</v>
      </c>
      <c r="W309" t="s">
        <v>6014</v>
      </c>
      <c r="X309" t="s">
        <v>6015</v>
      </c>
      <c r="Y309" t="s">
        <v>6016</v>
      </c>
      <c r="Z309" t="s">
        <v>6017</v>
      </c>
      <c r="AA309" t="s">
        <v>6018</v>
      </c>
      <c r="AB309" t="s">
        <v>6019</v>
      </c>
      <c r="AC309" t="s">
        <v>6020</v>
      </c>
      <c r="AD309" t="s">
        <v>6021</v>
      </c>
      <c r="AE309" t="s">
        <v>6022</v>
      </c>
      <c r="AF309" t="s">
        <v>74</v>
      </c>
      <c r="AG309">
        <v>9</v>
      </c>
      <c r="AH309">
        <v>8</v>
      </c>
      <c r="AI309">
        <v>8</v>
      </c>
      <c r="AJ309">
        <v>1</v>
      </c>
      <c r="AK309">
        <v>22</v>
      </c>
      <c r="AL309" t="s">
        <v>587</v>
      </c>
      <c r="AM309" t="s">
        <v>225</v>
      </c>
      <c r="AN309" t="s">
        <v>588</v>
      </c>
      <c r="AO309" t="s">
        <v>589</v>
      </c>
      <c r="AP309" t="s">
        <v>74</v>
      </c>
      <c r="AQ309" t="s">
        <v>74</v>
      </c>
      <c r="AR309" t="s">
        <v>590</v>
      </c>
      <c r="AS309" t="s">
        <v>591</v>
      </c>
      <c r="AT309" t="s">
        <v>5910</v>
      </c>
      <c r="AU309">
        <v>2010</v>
      </c>
      <c r="AV309">
        <v>22</v>
      </c>
      <c r="AW309">
        <v>1</v>
      </c>
      <c r="AX309" t="s">
        <v>74</v>
      </c>
      <c r="AY309" t="s">
        <v>74</v>
      </c>
      <c r="AZ309" t="s">
        <v>74</v>
      </c>
      <c r="BA309" t="s">
        <v>74</v>
      </c>
      <c r="BB309">
        <v>43</v>
      </c>
      <c r="BC309">
        <v>44</v>
      </c>
      <c r="BD309" t="s">
        <v>74</v>
      </c>
      <c r="BE309" t="s">
        <v>6023</v>
      </c>
      <c r="BF309" t="str">
        <f>HYPERLINK("http://dx.doi.org/10.1017/S0954102009990368","http://dx.doi.org/10.1017/S0954102009990368")</f>
        <v>http://dx.doi.org/10.1017/S0954102009990368</v>
      </c>
      <c r="BG309" t="s">
        <v>74</v>
      </c>
      <c r="BH309" t="s">
        <v>74</v>
      </c>
      <c r="BI309">
        <v>2</v>
      </c>
      <c r="BJ309" t="s">
        <v>593</v>
      </c>
      <c r="BK309" t="s">
        <v>102</v>
      </c>
      <c r="BL309" t="s">
        <v>594</v>
      </c>
      <c r="BM309" t="s">
        <v>5912</v>
      </c>
      <c r="BN309" t="s">
        <v>74</v>
      </c>
      <c r="BO309" t="s">
        <v>555</v>
      </c>
      <c r="BP309" t="s">
        <v>74</v>
      </c>
      <c r="BQ309" t="s">
        <v>74</v>
      </c>
      <c r="BR309" t="s">
        <v>105</v>
      </c>
      <c r="BS309" t="s">
        <v>6024</v>
      </c>
      <c r="BT309" t="str">
        <f>HYPERLINK("https%3A%2F%2Fwww.webofscience.com%2Fwos%2Fwoscc%2Ffull-record%2FWOS:000274868100008","View Full Record in Web of Science")</f>
        <v>View Full Record in Web of Science</v>
      </c>
    </row>
    <row r="310" spans="1:72" x14ac:dyDescent="0.15">
      <c r="A310" t="s">
        <v>72</v>
      </c>
      <c r="B310" t="s">
        <v>6025</v>
      </c>
      <c r="C310" t="s">
        <v>74</v>
      </c>
      <c r="D310" t="s">
        <v>74</v>
      </c>
      <c r="E310" t="s">
        <v>74</v>
      </c>
      <c r="F310" t="s">
        <v>6026</v>
      </c>
      <c r="G310" t="s">
        <v>74</v>
      </c>
      <c r="H310" t="s">
        <v>74</v>
      </c>
      <c r="I310" t="s">
        <v>6027</v>
      </c>
      <c r="J310" t="s">
        <v>586</v>
      </c>
      <c r="K310" t="s">
        <v>74</v>
      </c>
      <c r="L310" t="s">
        <v>74</v>
      </c>
      <c r="M310" t="s">
        <v>78</v>
      </c>
      <c r="N310" t="s">
        <v>79</v>
      </c>
      <c r="O310" t="s">
        <v>74</v>
      </c>
      <c r="P310" t="s">
        <v>74</v>
      </c>
      <c r="Q310" t="s">
        <v>74</v>
      </c>
      <c r="R310" t="s">
        <v>74</v>
      </c>
      <c r="S310" t="s">
        <v>74</v>
      </c>
      <c r="T310" t="s">
        <v>6028</v>
      </c>
      <c r="U310" t="s">
        <v>6029</v>
      </c>
      <c r="V310" t="s">
        <v>6030</v>
      </c>
      <c r="W310" t="s">
        <v>6031</v>
      </c>
      <c r="X310" t="s">
        <v>6032</v>
      </c>
      <c r="Y310" t="s">
        <v>6033</v>
      </c>
      <c r="Z310" t="s">
        <v>6034</v>
      </c>
      <c r="AA310" t="s">
        <v>6035</v>
      </c>
      <c r="AB310" t="s">
        <v>6036</v>
      </c>
      <c r="AC310" t="s">
        <v>6037</v>
      </c>
      <c r="AD310" t="s">
        <v>6038</v>
      </c>
      <c r="AE310" t="s">
        <v>6039</v>
      </c>
      <c r="AF310" t="s">
        <v>74</v>
      </c>
      <c r="AG310">
        <v>29</v>
      </c>
      <c r="AH310">
        <v>57</v>
      </c>
      <c r="AI310">
        <v>60</v>
      </c>
      <c r="AJ310">
        <v>0</v>
      </c>
      <c r="AK310">
        <v>15</v>
      </c>
      <c r="AL310" t="s">
        <v>587</v>
      </c>
      <c r="AM310" t="s">
        <v>225</v>
      </c>
      <c r="AN310" t="s">
        <v>588</v>
      </c>
      <c r="AO310" t="s">
        <v>589</v>
      </c>
      <c r="AP310" t="s">
        <v>613</v>
      </c>
      <c r="AQ310" t="s">
        <v>74</v>
      </c>
      <c r="AR310" t="s">
        <v>590</v>
      </c>
      <c r="AS310" t="s">
        <v>591</v>
      </c>
      <c r="AT310" t="s">
        <v>5910</v>
      </c>
      <c r="AU310">
        <v>2010</v>
      </c>
      <c r="AV310">
        <v>22</v>
      </c>
      <c r="AW310">
        <v>1</v>
      </c>
      <c r="AX310" t="s">
        <v>74</v>
      </c>
      <c r="AY310" t="s">
        <v>74</v>
      </c>
      <c r="AZ310" t="s">
        <v>74</v>
      </c>
      <c r="BA310" t="s">
        <v>74</v>
      </c>
      <c r="BB310">
        <v>45</v>
      </c>
      <c r="BC310">
        <v>52</v>
      </c>
      <c r="BD310" t="s">
        <v>74</v>
      </c>
      <c r="BE310" t="s">
        <v>6040</v>
      </c>
      <c r="BF310" t="str">
        <f>HYPERLINK("http://dx.doi.org/10.1017/S0954102009990460","http://dx.doi.org/10.1017/S0954102009990460")</f>
        <v>http://dx.doi.org/10.1017/S0954102009990460</v>
      </c>
      <c r="BG310" t="s">
        <v>74</v>
      </c>
      <c r="BH310" t="s">
        <v>74</v>
      </c>
      <c r="BI310">
        <v>8</v>
      </c>
      <c r="BJ310" t="s">
        <v>593</v>
      </c>
      <c r="BK310" t="s">
        <v>102</v>
      </c>
      <c r="BL310" t="s">
        <v>594</v>
      </c>
      <c r="BM310" t="s">
        <v>5912</v>
      </c>
      <c r="BN310" t="s">
        <v>74</v>
      </c>
      <c r="BO310" t="s">
        <v>555</v>
      </c>
      <c r="BP310" t="s">
        <v>74</v>
      </c>
      <c r="BQ310" t="s">
        <v>74</v>
      </c>
      <c r="BR310" t="s">
        <v>105</v>
      </c>
      <c r="BS310" t="s">
        <v>6041</v>
      </c>
      <c r="BT310" t="str">
        <f>HYPERLINK("https%3A%2F%2Fwww.webofscience.com%2Fwos%2Fwoscc%2Ffull-record%2FWOS:000274868100009","View Full Record in Web of Science")</f>
        <v>View Full Record in Web of Science</v>
      </c>
    </row>
    <row r="311" spans="1:72" x14ac:dyDescent="0.15">
      <c r="A311" t="s">
        <v>72</v>
      </c>
      <c r="B311" t="s">
        <v>6042</v>
      </c>
      <c r="C311" t="s">
        <v>74</v>
      </c>
      <c r="D311" t="s">
        <v>74</v>
      </c>
      <c r="E311" t="s">
        <v>74</v>
      </c>
      <c r="F311" t="s">
        <v>6043</v>
      </c>
      <c r="G311" t="s">
        <v>74</v>
      </c>
      <c r="H311" t="s">
        <v>74</v>
      </c>
      <c r="I311" t="s">
        <v>6044</v>
      </c>
      <c r="J311" t="s">
        <v>586</v>
      </c>
      <c r="K311" t="s">
        <v>74</v>
      </c>
      <c r="L311" t="s">
        <v>74</v>
      </c>
      <c r="M311" t="s">
        <v>78</v>
      </c>
      <c r="N311" t="s">
        <v>79</v>
      </c>
      <c r="O311" t="s">
        <v>74</v>
      </c>
      <c r="P311" t="s">
        <v>74</v>
      </c>
      <c r="Q311" t="s">
        <v>74</v>
      </c>
      <c r="R311" t="s">
        <v>74</v>
      </c>
      <c r="S311" t="s">
        <v>74</v>
      </c>
      <c r="T311" t="s">
        <v>6045</v>
      </c>
      <c r="U311" t="s">
        <v>6046</v>
      </c>
      <c r="V311" t="s">
        <v>6047</v>
      </c>
      <c r="W311" t="s">
        <v>6048</v>
      </c>
      <c r="X311" t="s">
        <v>6049</v>
      </c>
      <c r="Y311" t="s">
        <v>1891</v>
      </c>
      <c r="Z311" t="s">
        <v>6050</v>
      </c>
      <c r="AA311" t="s">
        <v>6051</v>
      </c>
      <c r="AB311" t="s">
        <v>6052</v>
      </c>
      <c r="AC311" t="s">
        <v>6053</v>
      </c>
      <c r="AD311" t="s">
        <v>6054</v>
      </c>
      <c r="AE311" t="s">
        <v>6055</v>
      </c>
      <c r="AF311" t="s">
        <v>74</v>
      </c>
      <c r="AG311">
        <v>46</v>
      </c>
      <c r="AH311">
        <v>11</v>
      </c>
      <c r="AI311">
        <v>12</v>
      </c>
      <c r="AJ311">
        <v>0</v>
      </c>
      <c r="AK311">
        <v>8</v>
      </c>
      <c r="AL311" t="s">
        <v>587</v>
      </c>
      <c r="AM311" t="s">
        <v>225</v>
      </c>
      <c r="AN311" t="s">
        <v>588</v>
      </c>
      <c r="AO311" t="s">
        <v>589</v>
      </c>
      <c r="AP311" t="s">
        <v>613</v>
      </c>
      <c r="AQ311" t="s">
        <v>74</v>
      </c>
      <c r="AR311" t="s">
        <v>590</v>
      </c>
      <c r="AS311" t="s">
        <v>591</v>
      </c>
      <c r="AT311" t="s">
        <v>5910</v>
      </c>
      <c r="AU311">
        <v>2010</v>
      </c>
      <c r="AV311">
        <v>22</v>
      </c>
      <c r="AW311">
        <v>1</v>
      </c>
      <c r="AX311" t="s">
        <v>74</v>
      </c>
      <c r="AY311" t="s">
        <v>74</v>
      </c>
      <c r="AZ311" t="s">
        <v>74</v>
      </c>
      <c r="BA311" t="s">
        <v>74</v>
      </c>
      <c r="BB311">
        <v>53</v>
      </c>
      <c r="BC311">
        <v>64</v>
      </c>
      <c r="BD311" t="s">
        <v>74</v>
      </c>
      <c r="BE311" t="s">
        <v>6056</v>
      </c>
      <c r="BF311" t="str">
        <f>HYPERLINK("http://dx.doi.org/10.1017/S0954102009990526","http://dx.doi.org/10.1017/S0954102009990526")</f>
        <v>http://dx.doi.org/10.1017/S0954102009990526</v>
      </c>
      <c r="BG311" t="s">
        <v>74</v>
      </c>
      <c r="BH311" t="s">
        <v>74</v>
      </c>
      <c r="BI311">
        <v>12</v>
      </c>
      <c r="BJ311" t="s">
        <v>593</v>
      </c>
      <c r="BK311" t="s">
        <v>102</v>
      </c>
      <c r="BL311" t="s">
        <v>594</v>
      </c>
      <c r="BM311" t="s">
        <v>5912</v>
      </c>
      <c r="BN311" t="s">
        <v>74</v>
      </c>
      <c r="BO311" t="s">
        <v>555</v>
      </c>
      <c r="BP311" t="s">
        <v>74</v>
      </c>
      <c r="BQ311" t="s">
        <v>74</v>
      </c>
      <c r="BR311" t="s">
        <v>105</v>
      </c>
      <c r="BS311" t="s">
        <v>6057</v>
      </c>
      <c r="BT311" t="str">
        <f>HYPERLINK("https%3A%2F%2Fwww.webofscience.com%2Fwos%2Fwoscc%2Ffull-record%2FWOS:000274868100010","View Full Record in Web of Science")</f>
        <v>View Full Record in Web of Science</v>
      </c>
    </row>
    <row r="312" spans="1:72" x14ac:dyDescent="0.15">
      <c r="A312" t="s">
        <v>72</v>
      </c>
      <c r="B312" t="s">
        <v>6058</v>
      </c>
      <c r="C312" t="s">
        <v>74</v>
      </c>
      <c r="D312" t="s">
        <v>74</v>
      </c>
      <c r="E312" t="s">
        <v>74</v>
      </c>
      <c r="F312" t="s">
        <v>6059</v>
      </c>
      <c r="G312" t="s">
        <v>74</v>
      </c>
      <c r="H312" t="s">
        <v>74</v>
      </c>
      <c r="I312" t="s">
        <v>6060</v>
      </c>
      <c r="J312" t="s">
        <v>586</v>
      </c>
      <c r="K312" t="s">
        <v>74</v>
      </c>
      <c r="L312" t="s">
        <v>74</v>
      </c>
      <c r="M312" t="s">
        <v>78</v>
      </c>
      <c r="N312" t="s">
        <v>79</v>
      </c>
      <c r="O312" t="s">
        <v>74</v>
      </c>
      <c r="P312" t="s">
        <v>74</v>
      </c>
      <c r="Q312" t="s">
        <v>74</v>
      </c>
      <c r="R312" t="s">
        <v>74</v>
      </c>
      <c r="S312" t="s">
        <v>74</v>
      </c>
      <c r="T312" t="s">
        <v>6061</v>
      </c>
      <c r="U312" t="s">
        <v>6062</v>
      </c>
      <c r="V312" t="s">
        <v>6063</v>
      </c>
      <c r="W312" t="s">
        <v>6064</v>
      </c>
      <c r="X312" t="s">
        <v>6065</v>
      </c>
      <c r="Y312" t="s">
        <v>6066</v>
      </c>
      <c r="Z312" t="s">
        <v>6067</v>
      </c>
      <c r="AA312" t="s">
        <v>6068</v>
      </c>
      <c r="AB312" t="s">
        <v>6069</v>
      </c>
      <c r="AC312" t="s">
        <v>6070</v>
      </c>
      <c r="AD312" t="s">
        <v>6071</v>
      </c>
      <c r="AE312" t="s">
        <v>6072</v>
      </c>
      <c r="AF312" t="s">
        <v>74</v>
      </c>
      <c r="AG312">
        <v>48</v>
      </c>
      <c r="AH312">
        <v>53</v>
      </c>
      <c r="AI312">
        <v>56</v>
      </c>
      <c r="AJ312">
        <v>1</v>
      </c>
      <c r="AK312">
        <v>7</v>
      </c>
      <c r="AL312" t="s">
        <v>587</v>
      </c>
      <c r="AM312" t="s">
        <v>225</v>
      </c>
      <c r="AN312" t="s">
        <v>588</v>
      </c>
      <c r="AO312" t="s">
        <v>589</v>
      </c>
      <c r="AP312" t="s">
        <v>613</v>
      </c>
      <c r="AQ312" t="s">
        <v>74</v>
      </c>
      <c r="AR312" t="s">
        <v>590</v>
      </c>
      <c r="AS312" t="s">
        <v>591</v>
      </c>
      <c r="AT312" t="s">
        <v>5910</v>
      </c>
      <c r="AU312">
        <v>2010</v>
      </c>
      <c r="AV312">
        <v>22</v>
      </c>
      <c r="AW312">
        <v>1</v>
      </c>
      <c r="AX312" t="s">
        <v>74</v>
      </c>
      <c r="AY312" t="s">
        <v>74</v>
      </c>
      <c r="AZ312" t="s">
        <v>74</v>
      </c>
      <c r="BA312" t="s">
        <v>74</v>
      </c>
      <c r="BB312">
        <v>65</v>
      </c>
      <c r="BC312">
        <v>78</v>
      </c>
      <c r="BD312" t="s">
        <v>74</v>
      </c>
      <c r="BE312" t="s">
        <v>6073</v>
      </c>
      <c r="BF312" t="str">
        <f>HYPERLINK("http://dx.doi.org/10.1017/S095410200999054X","http://dx.doi.org/10.1017/S095410200999054X")</f>
        <v>http://dx.doi.org/10.1017/S095410200999054X</v>
      </c>
      <c r="BG312" t="s">
        <v>74</v>
      </c>
      <c r="BH312" t="s">
        <v>74</v>
      </c>
      <c r="BI312">
        <v>14</v>
      </c>
      <c r="BJ312" t="s">
        <v>593</v>
      </c>
      <c r="BK312" t="s">
        <v>102</v>
      </c>
      <c r="BL312" t="s">
        <v>594</v>
      </c>
      <c r="BM312" t="s">
        <v>5912</v>
      </c>
      <c r="BN312" t="s">
        <v>74</v>
      </c>
      <c r="BO312" t="s">
        <v>555</v>
      </c>
      <c r="BP312" t="s">
        <v>74</v>
      </c>
      <c r="BQ312" t="s">
        <v>74</v>
      </c>
      <c r="BR312" t="s">
        <v>105</v>
      </c>
      <c r="BS312" t="s">
        <v>6074</v>
      </c>
      <c r="BT312" t="str">
        <f>HYPERLINK("https%3A%2F%2Fwww.webofscience.com%2Fwos%2Fwoscc%2Ffull-record%2FWOS:000274868100011","View Full Record in Web of Science")</f>
        <v>View Full Record in Web of Science</v>
      </c>
    </row>
    <row r="313" spans="1:72" x14ac:dyDescent="0.15">
      <c r="A313" t="s">
        <v>72</v>
      </c>
      <c r="B313" t="s">
        <v>6075</v>
      </c>
      <c r="C313" t="s">
        <v>74</v>
      </c>
      <c r="D313" t="s">
        <v>74</v>
      </c>
      <c r="E313" t="s">
        <v>74</v>
      </c>
      <c r="F313" t="s">
        <v>6076</v>
      </c>
      <c r="G313" t="s">
        <v>74</v>
      </c>
      <c r="H313" t="s">
        <v>74</v>
      </c>
      <c r="I313" t="s">
        <v>6077</v>
      </c>
      <c r="J313" t="s">
        <v>586</v>
      </c>
      <c r="K313" t="s">
        <v>74</v>
      </c>
      <c r="L313" t="s">
        <v>74</v>
      </c>
      <c r="M313" t="s">
        <v>78</v>
      </c>
      <c r="N313" t="s">
        <v>79</v>
      </c>
      <c r="O313" t="s">
        <v>74</v>
      </c>
      <c r="P313" t="s">
        <v>74</v>
      </c>
      <c r="Q313" t="s">
        <v>74</v>
      </c>
      <c r="R313" t="s">
        <v>74</v>
      </c>
      <c r="S313" t="s">
        <v>74</v>
      </c>
      <c r="T313" t="s">
        <v>6078</v>
      </c>
      <c r="U313" t="s">
        <v>6079</v>
      </c>
      <c r="V313" t="s">
        <v>6080</v>
      </c>
      <c r="W313" t="s">
        <v>6081</v>
      </c>
      <c r="X313" t="s">
        <v>6082</v>
      </c>
      <c r="Y313" t="s">
        <v>6083</v>
      </c>
      <c r="Z313" t="s">
        <v>6084</v>
      </c>
      <c r="AA313" t="s">
        <v>6085</v>
      </c>
      <c r="AB313" t="s">
        <v>6086</v>
      </c>
      <c r="AC313" t="s">
        <v>6087</v>
      </c>
      <c r="AD313" t="s">
        <v>6088</v>
      </c>
      <c r="AE313" t="s">
        <v>6089</v>
      </c>
      <c r="AF313" t="s">
        <v>74</v>
      </c>
      <c r="AG313">
        <v>31</v>
      </c>
      <c r="AH313">
        <v>24</v>
      </c>
      <c r="AI313">
        <v>24</v>
      </c>
      <c r="AJ313">
        <v>0</v>
      </c>
      <c r="AK313">
        <v>16</v>
      </c>
      <c r="AL313" t="s">
        <v>587</v>
      </c>
      <c r="AM313" t="s">
        <v>225</v>
      </c>
      <c r="AN313" t="s">
        <v>588</v>
      </c>
      <c r="AO313" t="s">
        <v>589</v>
      </c>
      <c r="AP313" t="s">
        <v>613</v>
      </c>
      <c r="AQ313" t="s">
        <v>74</v>
      </c>
      <c r="AR313" t="s">
        <v>590</v>
      </c>
      <c r="AS313" t="s">
        <v>591</v>
      </c>
      <c r="AT313" t="s">
        <v>5910</v>
      </c>
      <c r="AU313">
        <v>2010</v>
      </c>
      <c r="AV313">
        <v>22</v>
      </c>
      <c r="AW313">
        <v>1</v>
      </c>
      <c r="AX313" t="s">
        <v>74</v>
      </c>
      <c r="AY313" t="s">
        <v>74</v>
      </c>
      <c r="AZ313" t="s">
        <v>74</v>
      </c>
      <c r="BA313" t="s">
        <v>74</v>
      </c>
      <c r="BB313">
        <v>79</v>
      </c>
      <c r="BC313">
        <v>85</v>
      </c>
      <c r="BD313" t="s">
        <v>74</v>
      </c>
      <c r="BE313" t="s">
        <v>6090</v>
      </c>
      <c r="BF313" t="str">
        <f>HYPERLINK("http://dx.doi.org/10.1017/S0954102009990344","http://dx.doi.org/10.1017/S0954102009990344")</f>
        <v>http://dx.doi.org/10.1017/S0954102009990344</v>
      </c>
      <c r="BG313" t="s">
        <v>74</v>
      </c>
      <c r="BH313" t="s">
        <v>74</v>
      </c>
      <c r="BI313">
        <v>7</v>
      </c>
      <c r="BJ313" t="s">
        <v>593</v>
      </c>
      <c r="BK313" t="s">
        <v>102</v>
      </c>
      <c r="BL313" t="s">
        <v>594</v>
      </c>
      <c r="BM313" t="s">
        <v>5912</v>
      </c>
      <c r="BN313" t="s">
        <v>74</v>
      </c>
      <c r="BO313" t="s">
        <v>74</v>
      </c>
      <c r="BP313" t="s">
        <v>74</v>
      </c>
      <c r="BQ313" t="s">
        <v>74</v>
      </c>
      <c r="BR313" t="s">
        <v>105</v>
      </c>
      <c r="BS313" t="s">
        <v>6091</v>
      </c>
      <c r="BT313" t="str">
        <f>HYPERLINK("https%3A%2F%2Fwww.webofscience.com%2Fwos%2Fwoscc%2Ffull-record%2FWOS:000274868100012","View Full Record in Web of Science")</f>
        <v>View Full Record in Web of Science</v>
      </c>
    </row>
    <row r="314" spans="1:72" x14ac:dyDescent="0.15">
      <c r="A314" t="s">
        <v>72</v>
      </c>
      <c r="B314" t="s">
        <v>6092</v>
      </c>
      <c r="C314" t="s">
        <v>74</v>
      </c>
      <c r="D314" t="s">
        <v>74</v>
      </c>
      <c r="E314" t="s">
        <v>74</v>
      </c>
      <c r="F314" t="s">
        <v>6093</v>
      </c>
      <c r="G314" t="s">
        <v>74</v>
      </c>
      <c r="H314" t="s">
        <v>74</v>
      </c>
      <c r="I314" t="s">
        <v>6094</v>
      </c>
      <c r="J314" t="s">
        <v>586</v>
      </c>
      <c r="K314" t="s">
        <v>74</v>
      </c>
      <c r="L314" t="s">
        <v>74</v>
      </c>
      <c r="M314" t="s">
        <v>78</v>
      </c>
      <c r="N314" t="s">
        <v>79</v>
      </c>
      <c r="O314" t="s">
        <v>74</v>
      </c>
      <c r="P314" t="s">
        <v>74</v>
      </c>
      <c r="Q314" t="s">
        <v>74</v>
      </c>
      <c r="R314" t="s">
        <v>74</v>
      </c>
      <c r="S314" t="s">
        <v>74</v>
      </c>
      <c r="T314" t="s">
        <v>6095</v>
      </c>
      <c r="U314" t="s">
        <v>6096</v>
      </c>
      <c r="V314" t="s">
        <v>6097</v>
      </c>
      <c r="W314" t="s">
        <v>6098</v>
      </c>
      <c r="X314" t="s">
        <v>6099</v>
      </c>
      <c r="Y314" t="s">
        <v>6100</v>
      </c>
      <c r="Z314" t="s">
        <v>6101</v>
      </c>
      <c r="AA314" t="s">
        <v>6102</v>
      </c>
      <c r="AB314" t="s">
        <v>6103</v>
      </c>
      <c r="AC314" t="s">
        <v>74</v>
      </c>
      <c r="AD314" t="s">
        <v>74</v>
      </c>
      <c r="AE314" t="s">
        <v>74</v>
      </c>
      <c r="AF314" t="s">
        <v>74</v>
      </c>
      <c r="AG314">
        <v>34</v>
      </c>
      <c r="AH314">
        <v>31</v>
      </c>
      <c r="AI314">
        <v>34</v>
      </c>
      <c r="AJ314">
        <v>0</v>
      </c>
      <c r="AK314">
        <v>15</v>
      </c>
      <c r="AL314" t="s">
        <v>587</v>
      </c>
      <c r="AM314" t="s">
        <v>225</v>
      </c>
      <c r="AN314" t="s">
        <v>588</v>
      </c>
      <c r="AO314" t="s">
        <v>589</v>
      </c>
      <c r="AP314" t="s">
        <v>613</v>
      </c>
      <c r="AQ314" t="s">
        <v>74</v>
      </c>
      <c r="AR314" t="s">
        <v>590</v>
      </c>
      <c r="AS314" t="s">
        <v>591</v>
      </c>
      <c r="AT314" t="s">
        <v>5910</v>
      </c>
      <c r="AU314">
        <v>2010</v>
      </c>
      <c r="AV314">
        <v>22</v>
      </c>
      <c r="AW314">
        <v>1</v>
      </c>
      <c r="AX314" t="s">
        <v>74</v>
      </c>
      <c r="AY314" t="s">
        <v>74</v>
      </c>
      <c r="AZ314" t="s">
        <v>74</v>
      </c>
      <c r="BA314" t="s">
        <v>74</v>
      </c>
      <c r="BB314">
        <v>87</v>
      </c>
      <c r="BC314">
        <v>96</v>
      </c>
      <c r="BD314" t="s">
        <v>74</v>
      </c>
      <c r="BE314" t="s">
        <v>6104</v>
      </c>
      <c r="BF314" t="str">
        <f>HYPERLINK("http://dx.doi.org/10.1017/S0954102009990538","http://dx.doi.org/10.1017/S0954102009990538")</f>
        <v>http://dx.doi.org/10.1017/S0954102009990538</v>
      </c>
      <c r="BG314" t="s">
        <v>74</v>
      </c>
      <c r="BH314" t="s">
        <v>74</v>
      </c>
      <c r="BI314">
        <v>10</v>
      </c>
      <c r="BJ314" t="s">
        <v>593</v>
      </c>
      <c r="BK314" t="s">
        <v>102</v>
      </c>
      <c r="BL314" t="s">
        <v>594</v>
      </c>
      <c r="BM314" t="s">
        <v>5912</v>
      </c>
      <c r="BN314" t="s">
        <v>74</v>
      </c>
      <c r="BO314" t="s">
        <v>555</v>
      </c>
      <c r="BP314" t="s">
        <v>74</v>
      </c>
      <c r="BQ314" t="s">
        <v>74</v>
      </c>
      <c r="BR314" t="s">
        <v>105</v>
      </c>
      <c r="BS314" t="s">
        <v>6105</v>
      </c>
      <c r="BT314" t="str">
        <f>HYPERLINK("https%3A%2F%2Fwww.webofscience.com%2Fwos%2Fwoscc%2Ffull-record%2FWOS:000274868100013","View Full Record in Web of Science")</f>
        <v>View Full Record in Web of Science</v>
      </c>
    </row>
    <row r="315" spans="1:72" x14ac:dyDescent="0.15">
      <c r="A315" t="s">
        <v>72</v>
      </c>
      <c r="B315" t="s">
        <v>6106</v>
      </c>
      <c r="C315" t="s">
        <v>74</v>
      </c>
      <c r="D315" t="s">
        <v>74</v>
      </c>
      <c r="E315" t="s">
        <v>74</v>
      </c>
      <c r="F315" t="s">
        <v>6107</v>
      </c>
      <c r="G315" t="s">
        <v>74</v>
      </c>
      <c r="H315" t="s">
        <v>74</v>
      </c>
      <c r="I315" t="s">
        <v>6108</v>
      </c>
      <c r="J315" t="s">
        <v>6109</v>
      </c>
      <c r="K315" t="s">
        <v>74</v>
      </c>
      <c r="L315" t="s">
        <v>74</v>
      </c>
      <c r="M315" t="s">
        <v>78</v>
      </c>
      <c r="N315" t="s">
        <v>79</v>
      </c>
      <c r="O315" t="s">
        <v>74</v>
      </c>
      <c r="P315" t="s">
        <v>74</v>
      </c>
      <c r="Q315" t="s">
        <v>74</v>
      </c>
      <c r="R315" t="s">
        <v>74</v>
      </c>
      <c r="S315" t="s">
        <v>74</v>
      </c>
      <c r="T315" t="s">
        <v>6110</v>
      </c>
      <c r="U315" t="s">
        <v>6111</v>
      </c>
      <c r="V315" t="s">
        <v>6112</v>
      </c>
      <c r="W315" t="s">
        <v>6113</v>
      </c>
      <c r="X315" t="s">
        <v>6114</v>
      </c>
      <c r="Y315" t="s">
        <v>6115</v>
      </c>
      <c r="Z315" t="s">
        <v>6116</v>
      </c>
      <c r="AA315" t="s">
        <v>6117</v>
      </c>
      <c r="AB315" t="s">
        <v>6118</v>
      </c>
      <c r="AC315" t="s">
        <v>6119</v>
      </c>
      <c r="AD315" t="s">
        <v>6120</v>
      </c>
      <c r="AE315" t="s">
        <v>6121</v>
      </c>
      <c r="AF315" t="s">
        <v>74</v>
      </c>
      <c r="AG315">
        <v>40</v>
      </c>
      <c r="AH315">
        <v>20</v>
      </c>
      <c r="AI315">
        <v>20</v>
      </c>
      <c r="AJ315">
        <v>1</v>
      </c>
      <c r="AK315">
        <v>21</v>
      </c>
      <c r="AL315" t="s">
        <v>173</v>
      </c>
      <c r="AM315" t="s">
        <v>145</v>
      </c>
      <c r="AN315" t="s">
        <v>174</v>
      </c>
      <c r="AO315" t="s">
        <v>6122</v>
      </c>
      <c r="AP315" t="s">
        <v>6123</v>
      </c>
      <c r="AQ315" t="s">
        <v>74</v>
      </c>
      <c r="AR315" t="s">
        <v>6109</v>
      </c>
      <c r="AS315" t="s">
        <v>6124</v>
      </c>
      <c r="AT315" t="s">
        <v>5910</v>
      </c>
      <c r="AU315">
        <v>2010</v>
      </c>
      <c r="AV315">
        <v>299</v>
      </c>
      <c r="AW315" t="s">
        <v>151</v>
      </c>
      <c r="AX315" t="s">
        <v>74</v>
      </c>
      <c r="AY315" t="s">
        <v>74</v>
      </c>
      <c r="AZ315" t="s">
        <v>74</v>
      </c>
      <c r="BA315" t="s">
        <v>74</v>
      </c>
      <c r="BB315">
        <v>115</v>
      </c>
      <c r="BC315">
        <v>120</v>
      </c>
      <c r="BD315" t="s">
        <v>74</v>
      </c>
      <c r="BE315" t="s">
        <v>6125</v>
      </c>
      <c r="BF315" t="str">
        <f>HYPERLINK("http://dx.doi.org/10.1016/j.aquaculture.2009.11.008","http://dx.doi.org/10.1016/j.aquaculture.2009.11.008")</f>
        <v>http://dx.doi.org/10.1016/j.aquaculture.2009.11.008</v>
      </c>
      <c r="BG315" t="s">
        <v>74</v>
      </c>
      <c r="BH315" t="s">
        <v>74</v>
      </c>
      <c r="BI315">
        <v>6</v>
      </c>
      <c r="BJ315" t="s">
        <v>1661</v>
      </c>
      <c r="BK315" t="s">
        <v>102</v>
      </c>
      <c r="BL315" t="s">
        <v>1661</v>
      </c>
      <c r="BM315" t="s">
        <v>6126</v>
      </c>
      <c r="BN315" t="s">
        <v>74</v>
      </c>
      <c r="BO315" t="s">
        <v>74</v>
      </c>
      <c r="BP315" t="s">
        <v>74</v>
      </c>
      <c r="BQ315" t="s">
        <v>74</v>
      </c>
      <c r="BR315" t="s">
        <v>105</v>
      </c>
      <c r="BS315" t="s">
        <v>6127</v>
      </c>
      <c r="BT315" t="str">
        <f>HYPERLINK("https%3A%2F%2Fwww.webofscience.com%2Fwos%2Fwoscc%2Ffull-record%2FWOS:000275033500016","View Full Record in Web of Science")</f>
        <v>View Full Record in Web of Science</v>
      </c>
    </row>
    <row r="316" spans="1:72" x14ac:dyDescent="0.15">
      <c r="A316" t="s">
        <v>72</v>
      </c>
      <c r="B316" t="s">
        <v>6128</v>
      </c>
      <c r="C316" t="s">
        <v>74</v>
      </c>
      <c r="D316" t="s">
        <v>74</v>
      </c>
      <c r="E316" t="s">
        <v>74</v>
      </c>
      <c r="F316" t="s">
        <v>6129</v>
      </c>
      <c r="G316" t="s">
        <v>74</v>
      </c>
      <c r="H316" t="s">
        <v>74</v>
      </c>
      <c r="I316" t="s">
        <v>6130</v>
      </c>
      <c r="J316" t="s">
        <v>6131</v>
      </c>
      <c r="K316" t="s">
        <v>74</v>
      </c>
      <c r="L316" t="s">
        <v>74</v>
      </c>
      <c r="M316" t="s">
        <v>78</v>
      </c>
      <c r="N316" t="s">
        <v>79</v>
      </c>
      <c r="O316" t="s">
        <v>74</v>
      </c>
      <c r="P316" t="s">
        <v>74</v>
      </c>
      <c r="Q316" t="s">
        <v>74</v>
      </c>
      <c r="R316" t="s">
        <v>74</v>
      </c>
      <c r="S316" t="s">
        <v>74</v>
      </c>
      <c r="T316" t="s">
        <v>74</v>
      </c>
      <c r="U316" t="s">
        <v>6132</v>
      </c>
      <c r="V316" t="s">
        <v>6133</v>
      </c>
      <c r="W316" t="s">
        <v>6134</v>
      </c>
      <c r="X316" t="s">
        <v>6135</v>
      </c>
      <c r="Y316" t="s">
        <v>6136</v>
      </c>
      <c r="Z316" t="s">
        <v>6137</v>
      </c>
      <c r="AA316" t="s">
        <v>74</v>
      </c>
      <c r="AB316" t="s">
        <v>6138</v>
      </c>
      <c r="AC316" t="s">
        <v>74</v>
      </c>
      <c r="AD316" t="s">
        <v>74</v>
      </c>
      <c r="AE316" t="s">
        <v>74</v>
      </c>
      <c r="AF316" t="s">
        <v>74</v>
      </c>
      <c r="AG316">
        <v>67</v>
      </c>
      <c r="AH316">
        <v>9</v>
      </c>
      <c r="AI316">
        <v>9</v>
      </c>
      <c r="AJ316">
        <v>1</v>
      </c>
      <c r="AK316">
        <v>32</v>
      </c>
      <c r="AL316" t="s">
        <v>546</v>
      </c>
      <c r="AM316" t="s">
        <v>547</v>
      </c>
      <c r="AN316" t="s">
        <v>548</v>
      </c>
      <c r="AO316" t="s">
        <v>6139</v>
      </c>
      <c r="AP316" t="s">
        <v>6140</v>
      </c>
      <c r="AQ316" t="s">
        <v>74</v>
      </c>
      <c r="AR316" t="s">
        <v>6141</v>
      </c>
      <c r="AS316" t="s">
        <v>6142</v>
      </c>
      <c r="AT316" t="s">
        <v>5910</v>
      </c>
      <c r="AU316">
        <v>2010</v>
      </c>
      <c r="AV316">
        <v>42</v>
      </c>
      <c r="AW316">
        <v>1</v>
      </c>
      <c r="AX316" t="s">
        <v>74</v>
      </c>
      <c r="AY316" t="s">
        <v>74</v>
      </c>
      <c r="AZ316" t="s">
        <v>74</v>
      </c>
      <c r="BA316" t="s">
        <v>74</v>
      </c>
      <c r="BB316">
        <v>1</v>
      </c>
      <c r="BC316">
        <v>8</v>
      </c>
      <c r="BD316" t="s">
        <v>74</v>
      </c>
      <c r="BE316" t="s">
        <v>6143</v>
      </c>
      <c r="BF316" t="str">
        <f>HYPERLINK("http://dx.doi.org/10.1657/1938-4246-42.1.1","http://dx.doi.org/10.1657/1938-4246-42.1.1")</f>
        <v>http://dx.doi.org/10.1657/1938-4246-42.1.1</v>
      </c>
      <c r="BG316" t="s">
        <v>74</v>
      </c>
      <c r="BH316" t="s">
        <v>74</v>
      </c>
      <c r="BI316">
        <v>8</v>
      </c>
      <c r="BJ316" t="s">
        <v>6144</v>
      </c>
      <c r="BK316" t="s">
        <v>102</v>
      </c>
      <c r="BL316" t="s">
        <v>1777</v>
      </c>
      <c r="BM316" t="s">
        <v>6145</v>
      </c>
      <c r="BN316" t="s">
        <v>74</v>
      </c>
      <c r="BO316" t="s">
        <v>555</v>
      </c>
      <c r="BP316" t="s">
        <v>74</v>
      </c>
      <c r="BQ316" t="s">
        <v>74</v>
      </c>
      <c r="BR316" t="s">
        <v>105</v>
      </c>
      <c r="BS316" t="s">
        <v>6146</v>
      </c>
      <c r="BT316" t="str">
        <f>HYPERLINK("https%3A%2F%2Fwww.webofscience.com%2Fwos%2Fwoscc%2Ffull-record%2FWOS:000275560500001","View Full Record in Web of Science")</f>
        <v>View Full Record in Web of Science</v>
      </c>
    </row>
    <row r="317" spans="1:72" x14ac:dyDescent="0.15">
      <c r="A317" t="s">
        <v>72</v>
      </c>
      <c r="B317" t="s">
        <v>6147</v>
      </c>
      <c r="C317" t="s">
        <v>74</v>
      </c>
      <c r="D317" t="s">
        <v>74</v>
      </c>
      <c r="E317" t="s">
        <v>74</v>
      </c>
      <c r="F317" t="s">
        <v>6148</v>
      </c>
      <c r="G317" t="s">
        <v>74</v>
      </c>
      <c r="H317" t="s">
        <v>74</v>
      </c>
      <c r="I317" t="s">
        <v>6149</v>
      </c>
      <c r="J317" t="s">
        <v>6131</v>
      </c>
      <c r="K317" t="s">
        <v>74</v>
      </c>
      <c r="L317" t="s">
        <v>74</v>
      </c>
      <c r="M317" t="s">
        <v>78</v>
      </c>
      <c r="N317" t="s">
        <v>79</v>
      </c>
      <c r="O317" t="s">
        <v>74</v>
      </c>
      <c r="P317" t="s">
        <v>74</v>
      </c>
      <c r="Q317" t="s">
        <v>74</v>
      </c>
      <c r="R317" t="s">
        <v>74</v>
      </c>
      <c r="S317" t="s">
        <v>74</v>
      </c>
      <c r="T317" t="s">
        <v>74</v>
      </c>
      <c r="U317" t="s">
        <v>6150</v>
      </c>
      <c r="V317" t="s">
        <v>6151</v>
      </c>
      <c r="W317" t="s">
        <v>6152</v>
      </c>
      <c r="X317" t="s">
        <v>6153</v>
      </c>
      <c r="Y317" t="s">
        <v>6154</v>
      </c>
      <c r="Z317" t="s">
        <v>6155</v>
      </c>
      <c r="AA317" t="s">
        <v>6156</v>
      </c>
      <c r="AB317" t="s">
        <v>6157</v>
      </c>
      <c r="AC317" t="s">
        <v>6158</v>
      </c>
      <c r="AD317" t="s">
        <v>989</v>
      </c>
      <c r="AE317" t="s">
        <v>6159</v>
      </c>
      <c r="AF317" t="s">
        <v>74</v>
      </c>
      <c r="AG317">
        <v>38</v>
      </c>
      <c r="AH317">
        <v>19</v>
      </c>
      <c r="AI317">
        <v>21</v>
      </c>
      <c r="AJ317">
        <v>1</v>
      </c>
      <c r="AK317">
        <v>20</v>
      </c>
      <c r="AL317" t="s">
        <v>546</v>
      </c>
      <c r="AM317" t="s">
        <v>547</v>
      </c>
      <c r="AN317" t="s">
        <v>548</v>
      </c>
      <c r="AO317" t="s">
        <v>6139</v>
      </c>
      <c r="AP317" t="s">
        <v>6140</v>
      </c>
      <c r="AQ317" t="s">
        <v>74</v>
      </c>
      <c r="AR317" t="s">
        <v>6141</v>
      </c>
      <c r="AS317" t="s">
        <v>6142</v>
      </c>
      <c r="AT317" t="s">
        <v>5910</v>
      </c>
      <c r="AU317">
        <v>2010</v>
      </c>
      <c r="AV317">
        <v>42</v>
      </c>
      <c r="AW317">
        <v>1</v>
      </c>
      <c r="AX317" t="s">
        <v>74</v>
      </c>
      <c r="AY317" t="s">
        <v>74</v>
      </c>
      <c r="AZ317" t="s">
        <v>74</v>
      </c>
      <c r="BA317" t="s">
        <v>74</v>
      </c>
      <c r="BB317">
        <v>9</v>
      </c>
      <c r="BC317">
        <v>18</v>
      </c>
      <c r="BD317" t="s">
        <v>74</v>
      </c>
      <c r="BE317" t="s">
        <v>6160</v>
      </c>
      <c r="BF317" t="str">
        <f>HYPERLINK("http://dx.doi.org/10.1657/1938-4246-42.1.9","http://dx.doi.org/10.1657/1938-4246-42.1.9")</f>
        <v>http://dx.doi.org/10.1657/1938-4246-42.1.9</v>
      </c>
      <c r="BG317" t="s">
        <v>74</v>
      </c>
      <c r="BH317" t="s">
        <v>74</v>
      </c>
      <c r="BI317">
        <v>10</v>
      </c>
      <c r="BJ317" t="s">
        <v>6144</v>
      </c>
      <c r="BK317" t="s">
        <v>102</v>
      </c>
      <c r="BL317" t="s">
        <v>1777</v>
      </c>
      <c r="BM317" t="s">
        <v>6145</v>
      </c>
      <c r="BN317" t="s">
        <v>74</v>
      </c>
      <c r="BO317" t="s">
        <v>1561</v>
      </c>
      <c r="BP317" t="s">
        <v>74</v>
      </c>
      <c r="BQ317" t="s">
        <v>74</v>
      </c>
      <c r="BR317" t="s">
        <v>105</v>
      </c>
      <c r="BS317" t="s">
        <v>6161</v>
      </c>
      <c r="BT317" t="str">
        <f>HYPERLINK("https%3A%2F%2Fwww.webofscience.com%2Fwos%2Fwoscc%2Ffull-record%2FWOS:000275560500002","View Full Record in Web of Science")</f>
        <v>View Full Record in Web of Science</v>
      </c>
    </row>
    <row r="318" spans="1:72" x14ac:dyDescent="0.15">
      <c r="A318" t="s">
        <v>72</v>
      </c>
      <c r="B318" t="s">
        <v>6162</v>
      </c>
      <c r="C318" t="s">
        <v>74</v>
      </c>
      <c r="D318" t="s">
        <v>74</v>
      </c>
      <c r="E318" t="s">
        <v>74</v>
      </c>
      <c r="F318" t="s">
        <v>6163</v>
      </c>
      <c r="G318" t="s">
        <v>74</v>
      </c>
      <c r="H318" t="s">
        <v>74</v>
      </c>
      <c r="I318" t="s">
        <v>6164</v>
      </c>
      <c r="J318" t="s">
        <v>6131</v>
      </c>
      <c r="K318" t="s">
        <v>74</v>
      </c>
      <c r="L318" t="s">
        <v>74</v>
      </c>
      <c r="M318" t="s">
        <v>78</v>
      </c>
      <c r="N318" t="s">
        <v>79</v>
      </c>
      <c r="O318" t="s">
        <v>74</v>
      </c>
      <c r="P318" t="s">
        <v>74</v>
      </c>
      <c r="Q318" t="s">
        <v>74</v>
      </c>
      <c r="R318" t="s">
        <v>74</v>
      </c>
      <c r="S318" t="s">
        <v>74</v>
      </c>
      <c r="T318" t="s">
        <v>74</v>
      </c>
      <c r="U318" t="s">
        <v>6165</v>
      </c>
      <c r="V318" t="s">
        <v>6166</v>
      </c>
      <c r="W318" t="s">
        <v>6167</v>
      </c>
      <c r="X318" t="s">
        <v>6168</v>
      </c>
      <c r="Y318" t="s">
        <v>6169</v>
      </c>
      <c r="Z318" t="s">
        <v>6170</v>
      </c>
      <c r="AA318" t="s">
        <v>6171</v>
      </c>
      <c r="AB318" t="s">
        <v>6172</v>
      </c>
      <c r="AC318" t="s">
        <v>74</v>
      </c>
      <c r="AD318" t="s">
        <v>74</v>
      </c>
      <c r="AE318" t="s">
        <v>74</v>
      </c>
      <c r="AF318" t="s">
        <v>74</v>
      </c>
      <c r="AG318">
        <v>51</v>
      </c>
      <c r="AH318">
        <v>75</v>
      </c>
      <c r="AI318">
        <v>98</v>
      </c>
      <c r="AJ318">
        <v>0</v>
      </c>
      <c r="AK318">
        <v>49</v>
      </c>
      <c r="AL318" t="s">
        <v>546</v>
      </c>
      <c r="AM318" t="s">
        <v>547</v>
      </c>
      <c r="AN318" t="s">
        <v>548</v>
      </c>
      <c r="AO318" t="s">
        <v>6139</v>
      </c>
      <c r="AP318" t="s">
        <v>6140</v>
      </c>
      <c r="AQ318" t="s">
        <v>74</v>
      </c>
      <c r="AR318" t="s">
        <v>6141</v>
      </c>
      <c r="AS318" t="s">
        <v>6142</v>
      </c>
      <c r="AT318" t="s">
        <v>5910</v>
      </c>
      <c r="AU318">
        <v>2010</v>
      </c>
      <c r="AV318">
        <v>42</v>
      </c>
      <c r="AW318">
        <v>1</v>
      </c>
      <c r="AX318" t="s">
        <v>74</v>
      </c>
      <c r="AY318" t="s">
        <v>74</v>
      </c>
      <c r="AZ318" t="s">
        <v>74</v>
      </c>
      <c r="BA318" t="s">
        <v>74</v>
      </c>
      <c r="BB318">
        <v>19</v>
      </c>
      <c r="BC318">
        <v>33</v>
      </c>
      <c r="BD318" t="s">
        <v>74</v>
      </c>
      <c r="BE318" t="s">
        <v>6173</v>
      </c>
      <c r="BF318" t="str">
        <f>HYPERLINK("http://dx.doi.org/10.1657/1938-4246-42.1.19","http://dx.doi.org/10.1657/1938-4246-42.1.19")</f>
        <v>http://dx.doi.org/10.1657/1938-4246-42.1.19</v>
      </c>
      <c r="BG318" t="s">
        <v>74</v>
      </c>
      <c r="BH318" t="s">
        <v>74</v>
      </c>
      <c r="BI318">
        <v>15</v>
      </c>
      <c r="BJ318" t="s">
        <v>6144</v>
      </c>
      <c r="BK318" t="s">
        <v>102</v>
      </c>
      <c r="BL318" t="s">
        <v>1777</v>
      </c>
      <c r="BM318" t="s">
        <v>6145</v>
      </c>
      <c r="BN318" t="s">
        <v>74</v>
      </c>
      <c r="BO318" t="s">
        <v>555</v>
      </c>
      <c r="BP318" t="s">
        <v>74</v>
      </c>
      <c r="BQ318" t="s">
        <v>74</v>
      </c>
      <c r="BR318" t="s">
        <v>105</v>
      </c>
      <c r="BS318" t="s">
        <v>6174</v>
      </c>
      <c r="BT318" t="str">
        <f>HYPERLINK("https%3A%2F%2Fwww.webofscience.com%2Fwos%2Fwoscc%2Ffull-record%2FWOS:000275560500003","View Full Record in Web of Science")</f>
        <v>View Full Record in Web of Science</v>
      </c>
    </row>
    <row r="319" spans="1:72" x14ac:dyDescent="0.15">
      <c r="A319" t="s">
        <v>72</v>
      </c>
      <c r="B319" t="s">
        <v>6175</v>
      </c>
      <c r="C319" t="s">
        <v>74</v>
      </c>
      <c r="D319" t="s">
        <v>74</v>
      </c>
      <c r="E319" t="s">
        <v>74</v>
      </c>
      <c r="F319" t="s">
        <v>6176</v>
      </c>
      <c r="G319" t="s">
        <v>74</v>
      </c>
      <c r="H319" t="s">
        <v>74</v>
      </c>
      <c r="I319" t="s">
        <v>6177</v>
      </c>
      <c r="J319" t="s">
        <v>6131</v>
      </c>
      <c r="K319" t="s">
        <v>74</v>
      </c>
      <c r="L319" t="s">
        <v>74</v>
      </c>
      <c r="M319" t="s">
        <v>78</v>
      </c>
      <c r="N319" t="s">
        <v>79</v>
      </c>
      <c r="O319" t="s">
        <v>74</v>
      </c>
      <c r="P319" t="s">
        <v>74</v>
      </c>
      <c r="Q319" t="s">
        <v>74</v>
      </c>
      <c r="R319" t="s">
        <v>74</v>
      </c>
      <c r="S319" t="s">
        <v>74</v>
      </c>
      <c r="T319" t="s">
        <v>74</v>
      </c>
      <c r="U319" t="s">
        <v>6178</v>
      </c>
      <c r="V319" t="s">
        <v>6179</v>
      </c>
      <c r="W319" t="s">
        <v>6180</v>
      </c>
      <c r="X319" t="s">
        <v>6181</v>
      </c>
      <c r="Y319" t="s">
        <v>6182</v>
      </c>
      <c r="Z319" t="s">
        <v>6183</v>
      </c>
      <c r="AA319" t="s">
        <v>74</v>
      </c>
      <c r="AB319" t="s">
        <v>6184</v>
      </c>
      <c r="AC319" t="s">
        <v>6185</v>
      </c>
      <c r="AD319" t="s">
        <v>360</v>
      </c>
      <c r="AE319" t="s">
        <v>6186</v>
      </c>
      <c r="AF319" t="s">
        <v>74</v>
      </c>
      <c r="AG319">
        <v>49</v>
      </c>
      <c r="AH319">
        <v>10</v>
      </c>
      <c r="AI319">
        <v>15</v>
      </c>
      <c r="AJ319">
        <v>0</v>
      </c>
      <c r="AK319">
        <v>23</v>
      </c>
      <c r="AL319" t="s">
        <v>546</v>
      </c>
      <c r="AM319" t="s">
        <v>547</v>
      </c>
      <c r="AN319" t="s">
        <v>548</v>
      </c>
      <c r="AO319" t="s">
        <v>6139</v>
      </c>
      <c r="AP319" t="s">
        <v>6140</v>
      </c>
      <c r="AQ319" t="s">
        <v>74</v>
      </c>
      <c r="AR319" t="s">
        <v>6141</v>
      </c>
      <c r="AS319" t="s">
        <v>6142</v>
      </c>
      <c r="AT319" t="s">
        <v>5910</v>
      </c>
      <c r="AU319">
        <v>2010</v>
      </c>
      <c r="AV319">
        <v>42</v>
      </c>
      <c r="AW319">
        <v>1</v>
      </c>
      <c r="AX319" t="s">
        <v>74</v>
      </c>
      <c r="AY319" t="s">
        <v>74</v>
      </c>
      <c r="AZ319" t="s">
        <v>74</v>
      </c>
      <c r="BA319" t="s">
        <v>74</v>
      </c>
      <c r="BB319">
        <v>34</v>
      </c>
      <c r="BC319">
        <v>44</v>
      </c>
      <c r="BD319" t="s">
        <v>74</v>
      </c>
      <c r="BE319" t="s">
        <v>6187</v>
      </c>
      <c r="BF319" t="str">
        <f>HYPERLINK("http://dx.doi.org/10.1657/1938-4246-42.1.34","http://dx.doi.org/10.1657/1938-4246-42.1.34")</f>
        <v>http://dx.doi.org/10.1657/1938-4246-42.1.34</v>
      </c>
      <c r="BG319" t="s">
        <v>74</v>
      </c>
      <c r="BH319" t="s">
        <v>74</v>
      </c>
      <c r="BI319">
        <v>11</v>
      </c>
      <c r="BJ319" t="s">
        <v>6144</v>
      </c>
      <c r="BK319" t="s">
        <v>102</v>
      </c>
      <c r="BL319" t="s">
        <v>1777</v>
      </c>
      <c r="BM319" t="s">
        <v>6145</v>
      </c>
      <c r="BN319" t="s">
        <v>74</v>
      </c>
      <c r="BO319" t="s">
        <v>1561</v>
      </c>
      <c r="BP319" t="s">
        <v>74</v>
      </c>
      <c r="BQ319" t="s">
        <v>74</v>
      </c>
      <c r="BR319" t="s">
        <v>105</v>
      </c>
      <c r="BS319" t="s">
        <v>6188</v>
      </c>
      <c r="BT319" t="str">
        <f>HYPERLINK("https%3A%2F%2Fwww.webofscience.com%2Fwos%2Fwoscc%2Ffull-record%2FWOS:000275560500004","View Full Record in Web of Science")</f>
        <v>View Full Record in Web of Science</v>
      </c>
    </row>
    <row r="320" spans="1:72" x14ac:dyDescent="0.15">
      <c r="A320" t="s">
        <v>72</v>
      </c>
      <c r="B320" t="s">
        <v>6189</v>
      </c>
      <c r="C320" t="s">
        <v>74</v>
      </c>
      <c r="D320" t="s">
        <v>74</v>
      </c>
      <c r="E320" t="s">
        <v>74</v>
      </c>
      <c r="F320" t="s">
        <v>6190</v>
      </c>
      <c r="G320" t="s">
        <v>74</v>
      </c>
      <c r="H320" t="s">
        <v>74</v>
      </c>
      <c r="I320" t="s">
        <v>6191</v>
      </c>
      <c r="J320" t="s">
        <v>6131</v>
      </c>
      <c r="K320" t="s">
        <v>74</v>
      </c>
      <c r="L320" t="s">
        <v>74</v>
      </c>
      <c r="M320" t="s">
        <v>78</v>
      </c>
      <c r="N320" t="s">
        <v>79</v>
      </c>
      <c r="O320" t="s">
        <v>74</v>
      </c>
      <c r="P320" t="s">
        <v>74</v>
      </c>
      <c r="Q320" t="s">
        <v>74</v>
      </c>
      <c r="R320" t="s">
        <v>74</v>
      </c>
      <c r="S320" t="s">
        <v>74</v>
      </c>
      <c r="T320" t="s">
        <v>74</v>
      </c>
      <c r="U320" t="s">
        <v>6192</v>
      </c>
      <c r="V320" t="s">
        <v>6193</v>
      </c>
      <c r="W320" t="s">
        <v>6194</v>
      </c>
      <c r="X320" t="s">
        <v>6195</v>
      </c>
      <c r="Y320" t="s">
        <v>6196</v>
      </c>
      <c r="Z320" t="s">
        <v>6197</v>
      </c>
      <c r="AA320" t="s">
        <v>74</v>
      </c>
      <c r="AB320" t="s">
        <v>74</v>
      </c>
      <c r="AC320" t="s">
        <v>6198</v>
      </c>
      <c r="AD320" t="s">
        <v>6199</v>
      </c>
      <c r="AE320" t="s">
        <v>6200</v>
      </c>
      <c r="AF320" t="s">
        <v>74</v>
      </c>
      <c r="AG320">
        <v>77</v>
      </c>
      <c r="AH320">
        <v>64</v>
      </c>
      <c r="AI320">
        <v>80</v>
      </c>
      <c r="AJ320">
        <v>2</v>
      </c>
      <c r="AK320">
        <v>46</v>
      </c>
      <c r="AL320" t="s">
        <v>546</v>
      </c>
      <c r="AM320" t="s">
        <v>547</v>
      </c>
      <c r="AN320" t="s">
        <v>548</v>
      </c>
      <c r="AO320" t="s">
        <v>6139</v>
      </c>
      <c r="AP320" t="s">
        <v>6140</v>
      </c>
      <c r="AQ320" t="s">
        <v>74</v>
      </c>
      <c r="AR320" t="s">
        <v>6141</v>
      </c>
      <c r="AS320" t="s">
        <v>6142</v>
      </c>
      <c r="AT320" t="s">
        <v>5910</v>
      </c>
      <c r="AU320">
        <v>2010</v>
      </c>
      <c r="AV320">
        <v>42</v>
      </c>
      <c r="AW320">
        <v>1</v>
      </c>
      <c r="AX320" t="s">
        <v>74</v>
      </c>
      <c r="AY320" t="s">
        <v>74</v>
      </c>
      <c r="AZ320" t="s">
        <v>74</v>
      </c>
      <c r="BA320" t="s">
        <v>74</v>
      </c>
      <c r="BB320">
        <v>45</v>
      </c>
      <c r="BC320">
        <v>56</v>
      </c>
      <c r="BD320" t="s">
        <v>74</v>
      </c>
      <c r="BE320" t="s">
        <v>6201</v>
      </c>
      <c r="BF320" t="str">
        <f>HYPERLINK("http://dx.doi.org/10.1657/1938-4246-42.1.45","http://dx.doi.org/10.1657/1938-4246-42.1.45")</f>
        <v>http://dx.doi.org/10.1657/1938-4246-42.1.45</v>
      </c>
      <c r="BG320" t="s">
        <v>74</v>
      </c>
      <c r="BH320" t="s">
        <v>74</v>
      </c>
      <c r="BI320">
        <v>12</v>
      </c>
      <c r="BJ320" t="s">
        <v>6144</v>
      </c>
      <c r="BK320" t="s">
        <v>102</v>
      </c>
      <c r="BL320" t="s">
        <v>1777</v>
      </c>
      <c r="BM320" t="s">
        <v>6145</v>
      </c>
      <c r="BN320" t="s">
        <v>74</v>
      </c>
      <c r="BO320" t="s">
        <v>555</v>
      </c>
      <c r="BP320" t="s">
        <v>74</v>
      </c>
      <c r="BQ320" t="s">
        <v>74</v>
      </c>
      <c r="BR320" t="s">
        <v>105</v>
      </c>
      <c r="BS320" t="s">
        <v>6202</v>
      </c>
      <c r="BT320" t="str">
        <f>HYPERLINK("https%3A%2F%2Fwww.webofscience.com%2Fwos%2Fwoscc%2Ffull-record%2FWOS:000275560500005","View Full Record in Web of Science")</f>
        <v>View Full Record in Web of Science</v>
      </c>
    </row>
    <row r="321" spans="1:72" x14ac:dyDescent="0.15">
      <c r="A321" t="s">
        <v>72</v>
      </c>
      <c r="B321" t="s">
        <v>6203</v>
      </c>
      <c r="C321" t="s">
        <v>74</v>
      </c>
      <c r="D321" t="s">
        <v>74</v>
      </c>
      <c r="E321" t="s">
        <v>74</v>
      </c>
      <c r="F321" t="s">
        <v>6204</v>
      </c>
      <c r="G321" t="s">
        <v>74</v>
      </c>
      <c r="H321" t="s">
        <v>74</v>
      </c>
      <c r="I321" t="s">
        <v>6205</v>
      </c>
      <c r="J321" t="s">
        <v>6131</v>
      </c>
      <c r="K321" t="s">
        <v>74</v>
      </c>
      <c r="L321" t="s">
        <v>74</v>
      </c>
      <c r="M321" t="s">
        <v>78</v>
      </c>
      <c r="N321" t="s">
        <v>79</v>
      </c>
      <c r="O321" t="s">
        <v>74</v>
      </c>
      <c r="P321" t="s">
        <v>74</v>
      </c>
      <c r="Q321" t="s">
        <v>74</v>
      </c>
      <c r="R321" t="s">
        <v>74</v>
      </c>
      <c r="S321" t="s">
        <v>74</v>
      </c>
      <c r="T321" t="s">
        <v>74</v>
      </c>
      <c r="U321" t="s">
        <v>6206</v>
      </c>
      <c r="V321" t="s">
        <v>6207</v>
      </c>
      <c r="W321" t="s">
        <v>6208</v>
      </c>
      <c r="X321" t="s">
        <v>6209</v>
      </c>
      <c r="Y321" t="s">
        <v>6210</v>
      </c>
      <c r="Z321" t="s">
        <v>6211</v>
      </c>
      <c r="AA321" t="s">
        <v>74</v>
      </c>
      <c r="AB321" t="s">
        <v>74</v>
      </c>
      <c r="AC321" t="s">
        <v>6212</v>
      </c>
      <c r="AD321" t="s">
        <v>6213</v>
      </c>
      <c r="AE321" t="s">
        <v>6214</v>
      </c>
      <c r="AF321" t="s">
        <v>74</v>
      </c>
      <c r="AG321">
        <v>63</v>
      </c>
      <c r="AH321">
        <v>23</v>
      </c>
      <c r="AI321">
        <v>30</v>
      </c>
      <c r="AJ321">
        <v>1</v>
      </c>
      <c r="AK321">
        <v>9</v>
      </c>
      <c r="AL321" t="s">
        <v>546</v>
      </c>
      <c r="AM321" t="s">
        <v>547</v>
      </c>
      <c r="AN321" t="s">
        <v>548</v>
      </c>
      <c r="AO321" t="s">
        <v>6139</v>
      </c>
      <c r="AP321" t="s">
        <v>6140</v>
      </c>
      <c r="AQ321" t="s">
        <v>74</v>
      </c>
      <c r="AR321" t="s">
        <v>6141</v>
      </c>
      <c r="AS321" t="s">
        <v>6142</v>
      </c>
      <c r="AT321" t="s">
        <v>5910</v>
      </c>
      <c r="AU321">
        <v>2010</v>
      </c>
      <c r="AV321">
        <v>42</v>
      </c>
      <c r="AW321">
        <v>1</v>
      </c>
      <c r="AX321" t="s">
        <v>74</v>
      </c>
      <c r="AY321" t="s">
        <v>74</v>
      </c>
      <c r="AZ321" t="s">
        <v>74</v>
      </c>
      <c r="BA321" t="s">
        <v>74</v>
      </c>
      <c r="BB321">
        <v>57</v>
      </c>
      <c r="BC321">
        <v>66</v>
      </c>
      <c r="BD321" t="s">
        <v>74</v>
      </c>
      <c r="BE321" t="s">
        <v>6215</v>
      </c>
      <c r="BF321" t="str">
        <f>HYPERLINK("http://dx.doi.org/10.1657/1938-4246-42.1.57","http://dx.doi.org/10.1657/1938-4246-42.1.57")</f>
        <v>http://dx.doi.org/10.1657/1938-4246-42.1.57</v>
      </c>
      <c r="BG321" t="s">
        <v>74</v>
      </c>
      <c r="BH321" t="s">
        <v>74</v>
      </c>
      <c r="BI321">
        <v>10</v>
      </c>
      <c r="BJ321" t="s">
        <v>6144</v>
      </c>
      <c r="BK321" t="s">
        <v>102</v>
      </c>
      <c r="BL321" t="s">
        <v>1777</v>
      </c>
      <c r="BM321" t="s">
        <v>6145</v>
      </c>
      <c r="BN321" t="s">
        <v>74</v>
      </c>
      <c r="BO321" t="s">
        <v>1561</v>
      </c>
      <c r="BP321" t="s">
        <v>74</v>
      </c>
      <c r="BQ321" t="s">
        <v>74</v>
      </c>
      <c r="BR321" t="s">
        <v>105</v>
      </c>
      <c r="BS321" t="s">
        <v>6216</v>
      </c>
      <c r="BT321" t="str">
        <f>HYPERLINK("https%3A%2F%2Fwww.webofscience.com%2Fwos%2Fwoscc%2Ffull-record%2FWOS:000275560500006","View Full Record in Web of Science")</f>
        <v>View Full Record in Web of Science</v>
      </c>
    </row>
    <row r="322" spans="1:72" x14ac:dyDescent="0.15">
      <c r="A322" t="s">
        <v>72</v>
      </c>
      <c r="B322" t="s">
        <v>6217</v>
      </c>
      <c r="C322" t="s">
        <v>74</v>
      </c>
      <c r="D322" t="s">
        <v>74</v>
      </c>
      <c r="E322" t="s">
        <v>74</v>
      </c>
      <c r="F322" t="s">
        <v>6218</v>
      </c>
      <c r="G322" t="s">
        <v>74</v>
      </c>
      <c r="H322" t="s">
        <v>74</v>
      </c>
      <c r="I322" t="s">
        <v>6219</v>
      </c>
      <c r="J322" t="s">
        <v>6131</v>
      </c>
      <c r="K322" t="s">
        <v>74</v>
      </c>
      <c r="L322" t="s">
        <v>74</v>
      </c>
      <c r="M322" t="s">
        <v>78</v>
      </c>
      <c r="N322" t="s">
        <v>79</v>
      </c>
      <c r="O322" t="s">
        <v>74</v>
      </c>
      <c r="P322" t="s">
        <v>74</v>
      </c>
      <c r="Q322" t="s">
        <v>74</v>
      </c>
      <c r="R322" t="s">
        <v>74</v>
      </c>
      <c r="S322" t="s">
        <v>74</v>
      </c>
      <c r="T322" t="s">
        <v>74</v>
      </c>
      <c r="U322" t="s">
        <v>6220</v>
      </c>
      <c r="V322" t="s">
        <v>6221</v>
      </c>
      <c r="W322" t="s">
        <v>6222</v>
      </c>
      <c r="X322" t="s">
        <v>6223</v>
      </c>
      <c r="Y322" t="s">
        <v>6224</v>
      </c>
      <c r="Z322" t="s">
        <v>6225</v>
      </c>
      <c r="AA322" t="s">
        <v>74</v>
      </c>
      <c r="AB322" t="s">
        <v>74</v>
      </c>
      <c r="AC322" t="s">
        <v>74</v>
      </c>
      <c r="AD322" t="s">
        <v>74</v>
      </c>
      <c r="AE322" t="s">
        <v>74</v>
      </c>
      <c r="AF322" t="s">
        <v>74</v>
      </c>
      <c r="AG322">
        <v>55</v>
      </c>
      <c r="AH322">
        <v>7</v>
      </c>
      <c r="AI322">
        <v>8</v>
      </c>
      <c r="AJ322">
        <v>1</v>
      </c>
      <c r="AK322">
        <v>51</v>
      </c>
      <c r="AL322" t="s">
        <v>6226</v>
      </c>
      <c r="AM322" t="s">
        <v>1486</v>
      </c>
      <c r="AN322" t="s">
        <v>6227</v>
      </c>
      <c r="AO322" t="s">
        <v>6139</v>
      </c>
      <c r="AP322" t="s">
        <v>6140</v>
      </c>
      <c r="AQ322" t="s">
        <v>74</v>
      </c>
      <c r="AR322" t="s">
        <v>6141</v>
      </c>
      <c r="AS322" t="s">
        <v>6142</v>
      </c>
      <c r="AT322" t="s">
        <v>5910</v>
      </c>
      <c r="AU322">
        <v>2010</v>
      </c>
      <c r="AV322">
        <v>42</v>
      </c>
      <c r="AW322">
        <v>1</v>
      </c>
      <c r="AX322" t="s">
        <v>74</v>
      </c>
      <c r="AY322" t="s">
        <v>74</v>
      </c>
      <c r="AZ322" t="s">
        <v>74</v>
      </c>
      <c r="BA322" t="s">
        <v>74</v>
      </c>
      <c r="BB322">
        <v>67</v>
      </c>
      <c r="BC322">
        <v>75</v>
      </c>
      <c r="BD322" t="s">
        <v>74</v>
      </c>
      <c r="BE322" t="s">
        <v>6228</v>
      </c>
      <c r="BF322" t="str">
        <f>HYPERLINK("http://dx.doi.org/10.1657/1938-4246-42.1.67","http://dx.doi.org/10.1657/1938-4246-42.1.67")</f>
        <v>http://dx.doi.org/10.1657/1938-4246-42.1.67</v>
      </c>
      <c r="BG322" t="s">
        <v>74</v>
      </c>
      <c r="BH322" t="s">
        <v>74</v>
      </c>
      <c r="BI322">
        <v>9</v>
      </c>
      <c r="BJ322" t="s">
        <v>6144</v>
      </c>
      <c r="BK322" t="s">
        <v>102</v>
      </c>
      <c r="BL322" t="s">
        <v>1777</v>
      </c>
      <c r="BM322" t="s">
        <v>6145</v>
      </c>
      <c r="BN322" t="s">
        <v>74</v>
      </c>
      <c r="BO322" t="s">
        <v>555</v>
      </c>
      <c r="BP322" t="s">
        <v>74</v>
      </c>
      <c r="BQ322" t="s">
        <v>74</v>
      </c>
      <c r="BR322" t="s">
        <v>105</v>
      </c>
      <c r="BS322" t="s">
        <v>6229</v>
      </c>
      <c r="BT322" t="str">
        <f>HYPERLINK("https%3A%2F%2Fwww.webofscience.com%2Fwos%2Fwoscc%2Ffull-record%2FWOS:000275560500007","View Full Record in Web of Science")</f>
        <v>View Full Record in Web of Science</v>
      </c>
    </row>
    <row r="323" spans="1:72" x14ac:dyDescent="0.15">
      <c r="A323" t="s">
        <v>72</v>
      </c>
      <c r="B323" t="s">
        <v>6230</v>
      </c>
      <c r="C323" t="s">
        <v>74</v>
      </c>
      <c r="D323" t="s">
        <v>74</v>
      </c>
      <c r="E323" t="s">
        <v>74</v>
      </c>
      <c r="F323" t="s">
        <v>6231</v>
      </c>
      <c r="G323" t="s">
        <v>74</v>
      </c>
      <c r="H323" t="s">
        <v>74</v>
      </c>
      <c r="I323" t="s">
        <v>6232</v>
      </c>
      <c r="J323" t="s">
        <v>6131</v>
      </c>
      <c r="K323" t="s">
        <v>74</v>
      </c>
      <c r="L323" t="s">
        <v>74</v>
      </c>
      <c r="M323" t="s">
        <v>78</v>
      </c>
      <c r="N323" t="s">
        <v>79</v>
      </c>
      <c r="O323" t="s">
        <v>74</v>
      </c>
      <c r="P323" t="s">
        <v>74</v>
      </c>
      <c r="Q323" t="s">
        <v>74</v>
      </c>
      <c r="R323" t="s">
        <v>74</v>
      </c>
      <c r="S323" t="s">
        <v>74</v>
      </c>
      <c r="T323" t="s">
        <v>74</v>
      </c>
      <c r="U323" t="s">
        <v>6233</v>
      </c>
      <c r="V323" t="s">
        <v>6234</v>
      </c>
      <c r="W323" t="s">
        <v>6235</v>
      </c>
      <c r="X323" t="s">
        <v>6236</v>
      </c>
      <c r="Y323" t="s">
        <v>6237</v>
      </c>
      <c r="Z323" t="s">
        <v>6238</v>
      </c>
      <c r="AA323" t="s">
        <v>74</v>
      </c>
      <c r="AB323" t="s">
        <v>6239</v>
      </c>
      <c r="AC323" t="s">
        <v>74</v>
      </c>
      <c r="AD323" t="s">
        <v>74</v>
      </c>
      <c r="AE323" t="s">
        <v>74</v>
      </c>
      <c r="AF323" t="s">
        <v>74</v>
      </c>
      <c r="AG323">
        <v>40</v>
      </c>
      <c r="AH323">
        <v>99</v>
      </c>
      <c r="AI323">
        <v>131</v>
      </c>
      <c r="AJ323">
        <v>2</v>
      </c>
      <c r="AK323">
        <v>62</v>
      </c>
      <c r="AL323" t="s">
        <v>546</v>
      </c>
      <c r="AM323" t="s">
        <v>547</v>
      </c>
      <c r="AN323" t="s">
        <v>548</v>
      </c>
      <c r="AO323" t="s">
        <v>6139</v>
      </c>
      <c r="AP323" t="s">
        <v>6140</v>
      </c>
      <c r="AQ323" t="s">
        <v>74</v>
      </c>
      <c r="AR323" t="s">
        <v>6141</v>
      </c>
      <c r="AS323" t="s">
        <v>6142</v>
      </c>
      <c r="AT323" t="s">
        <v>5910</v>
      </c>
      <c r="AU323">
        <v>2010</v>
      </c>
      <c r="AV323">
        <v>42</v>
      </c>
      <c r="AW323">
        <v>1</v>
      </c>
      <c r="AX323" t="s">
        <v>74</v>
      </c>
      <c r="AY323" t="s">
        <v>74</v>
      </c>
      <c r="AZ323" t="s">
        <v>74</v>
      </c>
      <c r="BA323" t="s">
        <v>74</v>
      </c>
      <c r="BB323">
        <v>76</v>
      </c>
      <c r="BC323">
        <v>88</v>
      </c>
      <c r="BD323" t="s">
        <v>74</v>
      </c>
      <c r="BE323" t="s">
        <v>6240</v>
      </c>
      <c r="BF323" t="str">
        <f>HYPERLINK("http://dx.doi.org/10.1657/1938-4246-42.1.76","http://dx.doi.org/10.1657/1938-4246-42.1.76")</f>
        <v>http://dx.doi.org/10.1657/1938-4246-42.1.76</v>
      </c>
      <c r="BG323" t="s">
        <v>74</v>
      </c>
      <c r="BH323" t="s">
        <v>74</v>
      </c>
      <c r="BI323">
        <v>13</v>
      </c>
      <c r="BJ323" t="s">
        <v>6144</v>
      </c>
      <c r="BK323" t="s">
        <v>102</v>
      </c>
      <c r="BL323" t="s">
        <v>1777</v>
      </c>
      <c r="BM323" t="s">
        <v>6145</v>
      </c>
      <c r="BN323" t="s">
        <v>74</v>
      </c>
      <c r="BO323" t="s">
        <v>104</v>
      </c>
      <c r="BP323" t="s">
        <v>74</v>
      </c>
      <c r="BQ323" t="s">
        <v>74</v>
      </c>
      <c r="BR323" t="s">
        <v>105</v>
      </c>
      <c r="BS323" t="s">
        <v>6241</v>
      </c>
      <c r="BT323" t="str">
        <f>HYPERLINK("https%3A%2F%2Fwww.webofscience.com%2Fwos%2Fwoscc%2Ffull-record%2FWOS:000275560500008","View Full Record in Web of Science")</f>
        <v>View Full Record in Web of Science</v>
      </c>
    </row>
    <row r="324" spans="1:72" x14ac:dyDescent="0.15">
      <c r="A324" t="s">
        <v>72</v>
      </c>
      <c r="B324" t="s">
        <v>6242</v>
      </c>
      <c r="C324" t="s">
        <v>74</v>
      </c>
      <c r="D324" t="s">
        <v>74</v>
      </c>
      <c r="E324" t="s">
        <v>74</v>
      </c>
      <c r="F324" t="s">
        <v>6243</v>
      </c>
      <c r="G324" t="s">
        <v>74</v>
      </c>
      <c r="H324" t="s">
        <v>74</v>
      </c>
      <c r="I324" t="s">
        <v>6244</v>
      </c>
      <c r="J324" t="s">
        <v>6131</v>
      </c>
      <c r="K324" t="s">
        <v>74</v>
      </c>
      <c r="L324" t="s">
        <v>74</v>
      </c>
      <c r="M324" t="s">
        <v>78</v>
      </c>
      <c r="N324" t="s">
        <v>79</v>
      </c>
      <c r="O324" t="s">
        <v>74</v>
      </c>
      <c r="P324" t="s">
        <v>74</v>
      </c>
      <c r="Q324" t="s">
        <v>74</v>
      </c>
      <c r="R324" t="s">
        <v>74</v>
      </c>
      <c r="S324" t="s">
        <v>74</v>
      </c>
      <c r="T324" t="s">
        <v>74</v>
      </c>
      <c r="U324" t="s">
        <v>6245</v>
      </c>
      <c r="V324" t="s">
        <v>6246</v>
      </c>
      <c r="W324" t="s">
        <v>6247</v>
      </c>
      <c r="X324" t="s">
        <v>6248</v>
      </c>
      <c r="Y324" t="s">
        <v>6249</v>
      </c>
      <c r="Z324" t="s">
        <v>6250</v>
      </c>
      <c r="AA324" t="s">
        <v>74</v>
      </c>
      <c r="AB324" t="s">
        <v>74</v>
      </c>
      <c r="AC324" t="s">
        <v>6251</v>
      </c>
      <c r="AD324" t="s">
        <v>6252</v>
      </c>
      <c r="AE324" t="s">
        <v>6253</v>
      </c>
      <c r="AF324" t="s">
        <v>74</v>
      </c>
      <c r="AG324">
        <v>31</v>
      </c>
      <c r="AH324">
        <v>26</v>
      </c>
      <c r="AI324">
        <v>40</v>
      </c>
      <c r="AJ324">
        <v>2</v>
      </c>
      <c r="AK324">
        <v>22</v>
      </c>
      <c r="AL324" t="s">
        <v>6226</v>
      </c>
      <c r="AM324" t="s">
        <v>1486</v>
      </c>
      <c r="AN324" t="s">
        <v>6227</v>
      </c>
      <c r="AO324" t="s">
        <v>6139</v>
      </c>
      <c r="AP324" t="s">
        <v>6140</v>
      </c>
      <c r="AQ324" t="s">
        <v>74</v>
      </c>
      <c r="AR324" t="s">
        <v>6141</v>
      </c>
      <c r="AS324" t="s">
        <v>6142</v>
      </c>
      <c r="AT324" t="s">
        <v>5910</v>
      </c>
      <c r="AU324">
        <v>2010</v>
      </c>
      <c r="AV324">
        <v>42</v>
      </c>
      <c r="AW324">
        <v>1</v>
      </c>
      <c r="AX324" t="s">
        <v>74</v>
      </c>
      <c r="AY324" t="s">
        <v>74</v>
      </c>
      <c r="AZ324" t="s">
        <v>74</v>
      </c>
      <c r="BA324" t="s">
        <v>74</v>
      </c>
      <c r="BB324">
        <v>89</v>
      </c>
      <c r="BC324">
        <v>97</v>
      </c>
      <c r="BD324" t="s">
        <v>74</v>
      </c>
      <c r="BE324" t="s">
        <v>6254</v>
      </c>
      <c r="BF324" t="str">
        <f>HYPERLINK("http://dx.doi.org/10.1657/1938-4246-42.1.89","http://dx.doi.org/10.1657/1938-4246-42.1.89")</f>
        <v>http://dx.doi.org/10.1657/1938-4246-42.1.89</v>
      </c>
      <c r="BG324" t="s">
        <v>74</v>
      </c>
      <c r="BH324" t="s">
        <v>74</v>
      </c>
      <c r="BI324">
        <v>9</v>
      </c>
      <c r="BJ324" t="s">
        <v>6144</v>
      </c>
      <c r="BK324" t="s">
        <v>102</v>
      </c>
      <c r="BL324" t="s">
        <v>1777</v>
      </c>
      <c r="BM324" t="s">
        <v>6145</v>
      </c>
      <c r="BN324" t="s">
        <v>74</v>
      </c>
      <c r="BO324" t="s">
        <v>555</v>
      </c>
      <c r="BP324" t="s">
        <v>74</v>
      </c>
      <c r="BQ324" t="s">
        <v>74</v>
      </c>
      <c r="BR324" t="s">
        <v>105</v>
      </c>
      <c r="BS324" t="s">
        <v>6255</v>
      </c>
      <c r="BT324" t="str">
        <f>HYPERLINK("https%3A%2F%2Fwww.webofscience.com%2Fwos%2Fwoscc%2Ffull-record%2FWOS:000275560500009","View Full Record in Web of Science")</f>
        <v>View Full Record in Web of Science</v>
      </c>
    </row>
    <row r="325" spans="1:72" x14ac:dyDescent="0.15">
      <c r="A325" t="s">
        <v>72</v>
      </c>
      <c r="B325" t="s">
        <v>6256</v>
      </c>
      <c r="C325" t="s">
        <v>74</v>
      </c>
      <c r="D325" t="s">
        <v>74</v>
      </c>
      <c r="E325" t="s">
        <v>74</v>
      </c>
      <c r="F325" t="s">
        <v>6257</v>
      </c>
      <c r="G325" t="s">
        <v>74</v>
      </c>
      <c r="H325" t="s">
        <v>74</v>
      </c>
      <c r="I325" t="s">
        <v>6258</v>
      </c>
      <c r="J325" t="s">
        <v>6131</v>
      </c>
      <c r="K325" t="s">
        <v>74</v>
      </c>
      <c r="L325" t="s">
        <v>74</v>
      </c>
      <c r="M325" t="s">
        <v>78</v>
      </c>
      <c r="N325" t="s">
        <v>79</v>
      </c>
      <c r="O325" t="s">
        <v>74</v>
      </c>
      <c r="P325" t="s">
        <v>74</v>
      </c>
      <c r="Q325" t="s">
        <v>74</v>
      </c>
      <c r="R325" t="s">
        <v>74</v>
      </c>
      <c r="S325" t="s">
        <v>74</v>
      </c>
      <c r="T325" t="s">
        <v>74</v>
      </c>
      <c r="U325" t="s">
        <v>6259</v>
      </c>
      <c r="V325" t="s">
        <v>6260</v>
      </c>
      <c r="W325" t="s">
        <v>6261</v>
      </c>
      <c r="X325" t="s">
        <v>6236</v>
      </c>
      <c r="Y325" t="s">
        <v>6262</v>
      </c>
      <c r="Z325" t="s">
        <v>6263</v>
      </c>
      <c r="AA325" t="s">
        <v>6264</v>
      </c>
      <c r="AB325" t="s">
        <v>74</v>
      </c>
      <c r="AC325" t="s">
        <v>74</v>
      </c>
      <c r="AD325" t="s">
        <v>74</v>
      </c>
      <c r="AE325" t="s">
        <v>74</v>
      </c>
      <c r="AF325" t="s">
        <v>74</v>
      </c>
      <c r="AG325">
        <v>53</v>
      </c>
      <c r="AH325">
        <v>23</v>
      </c>
      <c r="AI325">
        <v>34</v>
      </c>
      <c r="AJ325">
        <v>0</v>
      </c>
      <c r="AK325">
        <v>26</v>
      </c>
      <c r="AL325" t="s">
        <v>546</v>
      </c>
      <c r="AM325" t="s">
        <v>547</v>
      </c>
      <c r="AN325" t="s">
        <v>548</v>
      </c>
      <c r="AO325" t="s">
        <v>6139</v>
      </c>
      <c r="AP325" t="s">
        <v>6140</v>
      </c>
      <c r="AQ325" t="s">
        <v>74</v>
      </c>
      <c r="AR325" t="s">
        <v>6141</v>
      </c>
      <c r="AS325" t="s">
        <v>6142</v>
      </c>
      <c r="AT325" t="s">
        <v>5910</v>
      </c>
      <c r="AU325">
        <v>2010</v>
      </c>
      <c r="AV325">
        <v>42</v>
      </c>
      <c r="AW325">
        <v>1</v>
      </c>
      <c r="AX325" t="s">
        <v>74</v>
      </c>
      <c r="AY325" t="s">
        <v>74</v>
      </c>
      <c r="AZ325" t="s">
        <v>74</v>
      </c>
      <c r="BA325" t="s">
        <v>74</v>
      </c>
      <c r="BB325">
        <v>98</v>
      </c>
      <c r="BC325">
        <v>105</v>
      </c>
      <c r="BD325" t="s">
        <v>74</v>
      </c>
      <c r="BE325" t="s">
        <v>6265</v>
      </c>
      <c r="BF325" t="str">
        <f>HYPERLINK("http://dx.doi.org/10.1657/1938-4246-42.1.98","http://dx.doi.org/10.1657/1938-4246-42.1.98")</f>
        <v>http://dx.doi.org/10.1657/1938-4246-42.1.98</v>
      </c>
      <c r="BG325" t="s">
        <v>74</v>
      </c>
      <c r="BH325" t="s">
        <v>74</v>
      </c>
      <c r="BI325">
        <v>8</v>
      </c>
      <c r="BJ325" t="s">
        <v>6144</v>
      </c>
      <c r="BK325" t="s">
        <v>102</v>
      </c>
      <c r="BL325" t="s">
        <v>1777</v>
      </c>
      <c r="BM325" t="s">
        <v>6145</v>
      </c>
      <c r="BN325" t="s">
        <v>74</v>
      </c>
      <c r="BO325" t="s">
        <v>555</v>
      </c>
      <c r="BP325" t="s">
        <v>74</v>
      </c>
      <c r="BQ325" t="s">
        <v>74</v>
      </c>
      <c r="BR325" t="s">
        <v>105</v>
      </c>
      <c r="BS325" t="s">
        <v>6266</v>
      </c>
      <c r="BT325" t="str">
        <f>HYPERLINK("https%3A%2F%2Fwww.webofscience.com%2Fwos%2Fwoscc%2Ffull-record%2FWOS:000275560500010","View Full Record in Web of Science")</f>
        <v>View Full Record in Web of Science</v>
      </c>
    </row>
    <row r="326" spans="1:72" x14ac:dyDescent="0.15">
      <c r="A326" t="s">
        <v>72</v>
      </c>
      <c r="B326" t="s">
        <v>6267</v>
      </c>
      <c r="C326" t="s">
        <v>74</v>
      </c>
      <c r="D326" t="s">
        <v>74</v>
      </c>
      <c r="E326" t="s">
        <v>74</v>
      </c>
      <c r="F326" t="s">
        <v>6268</v>
      </c>
      <c r="G326" t="s">
        <v>74</v>
      </c>
      <c r="H326" t="s">
        <v>74</v>
      </c>
      <c r="I326" t="s">
        <v>6269</v>
      </c>
      <c r="J326" t="s">
        <v>6131</v>
      </c>
      <c r="K326" t="s">
        <v>74</v>
      </c>
      <c r="L326" t="s">
        <v>74</v>
      </c>
      <c r="M326" t="s">
        <v>78</v>
      </c>
      <c r="N326" t="s">
        <v>79</v>
      </c>
      <c r="O326" t="s">
        <v>74</v>
      </c>
      <c r="P326" t="s">
        <v>74</v>
      </c>
      <c r="Q326" t="s">
        <v>74</v>
      </c>
      <c r="R326" t="s">
        <v>74</v>
      </c>
      <c r="S326" t="s">
        <v>74</v>
      </c>
      <c r="T326" t="s">
        <v>74</v>
      </c>
      <c r="U326" t="s">
        <v>6270</v>
      </c>
      <c r="V326" t="s">
        <v>6271</v>
      </c>
      <c r="W326" t="s">
        <v>6272</v>
      </c>
      <c r="X326" t="s">
        <v>6273</v>
      </c>
      <c r="Y326" t="s">
        <v>6274</v>
      </c>
      <c r="Z326" t="s">
        <v>6275</v>
      </c>
      <c r="AA326" t="s">
        <v>6276</v>
      </c>
      <c r="AB326" t="s">
        <v>6277</v>
      </c>
      <c r="AC326" t="s">
        <v>6278</v>
      </c>
      <c r="AD326" t="s">
        <v>6279</v>
      </c>
      <c r="AE326" t="s">
        <v>6280</v>
      </c>
      <c r="AF326" t="s">
        <v>74</v>
      </c>
      <c r="AG326">
        <v>55</v>
      </c>
      <c r="AH326">
        <v>12</v>
      </c>
      <c r="AI326">
        <v>13</v>
      </c>
      <c r="AJ326">
        <v>0</v>
      </c>
      <c r="AK326">
        <v>33</v>
      </c>
      <c r="AL326" t="s">
        <v>546</v>
      </c>
      <c r="AM326" t="s">
        <v>547</v>
      </c>
      <c r="AN326" t="s">
        <v>548</v>
      </c>
      <c r="AO326" t="s">
        <v>6139</v>
      </c>
      <c r="AP326" t="s">
        <v>6140</v>
      </c>
      <c r="AQ326" t="s">
        <v>74</v>
      </c>
      <c r="AR326" t="s">
        <v>6141</v>
      </c>
      <c r="AS326" t="s">
        <v>6142</v>
      </c>
      <c r="AT326" t="s">
        <v>5910</v>
      </c>
      <c r="AU326">
        <v>2010</v>
      </c>
      <c r="AV326">
        <v>42</v>
      </c>
      <c r="AW326">
        <v>1</v>
      </c>
      <c r="AX326" t="s">
        <v>74</v>
      </c>
      <c r="AY326" t="s">
        <v>74</v>
      </c>
      <c r="AZ326" t="s">
        <v>74</v>
      </c>
      <c r="BA326" t="s">
        <v>74</v>
      </c>
      <c r="BB326">
        <v>106</v>
      </c>
      <c r="BC326">
        <v>112</v>
      </c>
      <c r="BD326" t="s">
        <v>74</v>
      </c>
      <c r="BE326" t="s">
        <v>6281</v>
      </c>
      <c r="BF326" t="str">
        <f>HYPERLINK("http://dx.doi.org/10.1657/1938-4246-42.1.106","http://dx.doi.org/10.1657/1938-4246-42.1.106")</f>
        <v>http://dx.doi.org/10.1657/1938-4246-42.1.106</v>
      </c>
      <c r="BG326" t="s">
        <v>74</v>
      </c>
      <c r="BH326" t="s">
        <v>74</v>
      </c>
      <c r="BI326">
        <v>7</v>
      </c>
      <c r="BJ326" t="s">
        <v>6144</v>
      </c>
      <c r="BK326" t="s">
        <v>102</v>
      </c>
      <c r="BL326" t="s">
        <v>1777</v>
      </c>
      <c r="BM326" t="s">
        <v>6145</v>
      </c>
      <c r="BN326" t="s">
        <v>74</v>
      </c>
      <c r="BO326" t="s">
        <v>1561</v>
      </c>
      <c r="BP326" t="s">
        <v>74</v>
      </c>
      <c r="BQ326" t="s">
        <v>74</v>
      </c>
      <c r="BR326" t="s">
        <v>105</v>
      </c>
      <c r="BS326" t="s">
        <v>6282</v>
      </c>
      <c r="BT326" t="str">
        <f>HYPERLINK("https%3A%2F%2Fwww.webofscience.com%2Fwos%2Fwoscc%2Ffull-record%2FWOS:000275560500011","View Full Record in Web of Science")</f>
        <v>View Full Record in Web of Science</v>
      </c>
    </row>
    <row r="327" spans="1:72" x14ac:dyDescent="0.15">
      <c r="A327" t="s">
        <v>72</v>
      </c>
      <c r="B327" t="s">
        <v>6283</v>
      </c>
      <c r="C327" t="s">
        <v>74</v>
      </c>
      <c r="D327" t="s">
        <v>74</v>
      </c>
      <c r="E327" t="s">
        <v>74</v>
      </c>
      <c r="F327" t="s">
        <v>6284</v>
      </c>
      <c r="G327" t="s">
        <v>74</v>
      </c>
      <c r="H327" t="s">
        <v>74</v>
      </c>
      <c r="I327" t="s">
        <v>6285</v>
      </c>
      <c r="J327" t="s">
        <v>6131</v>
      </c>
      <c r="K327" t="s">
        <v>74</v>
      </c>
      <c r="L327" t="s">
        <v>74</v>
      </c>
      <c r="M327" t="s">
        <v>78</v>
      </c>
      <c r="N327" t="s">
        <v>79</v>
      </c>
      <c r="O327" t="s">
        <v>74</v>
      </c>
      <c r="P327" t="s">
        <v>74</v>
      </c>
      <c r="Q327" t="s">
        <v>74</v>
      </c>
      <c r="R327" t="s">
        <v>74</v>
      </c>
      <c r="S327" t="s">
        <v>74</v>
      </c>
      <c r="T327" t="s">
        <v>74</v>
      </c>
      <c r="U327" t="s">
        <v>6286</v>
      </c>
      <c r="V327" t="s">
        <v>6287</v>
      </c>
      <c r="W327" t="s">
        <v>6288</v>
      </c>
      <c r="X327" t="s">
        <v>6289</v>
      </c>
      <c r="Y327" t="s">
        <v>6290</v>
      </c>
      <c r="Z327" t="s">
        <v>6291</v>
      </c>
      <c r="AA327" t="s">
        <v>74</v>
      </c>
      <c r="AB327" t="s">
        <v>74</v>
      </c>
      <c r="AC327" t="s">
        <v>6292</v>
      </c>
      <c r="AD327" t="s">
        <v>6293</v>
      </c>
      <c r="AE327" t="s">
        <v>6294</v>
      </c>
      <c r="AF327" t="s">
        <v>74</v>
      </c>
      <c r="AG327">
        <v>17</v>
      </c>
      <c r="AH327">
        <v>4</v>
      </c>
      <c r="AI327">
        <v>5</v>
      </c>
      <c r="AJ327">
        <v>0</v>
      </c>
      <c r="AK327">
        <v>6</v>
      </c>
      <c r="AL327" t="s">
        <v>546</v>
      </c>
      <c r="AM327" t="s">
        <v>547</v>
      </c>
      <c r="AN327" t="s">
        <v>548</v>
      </c>
      <c r="AO327" t="s">
        <v>6139</v>
      </c>
      <c r="AP327" t="s">
        <v>6140</v>
      </c>
      <c r="AQ327" t="s">
        <v>74</v>
      </c>
      <c r="AR327" t="s">
        <v>6141</v>
      </c>
      <c r="AS327" t="s">
        <v>6142</v>
      </c>
      <c r="AT327" t="s">
        <v>5910</v>
      </c>
      <c r="AU327">
        <v>2010</v>
      </c>
      <c r="AV327">
        <v>42</v>
      </c>
      <c r="AW327">
        <v>1</v>
      </c>
      <c r="AX327" t="s">
        <v>74</v>
      </c>
      <c r="AY327" t="s">
        <v>74</v>
      </c>
      <c r="AZ327" t="s">
        <v>74</v>
      </c>
      <c r="BA327" t="s">
        <v>74</v>
      </c>
      <c r="BB327">
        <v>113</v>
      </c>
      <c r="BC327">
        <v>116</v>
      </c>
      <c r="BD327" t="s">
        <v>74</v>
      </c>
      <c r="BE327" t="s">
        <v>6295</v>
      </c>
      <c r="BF327" t="str">
        <f>HYPERLINK("http://dx.doi.org/10.1657/1938-4246-42.1.113","http://dx.doi.org/10.1657/1938-4246-42.1.113")</f>
        <v>http://dx.doi.org/10.1657/1938-4246-42.1.113</v>
      </c>
      <c r="BG327" t="s">
        <v>74</v>
      </c>
      <c r="BH327" t="s">
        <v>74</v>
      </c>
      <c r="BI327">
        <v>4</v>
      </c>
      <c r="BJ327" t="s">
        <v>6144</v>
      </c>
      <c r="BK327" t="s">
        <v>102</v>
      </c>
      <c r="BL327" t="s">
        <v>1777</v>
      </c>
      <c r="BM327" t="s">
        <v>6145</v>
      </c>
      <c r="BN327" t="s">
        <v>74</v>
      </c>
      <c r="BO327" t="s">
        <v>555</v>
      </c>
      <c r="BP327" t="s">
        <v>74</v>
      </c>
      <c r="BQ327" t="s">
        <v>74</v>
      </c>
      <c r="BR327" t="s">
        <v>105</v>
      </c>
      <c r="BS327" t="s">
        <v>6296</v>
      </c>
      <c r="BT327" t="str">
        <f>HYPERLINK("https%3A%2F%2Fwww.webofscience.com%2Fwos%2Fwoscc%2Ffull-record%2FWOS:000275560500012","View Full Record in Web of Science")</f>
        <v>View Full Record in Web of Science</v>
      </c>
    </row>
    <row r="328" spans="1:72" x14ac:dyDescent="0.15">
      <c r="A328" t="s">
        <v>72</v>
      </c>
      <c r="B328" t="s">
        <v>6297</v>
      </c>
      <c r="C328" t="s">
        <v>74</v>
      </c>
      <c r="D328" t="s">
        <v>74</v>
      </c>
      <c r="E328" t="s">
        <v>74</v>
      </c>
      <c r="F328" t="s">
        <v>6298</v>
      </c>
      <c r="G328" t="s">
        <v>74</v>
      </c>
      <c r="H328" t="s">
        <v>74</v>
      </c>
      <c r="I328" t="s">
        <v>6299</v>
      </c>
      <c r="J328" t="s">
        <v>6131</v>
      </c>
      <c r="K328" t="s">
        <v>74</v>
      </c>
      <c r="L328" t="s">
        <v>74</v>
      </c>
      <c r="M328" t="s">
        <v>78</v>
      </c>
      <c r="N328" t="s">
        <v>79</v>
      </c>
      <c r="O328" t="s">
        <v>74</v>
      </c>
      <c r="P328" t="s">
        <v>74</v>
      </c>
      <c r="Q328" t="s">
        <v>74</v>
      </c>
      <c r="R328" t="s">
        <v>74</v>
      </c>
      <c r="S328" t="s">
        <v>74</v>
      </c>
      <c r="T328" t="s">
        <v>74</v>
      </c>
      <c r="U328" t="s">
        <v>6300</v>
      </c>
      <c r="V328" t="s">
        <v>6301</v>
      </c>
      <c r="W328" t="s">
        <v>6302</v>
      </c>
      <c r="X328" t="s">
        <v>6303</v>
      </c>
      <c r="Y328" t="s">
        <v>6304</v>
      </c>
      <c r="Z328" t="s">
        <v>6305</v>
      </c>
      <c r="AA328" t="s">
        <v>6306</v>
      </c>
      <c r="AB328" t="s">
        <v>6307</v>
      </c>
      <c r="AC328" t="s">
        <v>74</v>
      </c>
      <c r="AD328" t="s">
        <v>74</v>
      </c>
      <c r="AE328" t="s">
        <v>74</v>
      </c>
      <c r="AF328" t="s">
        <v>74</v>
      </c>
      <c r="AG328">
        <v>55</v>
      </c>
      <c r="AH328">
        <v>66</v>
      </c>
      <c r="AI328">
        <v>75</v>
      </c>
      <c r="AJ328">
        <v>5</v>
      </c>
      <c r="AK328">
        <v>61</v>
      </c>
      <c r="AL328" t="s">
        <v>546</v>
      </c>
      <c r="AM328" t="s">
        <v>547</v>
      </c>
      <c r="AN328" t="s">
        <v>548</v>
      </c>
      <c r="AO328" t="s">
        <v>6139</v>
      </c>
      <c r="AP328" t="s">
        <v>6140</v>
      </c>
      <c r="AQ328" t="s">
        <v>74</v>
      </c>
      <c r="AR328" t="s">
        <v>6141</v>
      </c>
      <c r="AS328" t="s">
        <v>6142</v>
      </c>
      <c r="AT328" t="s">
        <v>5910</v>
      </c>
      <c r="AU328">
        <v>2010</v>
      </c>
      <c r="AV328">
        <v>42</v>
      </c>
      <c r="AW328">
        <v>1</v>
      </c>
      <c r="AX328" t="s">
        <v>74</v>
      </c>
      <c r="AY328" t="s">
        <v>74</v>
      </c>
      <c r="AZ328" t="s">
        <v>74</v>
      </c>
      <c r="BA328" t="s">
        <v>74</v>
      </c>
      <c r="BB328">
        <v>117</v>
      </c>
      <c r="BC328">
        <v>128</v>
      </c>
      <c r="BD328" t="s">
        <v>74</v>
      </c>
      <c r="BE328" t="s">
        <v>6308</v>
      </c>
      <c r="BF328" t="str">
        <f>HYPERLINK("http://dx.doi.org/10.1657/1938-4246-42.1.117","http://dx.doi.org/10.1657/1938-4246-42.1.117")</f>
        <v>http://dx.doi.org/10.1657/1938-4246-42.1.117</v>
      </c>
      <c r="BG328" t="s">
        <v>74</v>
      </c>
      <c r="BH328" t="s">
        <v>74</v>
      </c>
      <c r="BI328">
        <v>12</v>
      </c>
      <c r="BJ328" t="s">
        <v>6144</v>
      </c>
      <c r="BK328" t="s">
        <v>102</v>
      </c>
      <c r="BL328" t="s">
        <v>1777</v>
      </c>
      <c r="BM328" t="s">
        <v>6145</v>
      </c>
      <c r="BN328" t="s">
        <v>74</v>
      </c>
      <c r="BO328" t="s">
        <v>1561</v>
      </c>
      <c r="BP328" t="s">
        <v>74</v>
      </c>
      <c r="BQ328" t="s">
        <v>74</v>
      </c>
      <c r="BR328" t="s">
        <v>105</v>
      </c>
      <c r="BS328" t="s">
        <v>6309</v>
      </c>
      <c r="BT328" t="str">
        <f>HYPERLINK("https%3A%2F%2Fwww.webofscience.com%2Fwos%2Fwoscc%2Ffull-record%2FWOS:000275560500013","View Full Record in Web of Science")</f>
        <v>View Full Record in Web of Science</v>
      </c>
    </row>
    <row r="329" spans="1:72" x14ac:dyDescent="0.15">
      <c r="A329" t="s">
        <v>72</v>
      </c>
      <c r="B329" t="s">
        <v>6310</v>
      </c>
      <c r="C329" t="s">
        <v>74</v>
      </c>
      <c r="D329" t="s">
        <v>74</v>
      </c>
      <c r="E329" t="s">
        <v>74</v>
      </c>
      <c r="F329" t="s">
        <v>6311</v>
      </c>
      <c r="G329" t="s">
        <v>74</v>
      </c>
      <c r="H329" t="s">
        <v>74</v>
      </c>
      <c r="I329" t="s">
        <v>6312</v>
      </c>
      <c r="J329" t="s">
        <v>6131</v>
      </c>
      <c r="K329" t="s">
        <v>74</v>
      </c>
      <c r="L329" t="s">
        <v>74</v>
      </c>
      <c r="M329" t="s">
        <v>78</v>
      </c>
      <c r="N329" t="s">
        <v>6313</v>
      </c>
      <c r="O329" t="s">
        <v>74</v>
      </c>
      <c r="P329" t="s">
        <v>74</v>
      </c>
      <c r="Q329" t="s">
        <v>74</v>
      </c>
      <c r="R329" t="s">
        <v>74</v>
      </c>
      <c r="S329" t="s">
        <v>74</v>
      </c>
      <c r="T329" t="s">
        <v>74</v>
      </c>
      <c r="U329" t="s">
        <v>74</v>
      </c>
      <c r="V329" t="s">
        <v>74</v>
      </c>
      <c r="W329" t="s">
        <v>74</v>
      </c>
      <c r="X329" t="s">
        <v>74</v>
      </c>
      <c r="Y329" t="s">
        <v>74</v>
      </c>
      <c r="Z329" t="s">
        <v>74</v>
      </c>
      <c r="AA329" t="s">
        <v>74</v>
      </c>
      <c r="AB329" t="s">
        <v>74</v>
      </c>
      <c r="AC329" t="s">
        <v>74</v>
      </c>
      <c r="AD329" t="s">
        <v>74</v>
      </c>
      <c r="AE329" t="s">
        <v>74</v>
      </c>
      <c r="AF329" t="s">
        <v>74</v>
      </c>
      <c r="AG329">
        <v>0</v>
      </c>
      <c r="AH329">
        <v>0</v>
      </c>
      <c r="AI329">
        <v>0</v>
      </c>
      <c r="AJ329">
        <v>0</v>
      </c>
      <c r="AK329">
        <v>4</v>
      </c>
      <c r="AL329" t="s">
        <v>6226</v>
      </c>
      <c r="AM329" t="s">
        <v>1486</v>
      </c>
      <c r="AN329" t="s">
        <v>6227</v>
      </c>
      <c r="AO329" t="s">
        <v>6139</v>
      </c>
      <c r="AP329" t="s">
        <v>74</v>
      </c>
      <c r="AQ329" t="s">
        <v>74</v>
      </c>
      <c r="AR329" t="s">
        <v>6141</v>
      </c>
      <c r="AS329" t="s">
        <v>6142</v>
      </c>
      <c r="AT329" t="s">
        <v>5910</v>
      </c>
      <c r="AU329">
        <v>2010</v>
      </c>
      <c r="AV329">
        <v>42</v>
      </c>
      <c r="AW329">
        <v>1</v>
      </c>
      <c r="AX329" t="s">
        <v>74</v>
      </c>
      <c r="AY329" t="s">
        <v>74</v>
      </c>
      <c r="AZ329" t="s">
        <v>74</v>
      </c>
      <c r="BA329" t="s">
        <v>74</v>
      </c>
      <c r="BB329">
        <v>129</v>
      </c>
      <c r="BC329">
        <v>129</v>
      </c>
      <c r="BD329" t="s">
        <v>74</v>
      </c>
      <c r="BE329" t="s">
        <v>6314</v>
      </c>
      <c r="BF329" t="str">
        <f>HYPERLINK("http://dx.doi.org/10.1657/1938-4246-42.1.129","http://dx.doi.org/10.1657/1938-4246-42.1.129")</f>
        <v>http://dx.doi.org/10.1657/1938-4246-42.1.129</v>
      </c>
      <c r="BG329" t="s">
        <v>74</v>
      </c>
      <c r="BH329" t="s">
        <v>74</v>
      </c>
      <c r="BI329">
        <v>1</v>
      </c>
      <c r="BJ329" t="s">
        <v>6144</v>
      </c>
      <c r="BK329" t="s">
        <v>102</v>
      </c>
      <c r="BL329" t="s">
        <v>1777</v>
      </c>
      <c r="BM329" t="s">
        <v>6145</v>
      </c>
      <c r="BN329" t="s">
        <v>74</v>
      </c>
      <c r="BO329" t="s">
        <v>104</v>
      </c>
      <c r="BP329" t="s">
        <v>74</v>
      </c>
      <c r="BQ329" t="s">
        <v>74</v>
      </c>
      <c r="BR329" t="s">
        <v>105</v>
      </c>
      <c r="BS329" t="s">
        <v>6315</v>
      </c>
      <c r="BT329" t="str">
        <f>HYPERLINK("https%3A%2F%2Fwww.webofscience.com%2Fwos%2Fwoscc%2Ffull-record%2FWOS:000275560500014","View Full Record in Web of Science")</f>
        <v>View Full Record in Web of Science</v>
      </c>
    </row>
    <row r="330" spans="1:72" x14ac:dyDescent="0.15">
      <c r="A330" t="s">
        <v>72</v>
      </c>
      <c r="B330" t="s">
        <v>6316</v>
      </c>
      <c r="C330" t="s">
        <v>74</v>
      </c>
      <c r="D330" t="s">
        <v>74</v>
      </c>
      <c r="E330" t="s">
        <v>74</v>
      </c>
      <c r="F330" t="s">
        <v>6317</v>
      </c>
      <c r="G330" t="s">
        <v>74</v>
      </c>
      <c r="H330" t="s">
        <v>74</v>
      </c>
      <c r="I330" t="s">
        <v>6318</v>
      </c>
      <c r="J330" t="s">
        <v>6319</v>
      </c>
      <c r="K330" t="s">
        <v>74</v>
      </c>
      <c r="L330" t="s">
        <v>74</v>
      </c>
      <c r="M330" t="s">
        <v>78</v>
      </c>
      <c r="N330" t="s">
        <v>79</v>
      </c>
      <c r="O330" t="s">
        <v>74</v>
      </c>
      <c r="P330" t="s">
        <v>74</v>
      </c>
      <c r="Q330" t="s">
        <v>74</v>
      </c>
      <c r="R330" t="s">
        <v>74</v>
      </c>
      <c r="S330" t="s">
        <v>74</v>
      </c>
      <c r="T330" t="s">
        <v>6320</v>
      </c>
      <c r="U330" t="s">
        <v>6321</v>
      </c>
      <c r="V330" t="s">
        <v>6322</v>
      </c>
      <c r="W330" t="s">
        <v>6323</v>
      </c>
      <c r="X330" t="s">
        <v>6324</v>
      </c>
      <c r="Y330" t="s">
        <v>6325</v>
      </c>
      <c r="Z330" t="s">
        <v>6326</v>
      </c>
      <c r="AA330" t="s">
        <v>6327</v>
      </c>
      <c r="AB330" t="s">
        <v>6328</v>
      </c>
      <c r="AC330" t="s">
        <v>6329</v>
      </c>
      <c r="AD330" t="s">
        <v>6330</v>
      </c>
      <c r="AE330" t="s">
        <v>6331</v>
      </c>
      <c r="AF330" t="s">
        <v>74</v>
      </c>
      <c r="AG330">
        <v>34</v>
      </c>
      <c r="AH330">
        <v>24</v>
      </c>
      <c r="AI330">
        <v>25</v>
      </c>
      <c r="AJ330">
        <v>0</v>
      </c>
      <c r="AK330">
        <v>3</v>
      </c>
      <c r="AL330" t="s">
        <v>6332</v>
      </c>
      <c r="AM330" t="s">
        <v>6333</v>
      </c>
      <c r="AN330" t="s">
        <v>6334</v>
      </c>
      <c r="AO330" t="s">
        <v>6335</v>
      </c>
      <c r="AP330" t="s">
        <v>6336</v>
      </c>
      <c r="AQ330" t="s">
        <v>74</v>
      </c>
      <c r="AR330" t="s">
        <v>6337</v>
      </c>
      <c r="AS330" t="s">
        <v>6338</v>
      </c>
      <c r="AT330" t="s">
        <v>6339</v>
      </c>
      <c r="AU330">
        <v>2010</v>
      </c>
      <c r="AV330">
        <v>511</v>
      </c>
      <c r="AW330" t="s">
        <v>74</v>
      </c>
      <c r="AX330" t="s">
        <v>74</v>
      </c>
      <c r="AY330" t="s">
        <v>74</v>
      </c>
      <c r="AZ330" t="s">
        <v>74</v>
      </c>
      <c r="BA330" t="s">
        <v>74</v>
      </c>
      <c r="BB330" t="s">
        <v>74</v>
      </c>
      <c r="BC330" t="s">
        <v>74</v>
      </c>
      <c r="BD330" t="s">
        <v>6340</v>
      </c>
      <c r="BE330" t="s">
        <v>6341</v>
      </c>
      <c r="BF330" t="str">
        <f>HYPERLINK("http://dx.doi.org/10.1051/0004-6361/200913629","http://dx.doi.org/10.1051/0004-6361/200913629")</f>
        <v>http://dx.doi.org/10.1051/0004-6361/200913629</v>
      </c>
      <c r="BG330" t="s">
        <v>74</v>
      </c>
      <c r="BH330" t="s">
        <v>74</v>
      </c>
      <c r="BI330">
        <v>11</v>
      </c>
      <c r="BJ330" t="s">
        <v>478</v>
      </c>
      <c r="BK330" t="s">
        <v>102</v>
      </c>
      <c r="BL330" t="s">
        <v>478</v>
      </c>
      <c r="BM330" t="s">
        <v>6342</v>
      </c>
      <c r="BN330" t="s">
        <v>74</v>
      </c>
      <c r="BO330" t="s">
        <v>1561</v>
      </c>
      <c r="BP330" t="s">
        <v>74</v>
      </c>
      <c r="BQ330" t="s">
        <v>74</v>
      </c>
      <c r="BR330" t="s">
        <v>105</v>
      </c>
      <c r="BS330" t="s">
        <v>6343</v>
      </c>
      <c r="BT330" t="str">
        <f>HYPERLINK("https%3A%2F%2Fwww.webofscience.com%2Fwos%2Fwoscc%2Ffull-record%2FWOS:000275752400092","View Full Record in Web of Science")</f>
        <v>View Full Record in Web of Science</v>
      </c>
    </row>
    <row r="331" spans="1:72" x14ac:dyDescent="0.15">
      <c r="A331" t="s">
        <v>72</v>
      </c>
      <c r="B331" t="s">
        <v>6344</v>
      </c>
      <c r="C331" t="s">
        <v>74</v>
      </c>
      <c r="D331" t="s">
        <v>74</v>
      </c>
      <c r="E331" t="s">
        <v>74</v>
      </c>
      <c r="F331" t="s">
        <v>6345</v>
      </c>
      <c r="G331" t="s">
        <v>74</v>
      </c>
      <c r="H331" t="s">
        <v>74</v>
      </c>
      <c r="I331" t="s">
        <v>6346</v>
      </c>
      <c r="J331" t="s">
        <v>6347</v>
      </c>
      <c r="K331" t="s">
        <v>74</v>
      </c>
      <c r="L331" t="s">
        <v>74</v>
      </c>
      <c r="M331" t="s">
        <v>78</v>
      </c>
      <c r="N331" t="s">
        <v>79</v>
      </c>
      <c r="O331" t="s">
        <v>74</v>
      </c>
      <c r="P331" t="s">
        <v>74</v>
      </c>
      <c r="Q331" t="s">
        <v>74</v>
      </c>
      <c r="R331" t="s">
        <v>74</v>
      </c>
      <c r="S331" t="s">
        <v>74</v>
      </c>
      <c r="T331" t="s">
        <v>6348</v>
      </c>
      <c r="U331" t="s">
        <v>6349</v>
      </c>
      <c r="V331" t="s">
        <v>6350</v>
      </c>
      <c r="W331" t="s">
        <v>6351</v>
      </c>
      <c r="X331" t="s">
        <v>6352</v>
      </c>
      <c r="Y331" t="s">
        <v>6353</v>
      </c>
      <c r="Z331" t="s">
        <v>6354</v>
      </c>
      <c r="AA331" t="s">
        <v>6355</v>
      </c>
      <c r="AB331" t="s">
        <v>6356</v>
      </c>
      <c r="AC331" t="s">
        <v>295</v>
      </c>
      <c r="AD331" t="s">
        <v>296</v>
      </c>
      <c r="AE331" t="s">
        <v>6357</v>
      </c>
      <c r="AF331" t="s">
        <v>74</v>
      </c>
      <c r="AG331">
        <v>36</v>
      </c>
      <c r="AH331">
        <v>26</v>
      </c>
      <c r="AI331">
        <v>28</v>
      </c>
      <c r="AJ331">
        <v>0</v>
      </c>
      <c r="AK331">
        <v>15</v>
      </c>
      <c r="AL331" t="s">
        <v>1063</v>
      </c>
      <c r="AM331" t="s">
        <v>1064</v>
      </c>
      <c r="AN331" t="s">
        <v>1065</v>
      </c>
      <c r="AO331" t="s">
        <v>6358</v>
      </c>
      <c r="AP331" t="s">
        <v>6359</v>
      </c>
      <c r="AQ331" t="s">
        <v>74</v>
      </c>
      <c r="AR331" t="s">
        <v>6360</v>
      </c>
      <c r="AS331" t="s">
        <v>6361</v>
      </c>
      <c r="AT331" t="s">
        <v>5910</v>
      </c>
      <c r="AU331">
        <v>2010</v>
      </c>
      <c r="AV331">
        <v>44</v>
      </c>
      <c r="AW331">
        <v>4</v>
      </c>
      <c r="AX331" t="s">
        <v>74</v>
      </c>
      <c r="AY331" t="s">
        <v>74</v>
      </c>
      <c r="AZ331" t="s">
        <v>74</v>
      </c>
      <c r="BA331" t="s">
        <v>74</v>
      </c>
      <c r="BB331">
        <v>572</v>
      </c>
      <c r="BC331">
        <v>581</v>
      </c>
      <c r="BD331" t="s">
        <v>74</v>
      </c>
      <c r="BE331" t="s">
        <v>6362</v>
      </c>
      <c r="BF331" t="str">
        <f>HYPERLINK("http://dx.doi.org/10.1016/j.atmosenv.2009.07.058","http://dx.doi.org/10.1016/j.atmosenv.2009.07.058")</f>
        <v>http://dx.doi.org/10.1016/j.atmosenv.2009.07.058</v>
      </c>
      <c r="BG331" t="s">
        <v>74</v>
      </c>
      <c r="BH331" t="s">
        <v>74</v>
      </c>
      <c r="BI331">
        <v>10</v>
      </c>
      <c r="BJ331" t="s">
        <v>973</v>
      </c>
      <c r="BK331" t="s">
        <v>102</v>
      </c>
      <c r="BL331" t="s">
        <v>974</v>
      </c>
      <c r="BM331" t="s">
        <v>6363</v>
      </c>
      <c r="BN331" t="s">
        <v>74</v>
      </c>
      <c r="BO331" t="s">
        <v>326</v>
      </c>
      <c r="BP331" t="s">
        <v>74</v>
      </c>
      <c r="BQ331" t="s">
        <v>74</v>
      </c>
      <c r="BR331" t="s">
        <v>105</v>
      </c>
      <c r="BS331" t="s">
        <v>6364</v>
      </c>
      <c r="BT331" t="str">
        <f>HYPERLINK("https%3A%2F%2Fwww.webofscience.com%2Fwos%2Fwoscc%2Ffull-record%2FWOS:000274614300014","View Full Record in Web of Science")</f>
        <v>View Full Record in Web of Science</v>
      </c>
    </row>
    <row r="332" spans="1:72" x14ac:dyDescent="0.15">
      <c r="A332" t="s">
        <v>72</v>
      </c>
      <c r="B332" t="s">
        <v>6365</v>
      </c>
      <c r="C332" t="s">
        <v>74</v>
      </c>
      <c r="D332" t="s">
        <v>74</v>
      </c>
      <c r="E332" t="s">
        <v>74</v>
      </c>
      <c r="F332" t="s">
        <v>6366</v>
      </c>
      <c r="G332" t="s">
        <v>74</v>
      </c>
      <c r="H332" t="s">
        <v>74</v>
      </c>
      <c r="I332" t="s">
        <v>6367</v>
      </c>
      <c r="J332" t="s">
        <v>6368</v>
      </c>
      <c r="K332" t="s">
        <v>74</v>
      </c>
      <c r="L332" t="s">
        <v>74</v>
      </c>
      <c r="M332" t="s">
        <v>78</v>
      </c>
      <c r="N332" t="s">
        <v>79</v>
      </c>
      <c r="O332" t="s">
        <v>74</v>
      </c>
      <c r="P332" t="s">
        <v>74</v>
      </c>
      <c r="Q332" t="s">
        <v>74</v>
      </c>
      <c r="R332" t="s">
        <v>74</v>
      </c>
      <c r="S332" t="s">
        <v>74</v>
      </c>
      <c r="T332" t="s">
        <v>6369</v>
      </c>
      <c r="U332" t="s">
        <v>6370</v>
      </c>
      <c r="V332" t="s">
        <v>6371</v>
      </c>
      <c r="W332" t="s">
        <v>6372</v>
      </c>
      <c r="X332" t="s">
        <v>6373</v>
      </c>
      <c r="Y332" t="s">
        <v>6374</v>
      </c>
      <c r="Z332" t="s">
        <v>6375</v>
      </c>
      <c r="AA332" t="s">
        <v>74</v>
      </c>
      <c r="AB332" t="s">
        <v>74</v>
      </c>
      <c r="AC332" t="s">
        <v>74</v>
      </c>
      <c r="AD332" t="s">
        <v>74</v>
      </c>
      <c r="AE332" t="s">
        <v>74</v>
      </c>
      <c r="AF332" t="s">
        <v>74</v>
      </c>
      <c r="AG332">
        <v>24</v>
      </c>
      <c r="AH332">
        <v>6</v>
      </c>
      <c r="AI332">
        <v>6</v>
      </c>
      <c r="AJ332">
        <v>1</v>
      </c>
      <c r="AK332">
        <v>7</v>
      </c>
      <c r="AL332" t="s">
        <v>6376</v>
      </c>
      <c r="AM332" t="s">
        <v>6377</v>
      </c>
      <c r="AN332" t="s">
        <v>6378</v>
      </c>
      <c r="AO332" t="s">
        <v>6379</v>
      </c>
      <c r="AP332" t="s">
        <v>6380</v>
      </c>
      <c r="AQ332" t="s">
        <v>74</v>
      </c>
      <c r="AR332" t="s">
        <v>6381</v>
      </c>
      <c r="AS332" t="s">
        <v>6382</v>
      </c>
      <c r="AT332" t="s">
        <v>5910</v>
      </c>
      <c r="AU332">
        <v>2010</v>
      </c>
      <c r="AV332">
        <v>81</v>
      </c>
      <c r="AW332">
        <v>2</v>
      </c>
      <c r="AX332" t="s">
        <v>74</v>
      </c>
      <c r="AY332" t="s">
        <v>74</v>
      </c>
      <c r="AZ332" t="s">
        <v>74</v>
      </c>
      <c r="BA332" t="s">
        <v>74</v>
      </c>
      <c r="BB332">
        <v>136</v>
      </c>
      <c r="BC332">
        <v>140</v>
      </c>
      <c r="BD332" t="s">
        <v>74</v>
      </c>
      <c r="BE332" t="s">
        <v>6383</v>
      </c>
      <c r="BF332" t="str">
        <f>HYPERLINK("http://dx.doi.org/10.3357/ASEM.2706.2010","http://dx.doi.org/10.3357/ASEM.2706.2010")</f>
        <v>http://dx.doi.org/10.3357/ASEM.2706.2010</v>
      </c>
      <c r="BG332" t="s">
        <v>74</v>
      </c>
      <c r="BH332" t="s">
        <v>74</v>
      </c>
      <c r="BI332">
        <v>5</v>
      </c>
      <c r="BJ332" t="s">
        <v>6384</v>
      </c>
      <c r="BK332" t="s">
        <v>102</v>
      </c>
      <c r="BL332" t="s">
        <v>6385</v>
      </c>
      <c r="BM332" t="s">
        <v>6386</v>
      </c>
      <c r="BN332">
        <v>20131656</v>
      </c>
      <c r="BO332" t="s">
        <v>74</v>
      </c>
      <c r="BP332" t="s">
        <v>74</v>
      </c>
      <c r="BQ332" t="s">
        <v>74</v>
      </c>
      <c r="BR332" t="s">
        <v>105</v>
      </c>
      <c r="BS332" t="s">
        <v>6387</v>
      </c>
      <c r="BT332" t="str">
        <f>HYPERLINK("https%3A%2F%2Fwww.webofscience.com%2Fwos%2Fwoscc%2Ffull-record%2FWOS:000274067900009","View Full Record in Web of Science")</f>
        <v>View Full Record in Web of Science</v>
      </c>
    </row>
    <row r="333" spans="1:72" x14ac:dyDescent="0.15">
      <c r="A333" t="s">
        <v>72</v>
      </c>
      <c r="B333" t="s">
        <v>6388</v>
      </c>
      <c r="C333" t="s">
        <v>74</v>
      </c>
      <c r="D333" t="s">
        <v>74</v>
      </c>
      <c r="E333" t="s">
        <v>74</v>
      </c>
      <c r="F333" t="s">
        <v>6389</v>
      </c>
      <c r="G333" t="s">
        <v>74</v>
      </c>
      <c r="H333" t="s">
        <v>74</v>
      </c>
      <c r="I333" t="s">
        <v>6390</v>
      </c>
      <c r="J333" t="s">
        <v>6391</v>
      </c>
      <c r="K333" t="s">
        <v>74</v>
      </c>
      <c r="L333" t="s">
        <v>74</v>
      </c>
      <c r="M333" t="s">
        <v>78</v>
      </c>
      <c r="N333" t="s">
        <v>79</v>
      </c>
      <c r="O333" t="s">
        <v>74</v>
      </c>
      <c r="P333" t="s">
        <v>74</v>
      </c>
      <c r="Q333" t="s">
        <v>74</v>
      </c>
      <c r="R333" t="s">
        <v>74</v>
      </c>
      <c r="S333" t="s">
        <v>74</v>
      </c>
      <c r="T333" t="s">
        <v>74</v>
      </c>
      <c r="U333" t="s">
        <v>6392</v>
      </c>
      <c r="V333" t="s">
        <v>6393</v>
      </c>
      <c r="W333" t="s">
        <v>6394</v>
      </c>
      <c r="X333" t="s">
        <v>6395</v>
      </c>
      <c r="Y333" t="s">
        <v>6396</v>
      </c>
      <c r="Z333" t="s">
        <v>6397</v>
      </c>
      <c r="AA333" t="s">
        <v>74</v>
      </c>
      <c r="AB333" t="s">
        <v>74</v>
      </c>
      <c r="AC333" t="s">
        <v>6398</v>
      </c>
      <c r="AD333" t="s">
        <v>989</v>
      </c>
      <c r="AE333" t="s">
        <v>6399</v>
      </c>
      <c r="AF333" t="s">
        <v>74</v>
      </c>
      <c r="AG333">
        <v>55</v>
      </c>
      <c r="AH333">
        <v>5</v>
      </c>
      <c r="AI333">
        <v>9</v>
      </c>
      <c r="AJ333">
        <v>0</v>
      </c>
      <c r="AK333">
        <v>7</v>
      </c>
      <c r="AL333" t="s">
        <v>2828</v>
      </c>
      <c r="AM333" t="s">
        <v>2829</v>
      </c>
      <c r="AN333" t="s">
        <v>2830</v>
      </c>
      <c r="AO333" t="s">
        <v>6400</v>
      </c>
      <c r="AP333" t="s">
        <v>6401</v>
      </c>
      <c r="AQ333" t="s">
        <v>74</v>
      </c>
      <c r="AR333" t="s">
        <v>6402</v>
      </c>
      <c r="AS333" t="s">
        <v>6403</v>
      </c>
      <c r="AT333" t="s">
        <v>5910</v>
      </c>
      <c r="AU333">
        <v>2010</v>
      </c>
      <c r="AV333">
        <v>218</v>
      </c>
      <c r="AW333">
        <v>1</v>
      </c>
      <c r="AX333" t="s">
        <v>74</v>
      </c>
      <c r="AY333" t="s">
        <v>74</v>
      </c>
      <c r="AZ333" t="s">
        <v>74</v>
      </c>
      <c r="BA333" t="s">
        <v>74</v>
      </c>
      <c r="BB333">
        <v>48</v>
      </c>
      <c r="BC333">
        <v>60</v>
      </c>
      <c r="BD333" t="s">
        <v>74</v>
      </c>
      <c r="BE333" t="s">
        <v>6404</v>
      </c>
      <c r="BF333" t="str">
        <f>HYPERLINK("http://dx.doi.org/10.1086/BBLv218n1p48","http://dx.doi.org/10.1086/BBLv218n1p48")</f>
        <v>http://dx.doi.org/10.1086/BBLv218n1p48</v>
      </c>
      <c r="BG333" t="s">
        <v>74</v>
      </c>
      <c r="BH333" t="s">
        <v>74</v>
      </c>
      <c r="BI333">
        <v>13</v>
      </c>
      <c r="BJ333" t="s">
        <v>6405</v>
      </c>
      <c r="BK333" t="s">
        <v>102</v>
      </c>
      <c r="BL333" t="s">
        <v>6406</v>
      </c>
      <c r="BM333" t="s">
        <v>6407</v>
      </c>
      <c r="BN333">
        <v>20203253</v>
      </c>
      <c r="BO333" t="s">
        <v>74</v>
      </c>
      <c r="BP333" t="s">
        <v>74</v>
      </c>
      <c r="BQ333" t="s">
        <v>74</v>
      </c>
      <c r="BR333" t="s">
        <v>105</v>
      </c>
      <c r="BS333" t="s">
        <v>6408</v>
      </c>
      <c r="BT333" t="str">
        <f>HYPERLINK("https%3A%2F%2Fwww.webofscience.com%2Fwos%2Fwoscc%2Ffull-record%2FWOS:000275390600006","View Full Record in Web of Science")</f>
        <v>View Full Record in Web of Science</v>
      </c>
    </row>
    <row r="334" spans="1:72" x14ac:dyDescent="0.15">
      <c r="A334" t="s">
        <v>72</v>
      </c>
      <c r="B334" t="s">
        <v>6409</v>
      </c>
      <c r="C334" t="s">
        <v>74</v>
      </c>
      <c r="D334" t="s">
        <v>74</v>
      </c>
      <c r="E334" t="s">
        <v>74</v>
      </c>
      <c r="F334" t="s">
        <v>6410</v>
      </c>
      <c r="G334" t="s">
        <v>74</v>
      </c>
      <c r="H334" t="s">
        <v>74</v>
      </c>
      <c r="I334" t="s">
        <v>6411</v>
      </c>
      <c r="J334" t="s">
        <v>6412</v>
      </c>
      <c r="K334" t="s">
        <v>74</v>
      </c>
      <c r="L334" t="s">
        <v>74</v>
      </c>
      <c r="M334" t="s">
        <v>78</v>
      </c>
      <c r="N334" t="s">
        <v>79</v>
      </c>
      <c r="O334" t="s">
        <v>74</v>
      </c>
      <c r="P334" t="s">
        <v>74</v>
      </c>
      <c r="Q334" t="s">
        <v>74</v>
      </c>
      <c r="R334" t="s">
        <v>74</v>
      </c>
      <c r="S334" t="s">
        <v>74</v>
      </c>
      <c r="T334" t="s">
        <v>6413</v>
      </c>
      <c r="U334" t="s">
        <v>6414</v>
      </c>
      <c r="V334" t="s">
        <v>6415</v>
      </c>
      <c r="W334" t="s">
        <v>6416</v>
      </c>
      <c r="X334" t="s">
        <v>6417</v>
      </c>
      <c r="Y334" t="s">
        <v>6418</v>
      </c>
      <c r="Z334" t="s">
        <v>74</v>
      </c>
      <c r="AA334" t="s">
        <v>6419</v>
      </c>
      <c r="AB334" t="s">
        <v>74</v>
      </c>
      <c r="AC334" t="s">
        <v>4902</v>
      </c>
      <c r="AD334" t="s">
        <v>1972</v>
      </c>
      <c r="AE334" t="s">
        <v>74</v>
      </c>
      <c r="AF334" t="s">
        <v>74</v>
      </c>
      <c r="AG334">
        <v>69</v>
      </c>
      <c r="AH334">
        <v>43</v>
      </c>
      <c r="AI334">
        <v>46</v>
      </c>
      <c r="AJ334">
        <v>2</v>
      </c>
      <c r="AK334">
        <v>64</v>
      </c>
      <c r="AL334" t="s">
        <v>2285</v>
      </c>
      <c r="AM334" t="s">
        <v>1064</v>
      </c>
      <c r="AN334" t="s">
        <v>2286</v>
      </c>
      <c r="AO334" t="s">
        <v>6420</v>
      </c>
      <c r="AP334" t="s">
        <v>6421</v>
      </c>
      <c r="AQ334" t="s">
        <v>74</v>
      </c>
      <c r="AR334" t="s">
        <v>6422</v>
      </c>
      <c r="AS334" t="s">
        <v>6423</v>
      </c>
      <c r="AT334" t="s">
        <v>5910</v>
      </c>
      <c r="AU334">
        <v>2010</v>
      </c>
      <c r="AV334">
        <v>143</v>
      </c>
      <c r="AW334">
        <v>2</v>
      </c>
      <c r="AX334" t="s">
        <v>74</v>
      </c>
      <c r="AY334" t="s">
        <v>74</v>
      </c>
      <c r="AZ334" t="s">
        <v>74</v>
      </c>
      <c r="BA334" t="s">
        <v>74</v>
      </c>
      <c r="BB334">
        <v>501</v>
      </c>
      <c r="BC334">
        <v>512</v>
      </c>
      <c r="BD334" t="s">
        <v>74</v>
      </c>
      <c r="BE334" t="s">
        <v>6424</v>
      </c>
      <c r="BF334" t="str">
        <f>HYPERLINK("http://dx.doi.org/10.1016/j.biocon.2009.11.020","http://dx.doi.org/10.1016/j.biocon.2009.11.020")</f>
        <v>http://dx.doi.org/10.1016/j.biocon.2009.11.020</v>
      </c>
      <c r="BG334" t="s">
        <v>74</v>
      </c>
      <c r="BH334" t="s">
        <v>74</v>
      </c>
      <c r="BI334">
        <v>12</v>
      </c>
      <c r="BJ334" t="s">
        <v>3873</v>
      </c>
      <c r="BK334" t="s">
        <v>102</v>
      </c>
      <c r="BL334" t="s">
        <v>844</v>
      </c>
      <c r="BM334" t="s">
        <v>6425</v>
      </c>
      <c r="BN334" t="s">
        <v>74</v>
      </c>
      <c r="BO334" t="s">
        <v>74</v>
      </c>
      <c r="BP334" t="s">
        <v>74</v>
      </c>
      <c r="BQ334" t="s">
        <v>74</v>
      </c>
      <c r="BR334" t="s">
        <v>105</v>
      </c>
      <c r="BS334" t="s">
        <v>6426</v>
      </c>
      <c r="BT334" t="str">
        <f>HYPERLINK("https%3A%2F%2Fwww.webofscience.com%2Fwos%2Fwoscc%2Ffull-record%2FWOS:000274761000026","View Full Record in Web of Science")</f>
        <v>View Full Record in Web of Science</v>
      </c>
    </row>
    <row r="335" spans="1:72" x14ac:dyDescent="0.15">
      <c r="A335" t="s">
        <v>72</v>
      </c>
      <c r="B335" t="s">
        <v>6427</v>
      </c>
      <c r="C335" t="s">
        <v>74</v>
      </c>
      <c r="D335" t="s">
        <v>74</v>
      </c>
      <c r="E335" t="s">
        <v>74</v>
      </c>
      <c r="F335" t="s">
        <v>6428</v>
      </c>
      <c r="G335" t="s">
        <v>74</v>
      </c>
      <c r="H335" t="s">
        <v>74</v>
      </c>
      <c r="I335" t="s">
        <v>6429</v>
      </c>
      <c r="J335" t="s">
        <v>6430</v>
      </c>
      <c r="K335" t="s">
        <v>74</v>
      </c>
      <c r="L335" t="s">
        <v>74</v>
      </c>
      <c r="M335" t="s">
        <v>78</v>
      </c>
      <c r="N335" t="s">
        <v>79</v>
      </c>
      <c r="O335" t="s">
        <v>74</v>
      </c>
      <c r="P335" t="s">
        <v>74</v>
      </c>
      <c r="Q335" t="s">
        <v>74</v>
      </c>
      <c r="R335" t="s">
        <v>74</v>
      </c>
      <c r="S335" t="s">
        <v>74</v>
      </c>
      <c r="T335" t="s">
        <v>74</v>
      </c>
      <c r="U335" t="s">
        <v>6431</v>
      </c>
      <c r="V335" t="s">
        <v>6432</v>
      </c>
      <c r="W335" t="s">
        <v>6433</v>
      </c>
      <c r="X335" t="s">
        <v>6434</v>
      </c>
      <c r="Y335" t="s">
        <v>6435</v>
      </c>
      <c r="Z335" t="s">
        <v>6436</v>
      </c>
      <c r="AA335" t="s">
        <v>74</v>
      </c>
      <c r="AB335" t="s">
        <v>74</v>
      </c>
      <c r="AC335" t="s">
        <v>6437</v>
      </c>
      <c r="AD335" t="s">
        <v>6438</v>
      </c>
      <c r="AE335" t="s">
        <v>6439</v>
      </c>
      <c r="AF335" t="s">
        <v>74</v>
      </c>
      <c r="AG335">
        <v>28</v>
      </c>
      <c r="AH335">
        <v>4</v>
      </c>
      <c r="AI335">
        <v>4</v>
      </c>
      <c r="AJ335">
        <v>0</v>
      </c>
      <c r="AK335">
        <v>10</v>
      </c>
      <c r="AL335" t="s">
        <v>4045</v>
      </c>
      <c r="AM335" t="s">
        <v>4046</v>
      </c>
      <c r="AN335" t="s">
        <v>4047</v>
      </c>
      <c r="AO335" t="s">
        <v>6440</v>
      </c>
      <c r="AP335" t="s">
        <v>6441</v>
      </c>
      <c r="AQ335" t="s">
        <v>74</v>
      </c>
      <c r="AR335" t="s">
        <v>6442</v>
      </c>
      <c r="AS335" t="s">
        <v>6443</v>
      </c>
      <c r="AT335" t="s">
        <v>5910</v>
      </c>
      <c r="AU335">
        <v>2010</v>
      </c>
      <c r="AV335">
        <v>37</v>
      </c>
      <c r="AW335">
        <v>1</v>
      </c>
      <c r="AX335" t="s">
        <v>74</v>
      </c>
      <c r="AY335" t="s">
        <v>74</v>
      </c>
      <c r="AZ335" t="s">
        <v>74</v>
      </c>
      <c r="BA335" t="s">
        <v>74</v>
      </c>
      <c r="BB335">
        <v>56</v>
      </c>
      <c r="BC335">
        <v>62</v>
      </c>
      <c r="BD335" t="s">
        <v>74</v>
      </c>
      <c r="BE335" t="s">
        <v>6444</v>
      </c>
      <c r="BF335" t="str">
        <f>HYPERLINK("http://dx.doi.org/10.1134/S1062359010010085","http://dx.doi.org/10.1134/S1062359010010085")</f>
        <v>http://dx.doi.org/10.1134/S1062359010010085</v>
      </c>
      <c r="BG335" t="s">
        <v>74</v>
      </c>
      <c r="BH335" t="s">
        <v>74</v>
      </c>
      <c r="BI335">
        <v>7</v>
      </c>
      <c r="BJ335" t="s">
        <v>3402</v>
      </c>
      <c r="BK335" t="s">
        <v>102</v>
      </c>
      <c r="BL335" t="s">
        <v>3403</v>
      </c>
      <c r="BM335" t="s">
        <v>6445</v>
      </c>
      <c r="BN335" t="s">
        <v>74</v>
      </c>
      <c r="BO335" t="s">
        <v>74</v>
      </c>
      <c r="BP335" t="s">
        <v>74</v>
      </c>
      <c r="BQ335" t="s">
        <v>74</v>
      </c>
      <c r="BR335" t="s">
        <v>105</v>
      </c>
      <c r="BS335" t="s">
        <v>6446</v>
      </c>
      <c r="BT335" t="str">
        <f>HYPERLINK("https%3A%2F%2Fwww.webofscience.com%2Fwos%2Fwoscc%2Ffull-record%2FWOS:000274384400008","View Full Record in Web of Science")</f>
        <v>View Full Record in Web of Science</v>
      </c>
    </row>
    <row r="336" spans="1:72" x14ac:dyDescent="0.15">
      <c r="A336" t="s">
        <v>72</v>
      </c>
      <c r="B336" t="s">
        <v>6447</v>
      </c>
      <c r="C336" t="s">
        <v>74</v>
      </c>
      <c r="D336" t="s">
        <v>74</v>
      </c>
      <c r="E336" t="s">
        <v>74</v>
      </c>
      <c r="F336" t="s">
        <v>6448</v>
      </c>
      <c r="G336" t="s">
        <v>74</v>
      </c>
      <c r="H336" t="s">
        <v>74</v>
      </c>
      <c r="I336" t="s">
        <v>6449</v>
      </c>
      <c r="J336" t="s">
        <v>6450</v>
      </c>
      <c r="K336" t="s">
        <v>74</v>
      </c>
      <c r="L336" t="s">
        <v>74</v>
      </c>
      <c r="M336" t="s">
        <v>78</v>
      </c>
      <c r="N336" t="s">
        <v>79</v>
      </c>
      <c r="O336" t="s">
        <v>74</v>
      </c>
      <c r="P336" t="s">
        <v>74</v>
      </c>
      <c r="Q336" t="s">
        <v>74</v>
      </c>
      <c r="R336" t="s">
        <v>74</v>
      </c>
      <c r="S336" t="s">
        <v>74</v>
      </c>
      <c r="T336" t="s">
        <v>6451</v>
      </c>
      <c r="U336" t="s">
        <v>74</v>
      </c>
      <c r="V336" t="s">
        <v>6452</v>
      </c>
      <c r="W336" t="s">
        <v>6453</v>
      </c>
      <c r="X336" t="s">
        <v>6454</v>
      </c>
      <c r="Y336" t="s">
        <v>6455</v>
      </c>
      <c r="Z336" t="s">
        <v>6456</v>
      </c>
      <c r="AA336" t="s">
        <v>74</v>
      </c>
      <c r="AB336" t="s">
        <v>6457</v>
      </c>
      <c r="AC336" t="s">
        <v>6458</v>
      </c>
      <c r="AD336" t="s">
        <v>6459</v>
      </c>
      <c r="AE336" t="s">
        <v>6460</v>
      </c>
      <c r="AF336" t="s">
        <v>74</v>
      </c>
      <c r="AG336">
        <v>15</v>
      </c>
      <c r="AH336">
        <v>5</v>
      </c>
      <c r="AI336">
        <v>5</v>
      </c>
      <c r="AJ336">
        <v>1</v>
      </c>
      <c r="AK336">
        <v>19</v>
      </c>
      <c r="AL336" t="s">
        <v>6461</v>
      </c>
      <c r="AM336" t="s">
        <v>6462</v>
      </c>
      <c r="AN336" t="s">
        <v>6463</v>
      </c>
      <c r="AO336" t="s">
        <v>6464</v>
      </c>
      <c r="AP336" t="s">
        <v>6465</v>
      </c>
      <c r="AQ336" t="s">
        <v>74</v>
      </c>
      <c r="AR336" t="s">
        <v>6466</v>
      </c>
      <c r="AS336" t="s">
        <v>6467</v>
      </c>
      <c r="AT336" t="s">
        <v>5910</v>
      </c>
      <c r="AU336">
        <v>2010</v>
      </c>
      <c r="AV336">
        <v>53</v>
      </c>
      <c r="AW336">
        <v>1</v>
      </c>
      <c r="AX336" t="s">
        <v>74</v>
      </c>
      <c r="AY336" t="s">
        <v>74</v>
      </c>
      <c r="AZ336" t="s">
        <v>74</v>
      </c>
      <c r="BA336" t="s">
        <v>74</v>
      </c>
      <c r="BB336">
        <v>89</v>
      </c>
      <c r="BC336">
        <v>91</v>
      </c>
      <c r="BD336" t="s">
        <v>74</v>
      </c>
      <c r="BE336" t="s">
        <v>6468</v>
      </c>
      <c r="BF336" t="str">
        <f>HYPERLINK("http://dx.doi.org/10.1515/BOT.2010.003","http://dx.doi.org/10.1515/BOT.2010.003")</f>
        <v>http://dx.doi.org/10.1515/BOT.2010.003</v>
      </c>
      <c r="BG336" t="s">
        <v>74</v>
      </c>
      <c r="BH336" t="s">
        <v>74</v>
      </c>
      <c r="BI336">
        <v>3</v>
      </c>
      <c r="BJ336" t="s">
        <v>2070</v>
      </c>
      <c r="BK336" t="s">
        <v>102</v>
      </c>
      <c r="BL336" t="s">
        <v>2070</v>
      </c>
      <c r="BM336" t="s">
        <v>6469</v>
      </c>
      <c r="BN336" t="s">
        <v>74</v>
      </c>
      <c r="BO336" t="s">
        <v>74</v>
      </c>
      <c r="BP336" t="s">
        <v>74</v>
      </c>
      <c r="BQ336" t="s">
        <v>74</v>
      </c>
      <c r="BR336" t="s">
        <v>105</v>
      </c>
      <c r="BS336" t="s">
        <v>6470</v>
      </c>
      <c r="BT336" t="str">
        <f>HYPERLINK("https%3A%2F%2Fwww.webofscience.com%2Fwos%2Fwoscc%2Ffull-record%2FWOS:000274192000009","View Full Record in Web of Science")</f>
        <v>View Full Record in Web of Science</v>
      </c>
    </row>
    <row r="337" spans="1:72" x14ac:dyDescent="0.15">
      <c r="A337" t="s">
        <v>72</v>
      </c>
      <c r="B337" t="s">
        <v>6471</v>
      </c>
      <c r="C337" t="s">
        <v>74</v>
      </c>
      <c r="D337" t="s">
        <v>74</v>
      </c>
      <c r="E337" t="s">
        <v>74</v>
      </c>
      <c r="F337" t="s">
        <v>6472</v>
      </c>
      <c r="G337" t="s">
        <v>74</v>
      </c>
      <c r="H337" t="s">
        <v>74</v>
      </c>
      <c r="I337" t="s">
        <v>6473</v>
      </c>
      <c r="J337" t="s">
        <v>6474</v>
      </c>
      <c r="K337" t="s">
        <v>74</v>
      </c>
      <c r="L337" t="s">
        <v>74</v>
      </c>
      <c r="M337" t="s">
        <v>78</v>
      </c>
      <c r="N337" t="s">
        <v>79</v>
      </c>
      <c r="O337" t="s">
        <v>74</v>
      </c>
      <c r="P337" t="s">
        <v>74</v>
      </c>
      <c r="Q337" t="s">
        <v>74</v>
      </c>
      <c r="R337" t="s">
        <v>74</v>
      </c>
      <c r="S337" t="s">
        <v>74</v>
      </c>
      <c r="T337" t="s">
        <v>6475</v>
      </c>
      <c r="U337" t="s">
        <v>6476</v>
      </c>
      <c r="V337" t="s">
        <v>6477</v>
      </c>
      <c r="W337" t="s">
        <v>6478</v>
      </c>
      <c r="X337" t="s">
        <v>6479</v>
      </c>
      <c r="Y337" t="s">
        <v>6480</v>
      </c>
      <c r="Z337" t="s">
        <v>6481</v>
      </c>
      <c r="AA337" t="s">
        <v>6482</v>
      </c>
      <c r="AB337" t="s">
        <v>6483</v>
      </c>
      <c r="AC337" t="s">
        <v>74</v>
      </c>
      <c r="AD337" t="s">
        <v>74</v>
      </c>
      <c r="AE337" t="s">
        <v>74</v>
      </c>
      <c r="AF337" t="s">
        <v>74</v>
      </c>
      <c r="AG337">
        <v>75</v>
      </c>
      <c r="AH337">
        <v>38</v>
      </c>
      <c r="AI337">
        <v>43</v>
      </c>
      <c r="AJ337">
        <v>1</v>
      </c>
      <c r="AK337">
        <v>50</v>
      </c>
      <c r="AL337" t="s">
        <v>813</v>
      </c>
      <c r="AM337" t="s">
        <v>225</v>
      </c>
      <c r="AN337" t="s">
        <v>907</v>
      </c>
      <c r="AO337" t="s">
        <v>6484</v>
      </c>
      <c r="AP337" t="s">
        <v>6485</v>
      </c>
      <c r="AQ337" t="s">
        <v>74</v>
      </c>
      <c r="AR337" t="s">
        <v>6486</v>
      </c>
      <c r="AS337" t="s">
        <v>6487</v>
      </c>
      <c r="AT337" t="s">
        <v>5910</v>
      </c>
      <c r="AU337">
        <v>2010</v>
      </c>
      <c r="AV337">
        <v>72</v>
      </c>
      <c r="AW337">
        <v>2</v>
      </c>
      <c r="AX337" t="s">
        <v>74</v>
      </c>
      <c r="AY337" t="s">
        <v>74</v>
      </c>
      <c r="AZ337" t="s">
        <v>74</v>
      </c>
      <c r="BA337" t="s">
        <v>74</v>
      </c>
      <c r="BB337">
        <v>444</v>
      </c>
      <c r="BC337">
        <v>468</v>
      </c>
      <c r="BD337" t="s">
        <v>74</v>
      </c>
      <c r="BE337" t="s">
        <v>6488</v>
      </c>
      <c r="BF337" t="str">
        <f>HYPERLINK("http://dx.doi.org/10.1007/s11538-009-9454-2","http://dx.doi.org/10.1007/s11538-009-9454-2")</f>
        <v>http://dx.doi.org/10.1007/s11538-009-9454-2</v>
      </c>
      <c r="BG337" t="s">
        <v>74</v>
      </c>
      <c r="BH337" t="s">
        <v>74</v>
      </c>
      <c r="BI337">
        <v>25</v>
      </c>
      <c r="BJ337" t="s">
        <v>6489</v>
      </c>
      <c r="BK337" t="s">
        <v>102</v>
      </c>
      <c r="BL337" t="s">
        <v>6490</v>
      </c>
      <c r="BM337" t="s">
        <v>6491</v>
      </c>
      <c r="BN337">
        <v>19787407</v>
      </c>
      <c r="BO337" t="s">
        <v>74</v>
      </c>
      <c r="BP337" t="s">
        <v>74</v>
      </c>
      <c r="BQ337" t="s">
        <v>74</v>
      </c>
      <c r="BR337" t="s">
        <v>105</v>
      </c>
      <c r="BS337" t="s">
        <v>6492</v>
      </c>
      <c r="BT337" t="str">
        <f>HYPERLINK("https%3A%2F%2Fwww.webofscience.com%2Fwos%2Fwoscc%2Ffull-record%2FWOS:000275068300009","View Full Record in Web of Science")</f>
        <v>View Full Record in Web of Science</v>
      </c>
    </row>
    <row r="338" spans="1:72" x14ac:dyDescent="0.15">
      <c r="A338" t="s">
        <v>72</v>
      </c>
      <c r="B338" t="s">
        <v>6493</v>
      </c>
      <c r="C338" t="s">
        <v>74</v>
      </c>
      <c r="D338" t="s">
        <v>74</v>
      </c>
      <c r="E338" t="s">
        <v>74</v>
      </c>
      <c r="F338" t="s">
        <v>6494</v>
      </c>
      <c r="G338" t="s">
        <v>74</v>
      </c>
      <c r="H338" t="s">
        <v>74</v>
      </c>
      <c r="I338" t="s">
        <v>6495</v>
      </c>
      <c r="J338" t="s">
        <v>6496</v>
      </c>
      <c r="K338" t="s">
        <v>74</v>
      </c>
      <c r="L338" t="s">
        <v>74</v>
      </c>
      <c r="M338" t="s">
        <v>78</v>
      </c>
      <c r="N338" t="s">
        <v>79</v>
      </c>
      <c r="O338" t="s">
        <v>74</v>
      </c>
      <c r="P338" t="s">
        <v>74</v>
      </c>
      <c r="Q338" t="s">
        <v>74</v>
      </c>
      <c r="R338" t="s">
        <v>74</v>
      </c>
      <c r="S338" t="s">
        <v>74</v>
      </c>
      <c r="T338" t="s">
        <v>74</v>
      </c>
      <c r="U338" t="s">
        <v>6497</v>
      </c>
      <c r="V338" t="s">
        <v>6498</v>
      </c>
      <c r="W338" t="s">
        <v>6499</v>
      </c>
      <c r="X338" t="s">
        <v>6500</v>
      </c>
      <c r="Y338" t="s">
        <v>6501</v>
      </c>
      <c r="Z338" t="s">
        <v>6502</v>
      </c>
      <c r="AA338" t="s">
        <v>74</v>
      </c>
      <c r="AB338" t="s">
        <v>6503</v>
      </c>
      <c r="AC338" t="s">
        <v>74</v>
      </c>
      <c r="AD338" t="s">
        <v>74</v>
      </c>
      <c r="AE338" t="s">
        <v>74</v>
      </c>
      <c r="AF338" t="s">
        <v>74</v>
      </c>
      <c r="AG338">
        <v>50</v>
      </c>
      <c r="AH338">
        <v>5</v>
      </c>
      <c r="AI338">
        <v>6</v>
      </c>
      <c r="AJ338">
        <v>0</v>
      </c>
      <c r="AK338">
        <v>23</v>
      </c>
      <c r="AL338" t="s">
        <v>6504</v>
      </c>
      <c r="AM338" t="s">
        <v>884</v>
      </c>
      <c r="AN338" t="s">
        <v>885</v>
      </c>
      <c r="AO338" t="s">
        <v>6505</v>
      </c>
      <c r="AP338" t="s">
        <v>6506</v>
      </c>
      <c r="AQ338" t="s">
        <v>74</v>
      </c>
      <c r="AR338" t="s">
        <v>6507</v>
      </c>
      <c r="AS338" t="s">
        <v>6508</v>
      </c>
      <c r="AT338" t="s">
        <v>5910</v>
      </c>
      <c r="AU338">
        <v>2010</v>
      </c>
      <c r="AV338">
        <v>88</v>
      </c>
      <c r="AW338">
        <v>2</v>
      </c>
      <c r="AX338" t="s">
        <v>74</v>
      </c>
      <c r="AY338" t="s">
        <v>74</v>
      </c>
      <c r="AZ338" t="s">
        <v>74</v>
      </c>
      <c r="BA338" t="s">
        <v>74</v>
      </c>
      <c r="BB338">
        <v>195</v>
      </c>
      <c r="BC338">
        <v>203</v>
      </c>
      <c r="BD338" t="s">
        <v>74</v>
      </c>
      <c r="BE338" t="s">
        <v>6509</v>
      </c>
      <c r="BF338" t="str">
        <f>HYPERLINK("http://dx.doi.org/10.1139/Z09-134","http://dx.doi.org/10.1139/Z09-134")</f>
        <v>http://dx.doi.org/10.1139/Z09-134</v>
      </c>
      <c r="BG338" t="s">
        <v>74</v>
      </c>
      <c r="BH338" t="s">
        <v>74</v>
      </c>
      <c r="BI338">
        <v>9</v>
      </c>
      <c r="BJ338" t="s">
        <v>281</v>
      </c>
      <c r="BK338" t="s">
        <v>102</v>
      </c>
      <c r="BL338" t="s">
        <v>281</v>
      </c>
      <c r="BM338" t="s">
        <v>6510</v>
      </c>
      <c r="BN338" t="s">
        <v>74</v>
      </c>
      <c r="BO338" t="s">
        <v>74</v>
      </c>
      <c r="BP338" t="s">
        <v>74</v>
      </c>
      <c r="BQ338" t="s">
        <v>74</v>
      </c>
      <c r="BR338" t="s">
        <v>105</v>
      </c>
      <c r="BS338" t="s">
        <v>6511</v>
      </c>
      <c r="BT338" t="str">
        <f>HYPERLINK("https%3A%2F%2Fwww.webofscience.com%2Fwos%2Fwoscc%2Ffull-record%2FWOS:000275819600008","View Full Record in Web of Science")</f>
        <v>View Full Record in Web of Science</v>
      </c>
    </row>
    <row r="339" spans="1:72" x14ac:dyDescent="0.15">
      <c r="A339" t="s">
        <v>72</v>
      </c>
      <c r="B339" t="s">
        <v>6512</v>
      </c>
      <c r="C339" t="s">
        <v>74</v>
      </c>
      <c r="D339" t="s">
        <v>74</v>
      </c>
      <c r="E339" t="s">
        <v>74</v>
      </c>
      <c r="F339" t="s">
        <v>6513</v>
      </c>
      <c r="G339" t="s">
        <v>74</v>
      </c>
      <c r="H339" t="s">
        <v>74</v>
      </c>
      <c r="I339" t="s">
        <v>6514</v>
      </c>
      <c r="J339" t="s">
        <v>6515</v>
      </c>
      <c r="K339" t="s">
        <v>74</v>
      </c>
      <c r="L339" t="s">
        <v>74</v>
      </c>
      <c r="M339" t="s">
        <v>78</v>
      </c>
      <c r="N339" t="s">
        <v>79</v>
      </c>
      <c r="O339" t="s">
        <v>74</v>
      </c>
      <c r="P339" t="s">
        <v>74</v>
      </c>
      <c r="Q339" t="s">
        <v>74</v>
      </c>
      <c r="R339" t="s">
        <v>74</v>
      </c>
      <c r="S339" t="s">
        <v>74</v>
      </c>
      <c r="T339" t="s">
        <v>6516</v>
      </c>
      <c r="U339" t="s">
        <v>6517</v>
      </c>
      <c r="V339" t="s">
        <v>6518</v>
      </c>
      <c r="W339" t="s">
        <v>6519</v>
      </c>
      <c r="X339" t="s">
        <v>6520</v>
      </c>
      <c r="Y339" t="s">
        <v>6521</v>
      </c>
      <c r="Z339" t="s">
        <v>6522</v>
      </c>
      <c r="AA339" t="s">
        <v>6523</v>
      </c>
      <c r="AB339" t="s">
        <v>6524</v>
      </c>
      <c r="AC339" t="s">
        <v>6525</v>
      </c>
      <c r="AD339" t="s">
        <v>6526</v>
      </c>
      <c r="AE339" t="s">
        <v>6527</v>
      </c>
      <c r="AF339" t="s">
        <v>74</v>
      </c>
      <c r="AG339">
        <v>23</v>
      </c>
      <c r="AH339">
        <v>35</v>
      </c>
      <c r="AI339">
        <v>36</v>
      </c>
      <c r="AJ339">
        <v>1</v>
      </c>
      <c r="AK339">
        <v>35</v>
      </c>
      <c r="AL339" t="s">
        <v>1063</v>
      </c>
      <c r="AM339" t="s">
        <v>1064</v>
      </c>
      <c r="AN339" t="s">
        <v>1065</v>
      </c>
      <c r="AO339" t="s">
        <v>6528</v>
      </c>
      <c r="AP339" t="s">
        <v>74</v>
      </c>
      <c r="AQ339" t="s">
        <v>74</v>
      </c>
      <c r="AR339" t="s">
        <v>6515</v>
      </c>
      <c r="AS339" t="s">
        <v>6529</v>
      </c>
      <c r="AT339" t="s">
        <v>5910</v>
      </c>
      <c r="AU339">
        <v>2010</v>
      </c>
      <c r="AV339">
        <v>78</v>
      </c>
      <c r="AW339">
        <v>6</v>
      </c>
      <c r="AX339" t="s">
        <v>74</v>
      </c>
      <c r="AY339" t="s">
        <v>74</v>
      </c>
      <c r="AZ339" t="s">
        <v>74</v>
      </c>
      <c r="BA339" t="s">
        <v>74</v>
      </c>
      <c r="BB339">
        <v>767</v>
      </c>
      <c r="BC339">
        <v>771</v>
      </c>
      <c r="BD339" t="s">
        <v>74</v>
      </c>
      <c r="BE339" t="s">
        <v>6530</v>
      </c>
      <c r="BF339" t="str">
        <f>HYPERLINK("http://dx.doi.org/10.1016/j.chemosphere.2009.10.006","http://dx.doi.org/10.1016/j.chemosphere.2009.10.006")</f>
        <v>http://dx.doi.org/10.1016/j.chemosphere.2009.10.006</v>
      </c>
      <c r="BG339" t="s">
        <v>74</v>
      </c>
      <c r="BH339" t="s">
        <v>74</v>
      </c>
      <c r="BI339">
        <v>5</v>
      </c>
      <c r="BJ339" t="s">
        <v>4031</v>
      </c>
      <c r="BK339" t="s">
        <v>102</v>
      </c>
      <c r="BL339" t="s">
        <v>1348</v>
      </c>
      <c r="BM339" t="s">
        <v>6531</v>
      </c>
      <c r="BN339">
        <v>19917513</v>
      </c>
      <c r="BO339" t="s">
        <v>3033</v>
      </c>
      <c r="BP339" t="s">
        <v>74</v>
      </c>
      <c r="BQ339" t="s">
        <v>74</v>
      </c>
      <c r="BR339" t="s">
        <v>105</v>
      </c>
      <c r="BS339" t="s">
        <v>6532</v>
      </c>
      <c r="BT339" t="str">
        <f>HYPERLINK("https%3A%2F%2Fwww.webofscience.com%2Fwos%2Fwoscc%2Ffull-record%2FWOS:000274945900018","View Full Record in Web of Science")</f>
        <v>View Full Record in Web of Science</v>
      </c>
    </row>
    <row r="340" spans="1:72" x14ac:dyDescent="0.15">
      <c r="A340" t="s">
        <v>72</v>
      </c>
      <c r="B340" t="s">
        <v>6533</v>
      </c>
      <c r="C340" t="s">
        <v>74</v>
      </c>
      <c r="D340" t="s">
        <v>74</v>
      </c>
      <c r="E340" t="s">
        <v>74</v>
      </c>
      <c r="F340" t="s">
        <v>6534</v>
      </c>
      <c r="G340" t="s">
        <v>74</v>
      </c>
      <c r="H340" t="s">
        <v>74</v>
      </c>
      <c r="I340" t="s">
        <v>6535</v>
      </c>
      <c r="J340" t="s">
        <v>920</v>
      </c>
      <c r="K340" t="s">
        <v>74</v>
      </c>
      <c r="L340" t="s">
        <v>74</v>
      </c>
      <c r="M340" t="s">
        <v>78</v>
      </c>
      <c r="N340" t="s">
        <v>79</v>
      </c>
      <c r="O340" t="s">
        <v>74</v>
      </c>
      <c r="P340" t="s">
        <v>74</v>
      </c>
      <c r="Q340" t="s">
        <v>74</v>
      </c>
      <c r="R340" t="s">
        <v>74</v>
      </c>
      <c r="S340" t="s">
        <v>74</v>
      </c>
      <c r="T340" t="s">
        <v>6536</v>
      </c>
      <c r="U340" t="s">
        <v>74</v>
      </c>
      <c r="V340" t="s">
        <v>6537</v>
      </c>
      <c r="W340" t="s">
        <v>6538</v>
      </c>
      <c r="X340" t="s">
        <v>6539</v>
      </c>
      <c r="Y340" t="s">
        <v>6540</v>
      </c>
      <c r="Z340" t="s">
        <v>6541</v>
      </c>
      <c r="AA340" t="s">
        <v>6542</v>
      </c>
      <c r="AB340" t="s">
        <v>6543</v>
      </c>
      <c r="AC340" t="s">
        <v>6544</v>
      </c>
      <c r="AD340" t="s">
        <v>6545</v>
      </c>
      <c r="AE340" t="s">
        <v>6546</v>
      </c>
      <c r="AF340" t="s">
        <v>74</v>
      </c>
      <c r="AG340">
        <v>16</v>
      </c>
      <c r="AH340">
        <v>23</v>
      </c>
      <c r="AI340">
        <v>29</v>
      </c>
      <c r="AJ340">
        <v>0</v>
      </c>
      <c r="AK340">
        <v>16</v>
      </c>
      <c r="AL340" t="s">
        <v>933</v>
      </c>
      <c r="AM340" t="s">
        <v>934</v>
      </c>
      <c r="AN340" t="s">
        <v>935</v>
      </c>
      <c r="AO340" t="s">
        <v>936</v>
      </c>
      <c r="AP340" t="s">
        <v>937</v>
      </c>
      <c r="AQ340" t="s">
        <v>74</v>
      </c>
      <c r="AR340" t="s">
        <v>938</v>
      </c>
      <c r="AS340" t="s">
        <v>939</v>
      </c>
      <c r="AT340" t="s">
        <v>5910</v>
      </c>
      <c r="AU340">
        <v>2010</v>
      </c>
      <c r="AV340">
        <v>55</v>
      </c>
      <c r="AW340" t="s">
        <v>1045</v>
      </c>
      <c r="AX340" t="s">
        <v>74</v>
      </c>
      <c r="AY340" t="s">
        <v>74</v>
      </c>
      <c r="AZ340" t="s">
        <v>74</v>
      </c>
      <c r="BA340" t="s">
        <v>74</v>
      </c>
      <c r="BB340">
        <v>425</v>
      </c>
      <c r="BC340">
        <v>431</v>
      </c>
      <c r="BD340" t="s">
        <v>74</v>
      </c>
      <c r="BE340" t="s">
        <v>6547</v>
      </c>
      <c r="BF340" t="str">
        <f>HYPERLINK("http://dx.doi.org/10.1007/s11434-009-0546-z","http://dx.doi.org/10.1007/s11434-009-0546-z")</f>
        <v>http://dx.doi.org/10.1007/s11434-009-0546-z</v>
      </c>
      <c r="BG340" t="s">
        <v>74</v>
      </c>
      <c r="BH340" t="s">
        <v>74</v>
      </c>
      <c r="BI340">
        <v>7</v>
      </c>
      <c r="BJ340" t="s">
        <v>323</v>
      </c>
      <c r="BK340" t="s">
        <v>102</v>
      </c>
      <c r="BL340" t="s">
        <v>324</v>
      </c>
      <c r="BM340" t="s">
        <v>6548</v>
      </c>
      <c r="BN340" t="s">
        <v>74</v>
      </c>
      <c r="BO340" t="s">
        <v>74</v>
      </c>
      <c r="BP340" t="s">
        <v>74</v>
      </c>
      <c r="BQ340" t="s">
        <v>74</v>
      </c>
      <c r="BR340" t="s">
        <v>105</v>
      </c>
      <c r="BS340" t="s">
        <v>6549</v>
      </c>
      <c r="BT340" t="str">
        <f>HYPERLINK("https%3A%2F%2Fwww.webofscience.com%2Fwos%2Fwoscc%2Ffull-record%2FWOS:000274843600016","View Full Record in Web of Science")</f>
        <v>View Full Record in Web of Science</v>
      </c>
    </row>
    <row r="341" spans="1:72" x14ac:dyDescent="0.15">
      <c r="A341" t="s">
        <v>72</v>
      </c>
      <c r="B341" t="s">
        <v>6550</v>
      </c>
      <c r="C341" t="s">
        <v>74</v>
      </c>
      <c r="D341" t="s">
        <v>74</v>
      </c>
      <c r="E341" t="s">
        <v>74</v>
      </c>
      <c r="F341" t="s">
        <v>6551</v>
      </c>
      <c r="G341" t="s">
        <v>74</v>
      </c>
      <c r="H341" t="s">
        <v>74</v>
      </c>
      <c r="I341" t="s">
        <v>6552</v>
      </c>
      <c r="J341" t="s">
        <v>6553</v>
      </c>
      <c r="K341" t="s">
        <v>74</v>
      </c>
      <c r="L341" t="s">
        <v>74</v>
      </c>
      <c r="M341" t="s">
        <v>78</v>
      </c>
      <c r="N341" t="s">
        <v>79</v>
      </c>
      <c r="O341" t="s">
        <v>74</v>
      </c>
      <c r="P341" t="s">
        <v>74</v>
      </c>
      <c r="Q341" t="s">
        <v>74</v>
      </c>
      <c r="R341" t="s">
        <v>74</v>
      </c>
      <c r="S341" t="s">
        <v>74</v>
      </c>
      <c r="T341" t="s">
        <v>6554</v>
      </c>
      <c r="U341" t="s">
        <v>6555</v>
      </c>
      <c r="V341" t="s">
        <v>6556</v>
      </c>
      <c r="W341" t="s">
        <v>6557</v>
      </c>
      <c r="X341" t="s">
        <v>6558</v>
      </c>
      <c r="Y341" t="s">
        <v>6559</v>
      </c>
      <c r="Z341" t="s">
        <v>6560</v>
      </c>
      <c r="AA341" t="s">
        <v>6561</v>
      </c>
      <c r="AB341" t="s">
        <v>6562</v>
      </c>
      <c r="AC341" t="s">
        <v>74</v>
      </c>
      <c r="AD341" t="s">
        <v>74</v>
      </c>
      <c r="AE341" t="s">
        <v>74</v>
      </c>
      <c r="AF341" t="s">
        <v>74</v>
      </c>
      <c r="AG341">
        <v>90</v>
      </c>
      <c r="AH341">
        <v>26</v>
      </c>
      <c r="AI341">
        <v>26</v>
      </c>
      <c r="AJ341">
        <v>0</v>
      </c>
      <c r="AK341">
        <v>20</v>
      </c>
      <c r="AL341" t="s">
        <v>813</v>
      </c>
      <c r="AM341" t="s">
        <v>225</v>
      </c>
      <c r="AN341" t="s">
        <v>2228</v>
      </c>
      <c r="AO341" t="s">
        <v>6563</v>
      </c>
      <c r="AP341" t="s">
        <v>6564</v>
      </c>
      <c r="AQ341" t="s">
        <v>74</v>
      </c>
      <c r="AR341" t="s">
        <v>6565</v>
      </c>
      <c r="AS341" t="s">
        <v>6566</v>
      </c>
      <c r="AT341" t="s">
        <v>5910</v>
      </c>
      <c r="AU341">
        <v>2010</v>
      </c>
      <c r="AV341">
        <v>34</v>
      </c>
      <c r="AW341" t="s">
        <v>2879</v>
      </c>
      <c r="AX341" t="s">
        <v>74</v>
      </c>
      <c r="AY341" t="s">
        <v>74</v>
      </c>
      <c r="AZ341" t="s">
        <v>74</v>
      </c>
      <c r="BA341" t="s">
        <v>74</v>
      </c>
      <c r="BB341">
        <v>153</v>
      </c>
      <c r="BC341">
        <v>184</v>
      </c>
      <c r="BD341" t="s">
        <v>74</v>
      </c>
      <c r="BE341" t="s">
        <v>6567</v>
      </c>
      <c r="BF341" t="str">
        <f>HYPERLINK("http://dx.doi.org/10.1007/s00382-009-0724-3","http://dx.doi.org/10.1007/s00382-009-0724-3")</f>
        <v>http://dx.doi.org/10.1007/s00382-009-0724-3</v>
      </c>
      <c r="BG341" t="s">
        <v>74</v>
      </c>
      <c r="BH341" t="s">
        <v>74</v>
      </c>
      <c r="BI341">
        <v>32</v>
      </c>
      <c r="BJ341" t="s">
        <v>258</v>
      </c>
      <c r="BK341" t="s">
        <v>102</v>
      </c>
      <c r="BL341" t="s">
        <v>258</v>
      </c>
      <c r="BM341" t="s">
        <v>6568</v>
      </c>
      <c r="BN341" t="s">
        <v>74</v>
      </c>
      <c r="BO341" t="s">
        <v>74</v>
      </c>
      <c r="BP341" t="s">
        <v>74</v>
      </c>
      <c r="BQ341" t="s">
        <v>74</v>
      </c>
      <c r="BR341" t="s">
        <v>105</v>
      </c>
      <c r="BS341" t="s">
        <v>6569</v>
      </c>
      <c r="BT341" t="str">
        <f>HYPERLINK("https%3A%2F%2Fwww.webofscience.com%2Fwos%2Fwoscc%2Ffull-record%2FWOS:000273808400001","View Full Record in Web of Science")</f>
        <v>View Full Record in Web of Science</v>
      </c>
    </row>
    <row r="342" spans="1:72" x14ac:dyDescent="0.15">
      <c r="A342" t="s">
        <v>72</v>
      </c>
      <c r="B342" t="s">
        <v>6570</v>
      </c>
      <c r="C342" t="s">
        <v>74</v>
      </c>
      <c r="D342" t="s">
        <v>74</v>
      </c>
      <c r="E342" t="s">
        <v>74</v>
      </c>
      <c r="F342" t="s">
        <v>6571</v>
      </c>
      <c r="G342" t="s">
        <v>74</v>
      </c>
      <c r="H342" t="s">
        <v>74</v>
      </c>
      <c r="I342" t="s">
        <v>6572</v>
      </c>
      <c r="J342" t="s">
        <v>6553</v>
      </c>
      <c r="K342" t="s">
        <v>74</v>
      </c>
      <c r="L342" t="s">
        <v>74</v>
      </c>
      <c r="M342" t="s">
        <v>78</v>
      </c>
      <c r="N342" t="s">
        <v>79</v>
      </c>
      <c r="O342" t="s">
        <v>74</v>
      </c>
      <c r="P342" t="s">
        <v>74</v>
      </c>
      <c r="Q342" t="s">
        <v>74</v>
      </c>
      <c r="R342" t="s">
        <v>74</v>
      </c>
      <c r="S342" t="s">
        <v>74</v>
      </c>
      <c r="T342" t="s">
        <v>6573</v>
      </c>
      <c r="U342" t="s">
        <v>6574</v>
      </c>
      <c r="V342" t="s">
        <v>6575</v>
      </c>
      <c r="W342" t="s">
        <v>6576</v>
      </c>
      <c r="X342" t="s">
        <v>6577</v>
      </c>
      <c r="Y342" t="s">
        <v>6578</v>
      </c>
      <c r="Z342" t="s">
        <v>6579</v>
      </c>
      <c r="AA342" t="s">
        <v>6580</v>
      </c>
      <c r="AB342" t="s">
        <v>6581</v>
      </c>
      <c r="AC342" t="s">
        <v>74</v>
      </c>
      <c r="AD342" t="s">
        <v>74</v>
      </c>
      <c r="AE342" t="s">
        <v>74</v>
      </c>
      <c r="AF342" t="s">
        <v>74</v>
      </c>
      <c r="AG342">
        <v>48</v>
      </c>
      <c r="AH342">
        <v>34</v>
      </c>
      <c r="AI342">
        <v>34</v>
      </c>
      <c r="AJ342">
        <v>0</v>
      </c>
      <c r="AK342">
        <v>12</v>
      </c>
      <c r="AL342" t="s">
        <v>813</v>
      </c>
      <c r="AM342" t="s">
        <v>225</v>
      </c>
      <c r="AN342" t="s">
        <v>907</v>
      </c>
      <c r="AO342" t="s">
        <v>6563</v>
      </c>
      <c r="AP342" t="s">
        <v>6564</v>
      </c>
      <c r="AQ342" t="s">
        <v>74</v>
      </c>
      <c r="AR342" t="s">
        <v>6565</v>
      </c>
      <c r="AS342" t="s">
        <v>6566</v>
      </c>
      <c r="AT342" t="s">
        <v>5910</v>
      </c>
      <c r="AU342">
        <v>2010</v>
      </c>
      <c r="AV342">
        <v>34</v>
      </c>
      <c r="AW342" t="s">
        <v>2879</v>
      </c>
      <c r="AX342" t="s">
        <v>74</v>
      </c>
      <c r="AY342" t="s">
        <v>74</v>
      </c>
      <c r="AZ342" t="s">
        <v>74</v>
      </c>
      <c r="BA342" t="s">
        <v>74</v>
      </c>
      <c r="BB342">
        <v>325</v>
      </c>
      <c r="BC342">
        <v>343</v>
      </c>
      <c r="BD342" t="s">
        <v>74</v>
      </c>
      <c r="BE342" t="s">
        <v>6582</v>
      </c>
      <c r="BF342" t="str">
        <f>HYPERLINK("http://dx.doi.org/10.1007/s00382-008-0486-3","http://dx.doi.org/10.1007/s00382-008-0486-3")</f>
        <v>http://dx.doi.org/10.1007/s00382-008-0486-3</v>
      </c>
      <c r="BG342" t="s">
        <v>74</v>
      </c>
      <c r="BH342" t="s">
        <v>74</v>
      </c>
      <c r="BI342">
        <v>19</v>
      </c>
      <c r="BJ342" t="s">
        <v>258</v>
      </c>
      <c r="BK342" t="s">
        <v>102</v>
      </c>
      <c r="BL342" t="s">
        <v>258</v>
      </c>
      <c r="BM342" t="s">
        <v>6568</v>
      </c>
      <c r="BN342" t="s">
        <v>74</v>
      </c>
      <c r="BO342" t="s">
        <v>74</v>
      </c>
      <c r="BP342" t="s">
        <v>74</v>
      </c>
      <c r="BQ342" t="s">
        <v>74</v>
      </c>
      <c r="BR342" t="s">
        <v>105</v>
      </c>
      <c r="BS342" t="s">
        <v>6583</v>
      </c>
      <c r="BT342" t="str">
        <f>HYPERLINK("https%3A%2F%2Fwww.webofscience.com%2Fwos%2Fwoscc%2Ffull-record%2FWOS:000273808400010","View Full Record in Web of Science")</f>
        <v>View Full Record in Web of Science</v>
      </c>
    </row>
    <row r="343" spans="1:72" x14ac:dyDescent="0.15">
      <c r="A343" t="s">
        <v>72</v>
      </c>
      <c r="B343" t="s">
        <v>6584</v>
      </c>
      <c r="C343" t="s">
        <v>74</v>
      </c>
      <c r="D343" t="s">
        <v>74</v>
      </c>
      <c r="E343" t="s">
        <v>74</v>
      </c>
      <c r="F343" t="s">
        <v>6585</v>
      </c>
      <c r="G343" t="s">
        <v>74</v>
      </c>
      <c r="H343" t="s">
        <v>74</v>
      </c>
      <c r="I343" t="s">
        <v>6586</v>
      </c>
      <c r="J343" t="s">
        <v>962</v>
      </c>
      <c r="K343" t="s">
        <v>74</v>
      </c>
      <c r="L343" t="s">
        <v>74</v>
      </c>
      <c r="M343" t="s">
        <v>78</v>
      </c>
      <c r="N343" t="s">
        <v>79</v>
      </c>
      <c r="O343" t="s">
        <v>74</v>
      </c>
      <c r="P343" t="s">
        <v>74</v>
      </c>
      <c r="Q343" t="s">
        <v>74</v>
      </c>
      <c r="R343" t="s">
        <v>74</v>
      </c>
      <c r="S343" t="s">
        <v>74</v>
      </c>
      <c r="T343" t="s">
        <v>74</v>
      </c>
      <c r="U343" t="s">
        <v>6587</v>
      </c>
      <c r="V343" t="s">
        <v>6588</v>
      </c>
      <c r="W343" t="s">
        <v>6589</v>
      </c>
      <c r="X343" t="s">
        <v>6590</v>
      </c>
      <c r="Y343" t="s">
        <v>6591</v>
      </c>
      <c r="Z343" t="s">
        <v>6592</v>
      </c>
      <c r="AA343" t="s">
        <v>6593</v>
      </c>
      <c r="AB343" t="s">
        <v>6594</v>
      </c>
      <c r="AC343" t="s">
        <v>6595</v>
      </c>
      <c r="AD343" t="s">
        <v>6596</v>
      </c>
      <c r="AE343" t="s">
        <v>6597</v>
      </c>
      <c r="AF343" t="s">
        <v>74</v>
      </c>
      <c r="AG343">
        <v>54</v>
      </c>
      <c r="AH343">
        <v>13</v>
      </c>
      <c r="AI343">
        <v>13</v>
      </c>
      <c r="AJ343">
        <v>0</v>
      </c>
      <c r="AK343">
        <v>8</v>
      </c>
      <c r="AL343" t="s">
        <v>813</v>
      </c>
      <c r="AM343" t="s">
        <v>814</v>
      </c>
      <c r="AN343" t="s">
        <v>815</v>
      </c>
      <c r="AO343" t="s">
        <v>968</v>
      </c>
      <c r="AP343" t="s">
        <v>969</v>
      </c>
      <c r="AQ343" t="s">
        <v>74</v>
      </c>
      <c r="AR343" t="s">
        <v>962</v>
      </c>
      <c r="AS343" t="s">
        <v>970</v>
      </c>
      <c r="AT343" t="s">
        <v>5910</v>
      </c>
      <c r="AU343">
        <v>2010</v>
      </c>
      <c r="AV343">
        <v>98</v>
      </c>
      <c r="AW343" t="s">
        <v>971</v>
      </c>
      <c r="AX343" t="s">
        <v>74</v>
      </c>
      <c r="AY343" t="s">
        <v>74</v>
      </c>
      <c r="AZ343" t="s">
        <v>152</v>
      </c>
      <c r="BA343" t="s">
        <v>74</v>
      </c>
      <c r="BB343">
        <v>359</v>
      </c>
      <c r="BC343">
        <v>377</v>
      </c>
      <c r="BD343" t="s">
        <v>74</v>
      </c>
      <c r="BE343" t="s">
        <v>6598</v>
      </c>
      <c r="BF343" t="str">
        <f>HYPERLINK("http://dx.doi.org/10.1007/s10584-009-9735-7","http://dx.doi.org/10.1007/s10584-009-9735-7")</f>
        <v>http://dx.doi.org/10.1007/s10584-009-9735-7</v>
      </c>
      <c r="BG343" t="s">
        <v>74</v>
      </c>
      <c r="BH343" t="s">
        <v>74</v>
      </c>
      <c r="BI343">
        <v>19</v>
      </c>
      <c r="BJ343" t="s">
        <v>973</v>
      </c>
      <c r="BK343" t="s">
        <v>102</v>
      </c>
      <c r="BL343" t="s">
        <v>974</v>
      </c>
      <c r="BM343" t="s">
        <v>6599</v>
      </c>
      <c r="BN343" t="s">
        <v>74</v>
      </c>
      <c r="BO343" t="s">
        <v>326</v>
      </c>
      <c r="BP343" t="s">
        <v>74</v>
      </c>
      <c r="BQ343" t="s">
        <v>74</v>
      </c>
      <c r="BR343" t="s">
        <v>105</v>
      </c>
      <c r="BS343" t="s">
        <v>6600</v>
      </c>
      <c r="BT343" t="str">
        <f>HYPERLINK("https%3A%2F%2Fwww.webofscience.com%2Fwos%2Fwoscc%2Ffull-record%2FWOS:000275319100003","View Full Record in Web of Science")</f>
        <v>View Full Record in Web of Science</v>
      </c>
    </row>
    <row r="344" spans="1:72" x14ac:dyDescent="0.15">
      <c r="A344" t="s">
        <v>72</v>
      </c>
      <c r="B344" t="s">
        <v>6601</v>
      </c>
      <c r="C344" t="s">
        <v>74</v>
      </c>
      <c r="D344" t="s">
        <v>74</v>
      </c>
      <c r="E344" t="s">
        <v>74</v>
      </c>
      <c r="F344" t="s">
        <v>6602</v>
      </c>
      <c r="G344" t="s">
        <v>74</v>
      </c>
      <c r="H344" t="s">
        <v>74</v>
      </c>
      <c r="I344" t="s">
        <v>6603</v>
      </c>
      <c r="J344" t="s">
        <v>1005</v>
      </c>
      <c r="K344" t="s">
        <v>74</v>
      </c>
      <c r="L344" t="s">
        <v>74</v>
      </c>
      <c r="M344" t="s">
        <v>78</v>
      </c>
      <c r="N344" t="s">
        <v>79</v>
      </c>
      <c r="O344" t="s">
        <v>74</v>
      </c>
      <c r="P344" t="s">
        <v>74</v>
      </c>
      <c r="Q344" t="s">
        <v>74</v>
      </c>
      <c r="R344" t="s">
        <v>74</v>
      </c>
      <c r="S344" t="s">
        <v>74</v>
      </c>
      <c r="T344" t="s">
        <v>6604</v>
      </c>
      <c r="U344" t="s">
        <v>6605</v>
      </c>
      <c r="V344" t="s">
        <v>6606</v>
      </c>
      <c r="W344" t="s">
        <v>6607</v>
      </c>
      <c r="X344" t="s">
        <v>6608</v>
      </c>
      <c r="Y344" t="s">
        <v>6609</v>
      </c>
      <c r="Z344" t="s">
        <v>6610</v>
      </c>
      <c r="AA344" t="s">
        <v>6611</v>
      </c>
      <c r="AB344" t="s">
        <v>6612</v>
      </c>
      <c r="AC344" t="s">
        <v>6613</v>
      </c>
      <c r="AD344" t="s">
        <v>6614</v>
      </c>
      <c r="AE344" t="s">
        <v>6615</v>
      </c>
      <c r="AF344" t="s">
        <v>74</v>
      </c>
      <c r="AG344">
        <v>30</v>
      </c>
      <c r="AH344">
        <v>6</v>
      </c>
      <c r="AI344">
        <v>6</v>
      </c>
      <c r="AJ344">
        <v>0</v>
      </c>
      <c r="AK344">
        <v>17</v>
      </c>
      <c r="AL344" t="s">
        <v>224</v>
      </c>
      <c r="AM344" t="s">
        <v>225</v>
      </c>
      <c r="AN344" t="s">
        <v>226</v>
      </c>
      <c r="AO344" t="s">
        <v>1018</v>
      </c>
      <c r="AP344" t="s">
        <v>1019</v>
      </c>
      <c r="AQ344" t="s">
        <v>74</v>
      </c>
      <c r="AR344" t="s">
        <v>1020</v>
      </c>
      <c r="AS344" t="s">
        <v>1021</v>
      </c>
      <c r="AT344" t="s">
        <v>5910</v>
      </c>
      <c r="AU344">
        <v>2010</v>
      </c>
      <c r="AV344">
        <v>155</v>
      </c>
      <c r="AW344">
        <v>2</v>
      </c>
      <c r="AX344" t="s">
        <v>74</v>
      </c>
      <c r="AY344" t="s">
        <v>74</v>
      </c>
      <c r="AZ344" t="s">
        <v>74</v>
      </c>
      <c r="BA344" t="s">
        <v>74</v>
      </c>
      <c r="BB344">
        <v>132</v>
      </c>
      <c r="BC344">
        <v>137</v>
      </c>
      <c r="BD344" t="s">
        <v>74</v>
      </c>
      <c r="BE344" t="s">
        <v>6616</v>
      </c>
      <c r="BF344" t="str">
        <f>HYPERLINK("http://dx.doi.org/10.1016/j.cbpb.2009.10.012","http://dx.doi.org/10.1016/j.cbpb.2009.10.012")</f>
        <v>http://dx.doi.org/10.1016/j.cbpb.2009.10.012</v>
      </c>
      <c r="BG344" t="s">
        <v>74</v>
      </c>
      <c r="BH344" t="s">
        <v>74</v>
      </c>
      <c r="BI344">
        <v>6</v>
      </c>
      <c r="BJ344" t="s">
        <v>1023</v>
      </c>
      <c r="BK344" t="s">
        <v>102</v>
      </c>
      <c r="BL344" t="s">
        <v>1023</v>
      </c>
      <c r="BM344" t="s">
        <v>6617</v>
      </c>
      <c r="BN344">
        <v>19883785</v>
      </c>
      <c r="BO344" t="s">
        <v>2669</v>
      </c>
      <c r="BP344" t="s">
        <v>74</v>
      </c>
      <c r="BQ344" t="s">
        <v>74</v>
      </c>
      <c r="BR344" t="s">
        <v>105</v>
      </c>
      <c r="BS344" t="s">
        <v>6618</v>
      </c>
      <c r="BT344" t="str">
        <f>HYPERLINK("https%3A%2F%2Fwww.webofscience.com%2Fwos%2Fwoscc%2Ffull-record%2FWOS:000273927000006","View Full Record in Web of Science")</f>
        <v>View Full Record in Web of Science</v>
      </c>
    </row>
    <row r="345" spans="1:72" x14ac:dyDescent="0.15">
      <c r="A345" t="s">
        <v>72</v>
      </c>
      <c r="B345" t="s">
        <v>6619</v>
      </c>
      <c r="C345" t="s">
        <v>74</v>
      </c>
      <c r="D345" t="s">
        <v>74</v>
      </c>
      <c r="E345" t="s">
        <v>74</v>
      </c>
      <c r="F345" t="s">
        <v>6620</v>
      </c>
      <c r="G345" t="s">
        <v>74</v>
      </c>
      <c r="H345" t="s">
        <v>74</v>
      </c>
      <c r="I345" t="s">
        <v>6621</v>
      </c>
      <c r="J345" t="s">
        <v>1052</v>
      </c>
      <c r="K345" t="s">
        <v>74</v>
      </c>
      <c r="L345" t="s">
        <v>74</v>
      </c>
      <c r="M345" t="s">
        <v>78</v>
      </c>
      <c r="N345" t="s">
        <v>79</v>
      </c>
      <c r="O345" t="s">
        <v>74</v>
      </c>
      <c r="P345" t="s">
        <v>74</v>
      </c>
      <c r="Q345" t="s">
        <v>74</v>
      </c>
      <c r="R345" t="s">
        <v>74</v>
      </c>
      <c r="S345" t="s">
        <v>74</v>
      </c>
      <c r="T345" t="s">
        <v>6622</v>
      </c>
      <c r="U345" t="s">
        <v>6623</v>
      </c>
      <c r="V345" t="s">
        <v>6624</v>
      </c>
      <c r="W345" t="s">
        <v>6625</v>
      </c>
      <c r="X345" t="s">
        <v>6626</v>
      </c>
      <c r="Y345" t="s">
        <v>6627</v>
      </c>
      <c r="Z345" t="s">
        <v>6628</v>
      </c>
      <c r="AA345" t="s">
        <v>74</v>
      </c>
      <c r="AB345" t="s">
        <v>6629</v>
      </c>
      <c r="AC345" t="s">
        <v>6630</v>
      </c>
      <c r="AD345" t="s">
        <v>6631</v>
      </c>
      <c r="AE345" t="s">
        <v>6632</v>
      </c>
      <c r="AF345" t="s">
        <v>74</v>
      </c>
      <c r="AG345">
        <v>84</v>
      </c>
      <c r="AH345">
        <v>7</v>
      </c>
      <c r="AI345">
        <v>9</v>
      </c>
      <c r="AJ345">
        <v>0</v>
      </c>
      <c r="AK345">
        <v>11</v>
      </c>
      <c r="AL345" t="s">
        <v>1063</v>
      </c>
      <c r="AM345" t="s">
        <v>1064</v>
      </c>
      <c r="AN345" t="s">
        <v>1065</v>
      </c>
      <c r="AO345" t="s">
        <v>1066</v>
      </c>
      <c r="AP345" t="s">
        <v>1067</v>
      </c>
      <c r="AQ345" t="s">
        <v>74</v>
      </c>
      <c r="AR345" t="s">
        <v>1068</v>
      </c>
      <c r="AS345" t="s">
        <v>1069</v>
      </c>
      <c r="AT345" t="s">
        <v>5910</v>
      </c>
      <c r="AU345">
        <v>2010</v>
      </c>
      <c r="AV345">
        <v>57</v>
      </c>
      <c r="AW345">
        <v>2</v>
      </c>
      <c r="AX345" t="s">
        <v>74</v>
      </c>
      <c r="AY345" t="s">
        <v>74</v>
      </c>
      <c r="AZ345" t="s">
        <v>74</v>
      </c>
      <c r="BA345" t="s">
        <v>74</v>
      </c>
      <c r="BB345">
        <v>175</v>
      </c>
      <c r="BC345">
        <v>198</v>
      </c>
      <c r="BD345" t="s">
        <v>74</v>
      </c>
      <c r="BE345" t="s">
        <v>6633</v>
      </c>
      <c r="BF345" t="str">
        <f>HYPERLINK("http://dx.doi.org/10.1016/j.dsr.2009.09.008","http://dx.doi.org/10.1016/j.dsr.2009.09.008")</f>
        <v>http://dx.doi.org/10.1016/j.dsr.2009.09.008</v>
      </c>
      <c r="BG345" t="s">
        <v>74</v>
      </c>
      <c r="BH345" t="s">
        <v>74</v>
      </c>
      <c r="BI345">
        <v>24</v>
      </c>
      <c r="BJ345" t="s">
        <v>101</v>
      </c>
      <c r="BK345" t="s">
        <v>102</v>
      </c>
      <c r="BL345" t="s">
        <v>101</v>
      </c>
      <c r="BM345" t="s">
        <v>6634</v>
      </c>
      <c r="BN345" t="s">
        <v>74</v>
      </c>
      <c r="BO345" t="s">
        <v>555</v>
      </c>
      <c r="BP345" t="s">
        <v>74</v>
      </c>
      <c r="BQ345" t="s">
        <v>74</v>
      </c>
      <c r="BR345" t="s">
        <v>105</v>
      </c>
      <c r="BS345" t="s">
        <v>6635</v>
      </c>
      <c r="BT345" t="str">
        <f>HYPERLINK("https%3A%2F%2Fwww.webofscience.com%2Fwos%2Fwoscc%2Ffull-record%2FWOS:000275219700002","View Full Record in Web of Science")</f>
        <v>View Full Record in Web of Science</v>
      </c>
    </row>
    <row r="346" spans="1:72" x14ac:dyDescent="0.15">
      <c r="A346" t="s">
        <v>72</v>
      </c>
      <c r="B346" t="s">
        <v>6636</v>
      </c>
      <c r="C346" t="s">
        <v>74</v>
      </c>
      <c r="D346" t="s">
        <v>74</v>
      </c>
      <c r="E346" t="s">
        <v>74</v>
      </c>
      <c r="F346" t="s">
        <v>6637</v>
      </c>
      <c r="G346" t="s">
        <v>74</v>
      </c>
      <c r="H346" t="s">
        <v>74</v>
      </c>
      <c r="I346" t="s">
        <v>6638</v>
      </c>
      <c r="J346" t="s">
        <v>6639</v>
      </c>
      <c r="K346" t="s">
        <v>74</v>
      </c>
      <c r="L346" t="s">
        <v>74</v>
      </c>
      <c r="M346" t="s">
        <v>78</v>
      </c>
      <c r="N346" t="s">
        <v>79</v>
      </c>
      <c r="O346" t="s">
        <v>74</v>
      </c>
      <c r="P346" t="s">
        <v>74</v>
      </c>
      <c r="Q346" t="s">
        <v>74</v>
      </c>
      <c r="R346" t="s">
        <v>74</v>
      </c>
      <c r="S346" t="s">
        <v>74</v>
      </c>
      <c r="T346" t="s">
        <v>6640</v>
      </c>
      <c r="U346" t="s">
        <v>6641</v>
      </c>
      <c r="V346" t="s">
        <v>6642</v>
      </c>
      <c r="W346" t="s">
        <v>6643</v>
      </c>
      <c r="X346" t="s">
        <v>6644</v>
      </c>
      <c r="Y346" t="s">
        <v>2328</v>
      </c>
      <c r="Z346" t="s">
        <v>2329</v>
      </c>
      <c r="AA346" t="s">
        <v>74</v>
      </c>
      <c r="AB346" t="s">
        <v>6645</v>
      </c>
      <c r="AC346" t="s">
        <v>6646</v>
      </c>
      <c r="AD346" t="s">
        <v>6647</v>
      </c>
      <c r="AE346" t="s">
        <v>6648</v>
      </c>
      <c r="AF346" t="s">
        <v>74</v>
      </c>
      <c r="AG346">
        <v>92</v>
      </c>
      <c r="AH346">
        <v>146</v>
      </c>
      <c r="AI346">
        <v>158</v>
      </c>
      <c r="AJ346">
        <v>13</v>
      </c>
      <c r="AK346">
        <v>217</v>
      </c>
      <c r="AL346" t="s">
        <v>991</v>
      </c>
      <c r="AM346" t="s">
        <v>992</v>
      </c>
      <c r="AN346" t="s">
        <v>993</v>
      </c>
      <c r="AO346" t="s">
        <v>6649</v>
      </c>
      <c r="AP346" t="s">
        <v>6650</v>
      </c>
      <c r="AQ346" t="s">
        <v>74</v>
      </c>
      <c r="AR346" t="s">
        <v>6651</v>
      </c>
      <c r="AS346" t="s">
        <v>6652</v>
      </c>
      <c r="AT346" t="s">
        <v>5910</v>
      </c>
      <c r="AU346">
        <v>2010</v>
      </c>
      <c r="AV346">
        <v>80</v>
      </c>
      <c r="AW346">
        <v>1</v>
      </c>
      <c r="AX346" t="s">
        <v>74</v>
      </c>
      <c r="AY346" t="s">
        <v>74</v>
      </c>
      <c r="AZ346" t="s">
        <v>74</v>
      </c>
      <c r="BA346" t="s">
        <v>74</v>
      </c>
      <c r="BB346">
        <v>49</v>
      </c>
      <c r="BC346">
        <v>66</v>
      </c>
      <c r="BD346" t="s">
        <v>74</v>
      </c>
      <c r="BE346" t="s">
        <v>6653</v>
      </c>
      <c r="BF346" t="str">
        <f>HYPERLINK("http://dx.doi.org/10.1890/08-2289.1","http://dx.doi.org/10.1890/08-2289.1")</f>
        <v>http://dx.doi.org/10.1890/08-2289.1</v>
      </c>
      <c r="BG346" t="s">
        <v>74</v>
      </c>
      <c r="BH346" t="s">
        <v>74</v>
      </c>
      <c r="BI346">
        <v>18</v>
      </c>
      <c r="BJ346" t="s">
        <v>1346</v>
      </c>
      <c r="BK346" t="s">
        <v>102</v>
      </c>
      <c r="BL346" t="s">
        <v>1348</v>
      </c>
      <c r="BM346" t="s">
        <v>6654</v>
      </c>
      <c r="BN346" t="s">
        <v>74</v>
      </c>
      <c r="BO346" t="s">
        <v>555</v>
      </c>
      <c r="BP346" t="s">
        <v>74</v>
      </c>
      <c r="BQ346" t="s">
        <v>74</v>
      </c>
      <c r="BR346" t="s">
        <v>105</v>
      </c>
      <c r="BS346" t="s">
        <v>6655</v>
      </c>
      <c r="BT346" t="str">
        <f>HYPERLINK("https%3A%2F%2Fwww.webofscience.com%2Fwos%2Fwoscc%2Ffull-record%2FWOS:000275816800003","View Full Record in Web of Science")</f>
        <v>View Full Record in Web of Science</v>
      </c>
    </row>
    <row r="347" spans="1:72" x14ac:dyDescent="0.15">
      <c r="A347" t="s">
        <v>72</v>
      </c>
      <c r="B347" t="s">
        <v>6656</v>
      </c>
      <c r="C347" t="s">
        <v>74</v>
      </c>
      <c r="D347" t="s">
        <v>74</v>
      </c>
      <c r="E347" t="s">
        <v>74</v>
      </c>
      <c r="F347" t="s">
        <v>6657</v>
      </c>
      <c r="G347" t="s">
        <v>74</v>
      </c>
      <c r="H347" t="s">
        <v>74</v>
      </c>
      <c r="I347" t="s">
        <v>6658</v>
      </c>
      <c r="J347" t="s">
        <v>6659</v>
      </c>
      <c r="K347" t="s">
        <v>74</v>
      </c>
      <c r="L347" t="s">
        <v>74</v>
      </c>
      <c r="M347" t="s">
        <v>78</v>
      </c>
      <c r="N347" t="s">
        <v>79</v>
      </c>
      <c r="O347" t="s">
        <v>74</v>
      </c>
      <c r="P347" t="s">
        <v>74</v>
      </c>
      <c r="Q347" t="s">
        <v>74</v>
      </c>
      <c r="R347" t="s">
        <v>74</v>
      </c>
      <c r="S347" t="s">
        <v>74</v>
      </c>
      <c r="T347" t="s">
        <v>74</v>
      </c>
      <c r="U347" t="s">
        <v>6660</v>
      </c>
      <c r="V347" t="s">
        <v>6661</v>
      </c>
      <c r="W347" t="s">
        <v>6662</v>
      </c>
      <c r="X347" t="s">
        <v>6663</v>
      </c>
      <c r="Y347" t="s">
        <v>6664</v>
      </c>
      <c r="Z347" t="s">
        <v>6665</v>
      </c>
      <c r="AA347" t="s">
        <v>6666</v>
      </c>
      <c r="AB347" t="s">
        <v>6667</v>
      </c>
      <c r="AC347" t="s">
        <v>6668</v>
      </c>
      <c r="AD347" t="s">
        <v>6669</v>
      </c>
      <c r="AE347" t="s">
        <v>6670</v>
      </c>
      <c r="AF347" t="s">
        <v>74</v>
      </c>
      <c r="AG347">
        <v>29</v>
      </c>
      <c r="AH347">
        <v>21</v>
      </c>
      <c r="AI347">
        <v>22</v>
      </c>
      <c r="AJ347">
        <v>0</v>
      </c>
      <c r="AK347">
        <v>14</v>
      </c>
      <c r="AL347" t="s">
        <v>1654</v>
      </c>
      <c r="AM347" t="s">
        <v>1655</v>
      </c>
      <c r="AN347" t="s">
        <v>1656</v>
      </c>
      <c r="AO347" t="s">
        <v>6671</v>
      </c>
      <c r="AP347" t="s">
        <v>74</v>
      </c>
      <c r="AQ347" t="s">
        <v>74</v>
      </c>
      <c r="AR347" t="s">
        <v>6659</v>
      </c>
      <c r="AS347" t="s">
        <v>6672</v>
      </c>
      <c r="AT347" t="s">
        <v>5910</v>
      </c>
      <c r="AU347">
        <v>2010</v>
      </c>
      <c r="AV347">
        <v>116</v>
      </c>
      <c r="AW347">
        <v>2</v>
      </c>
      <c r="AX347" t="s">
        <v>74</v>
      </c>
      <c r="AY347" t="s">
        <v>74</v>
      </c>
      <c r="AZ347" t="s">
        <v>74</v>
      </c>
      <c r="BA347" t="s">
        <v>74</v>
      </c>
      <c r="BB347">
        <v>176</v>
      </c>
      <c r="BC347">
        <v>182</v>
      </c>
      <c r="BD347" t="s">
        <v>74</v>
      </c>
      <c r="BE347" t="s">
        <v>6673</v>
      </c>
      <c r="BF347" t="str">
        <f>HYPERLINK("http://dx.doi.org/10.1111/j.1439-0310.2009.01725.x","http://dx.doi.org/10.1111/j.1439-0310.2009.01725.x")</f>
        <v>http://dx.doi.org/10.1111/j.1439-0310.2009.01725.x</v>
      </c>
      <c r="BG347" t="s">
        <v>74</v>
      </c>
      <c r="BH347" t="s">
        <v>74</v>
      </c>
      <c r="BI347">
        <v>7</v>
      </c>
      <c r="BJ347" t="s">
        <v>6674</v>
      </c>
      <c r="BK347" t="s">
        <v>102</v>
      </c>
      <c r="BL347" t="s">
        <v>6675</v>
      </c>
      <c r="BM347" t="s">
        <v>6676</v>
      </c>
      <c r="BN347" t="s">
        <v>74</v>
      </c>
      <c r="BO347" t="s">
        <v>74</v>
      </c>
      <c r="BP347" t="s">
        <v>74</v>
      </c>
      <c r="BQ347" t="s">
        <v>74</v>
      </c>
      <c r="BR347" t="s">
        <v>105</v>
      </c>
      <c r="BS347" t="s">
        <v>6677</v>
      </c>
      <c r="BT347" t="str">
        <f>HYPERLINK("https%3A%2F%2Fwww.webofscience.com%2Fwos%2Fwoscc%2Ffull-record%2FWOS:000273396100011","View Full Record in Web of Science")</f>
        <v>View Full Record in Web of Science</v>
      </c>
    </row>
    <row r="348" spans="1:72" x14ac:dyDescent="0.15">
      <c r="A348" t="s">
        <v>72</v>
      </c>
      <c r="B348" t="s">
        <v>6678</v>
      </c>
      <c r="C348" t="s">
        <v>74</v>
      </c>
      <c r="D348" t="s">
        <v>74</v>
      </c>
      <c r="E348" t="s">
        <v>74</v>
      </c>
      <c r="F348" t="s">
        <v>6679</v>
      </c>
      <c r="G348" t="s">
        <v>74</v>
      </c>
      <c r="H348" t="s">
        <v>74</v>
      </c>
      <c r="I348" t="s">
        <v>6680</v>
      </c>
      <c r="J348" t="s">
        <v>6681</v>
      </c>
      <c r="K348" t="s">
        <v>74</v>
      </c>
      <c r="L348" t="s">
        <v>74</v>
      </c>
      <c r="M348" t="s">
        <v>78</v>
      </c>
      <c r="N348" t="s">
        <v>79</v>
      </c>
      <c r="O348" t="s">
        <v>74</v>
      </c>
      <c r="P348" t="s">
        <v>74</v>
      </c>
      <c r="Q348" t="s">
        <v>74</v>
      </c>
      <c r="R348" t="s">
        <v>74</v>
      </c>
      <c r="S348" t="s">
        <v>74</v>
      </c>
      <c r="T348" t="s">
        <v>6682</v>
      </c>
      <c r="U348" t="s">
        <v>6683</v>
      </c>
      <c r="V348" t="s">
        <v>6684</v>
      </c>
      <c r="W348" t="s">
        <v>6685</v>
      </c>
      <c r="X348" t="s">
        <v>6686</v>
      </c>
      <c r="Y348" t="s">
        <v>6687</v>
      </c>
      <c r="Z348" t="s">
        <v>449</v>
      </c>
      <c r="AA348" t="s">
        <v>6688</v>
      </c>
      <c r="AB348" t="s">
        <v>6689</v>
      </c>
      <c r="AC348" t="s">
        <v>6690</v>
      </c>
      <c r="AD348" t="s">
        <v>6690</v>
      </c>
      <c r="AE348" t="s">
        <v>6691</v>
      </c>
      <c r="AF348" t="s">
        <v>74</v>
      </c>
      <c r="AG348">
        <v>50</v>
      </c>
      <c r="AH348">
        <v>24</v>
      </c>
      <c r="AI348">
        <v>27</v>
      </c>
      <c r="AJ348">
        <v>1</v>
      </c>
      <c r="AK348">
        <v>34</v>
      </c>
      <c r="AL348" t="s">
        <v>991</v>
      </c>
      <c r="AM348" t="s">
        <v>992</v>
      </c>
      <c r="AN348" t="s">
        <v>993</v>
      </c>
      <c r="AO348" t="s">
        <v>6692</v>
      </c>
      <c r="AP348" t="s">
        <v>6693</v>
      </c>
      <c r="AQ348" t="s">
        <v>74</v>
      </c>
      <c r="AR348" t="s">
        <v>6694</v>
      </c>
      <c r="AS348" t="s">
        <v>6695</v>
      </c>
      <c r="AT348" t="s">
        <v>5910</v>
      </c>
      <c r="AU348">
        <v>2010</v>
      </c>
      <c r="AV348">
        <v>24</v>
      </c>
      <c r="AW348">
        <v>1</v>
      </c>
      <c r="AX348" t="s">
        <v>74</v>
      </c>
      <c r="AY348" t="s">
        <v>74</v>
      </c>
      <c r="AZ348" t="s">
        <v>74</v>
      </c>
      <c r="BA348" t="s">
        <v>74</v>
      </c>
      <c r="BB348">
        <v>93</v>
      </c>
      <c r="BC348">
        <v>102</v>
      </c>
      <c r="BD348" t="s">
        <v>74</v>
      </c>
      <c r="BE348" t="s">
        <v>6696</v>
      </c>
      <c r="BF348" t="str">
        <f>HYPERLINK("http://dx.doi.org/10.1111/j.1365-2435.2009.01638.x","http://dx.doi.org/10.1111/j.1365-2435.2009.01638.x")</f>
        <v>http://dx.doi.org/10.1111/j.1365-2435.2009.01638.x</v>
      </c>
      <c r="BG348" t="s">
        <v>74</v>
      </c>
      <c r="BH348" t="s">
        <v>74</v>
      </c>
      <c r="BI348">
        <v>10</v>
      </c>
      <c r="BJ348" t="s">
        <v>1346</v>
      </c>
      <c r="BK348" t="s">
        <v>102</v>
      </c>
      <c r="BL348" t="s">
        <v>1348</v>
      </c>
      <c r="BM348" t="s">
        <v>6697</v>
      </c>
      <c r="BN348" t="s">
        <v>74</v>
      </c>
      <c r="BO348" t="s">
        <v>104</v>
      </c>
      <c r="BP348" t="s">
        <v>74</v>
      </c>
      <c r="BQ348" t="s">
        <v>74</v>
      </c>
      <c r="BR348" t="s">
        <v>105</v>
      </c>
      <c r="BS348" t="s">
        <v>6698</v>
      </c>
      <c r="BT348" t="str">
        <f>HYPERLINK("https%3A%2F%2Fwww.webofscience.com%2Fwos%2Fwoscc%2Ffull-record%2FWOS:000273455500011","View Full Record in Web of Science")</f>
        <v>View Full Record in Web of Science</v>
      </c>
    </row>
    <row r="349" spans="1:72" x14ac:dyDescent="0.15">
      <c r="A349" t="s">
        <v>72</v>
      </c>
      <c r="B349" t="s">
        <v>6699</v>
      </c>
      <c r="C349" t="s">
        <v>74</v>
      </c>
      <c r="D349" t="s">
        <v>74</v>
      </c>
      <c r="E349" t="s">
        <v>74</v>
      </c>
      <c r="F349" t="s">
        <v>6700</v>
      </c>
      <c r="G349" t="s">
        <v>74</v>
      </c>
      <c r="H349" t="s">
        <v>74</v>
      </c>
      <c r="I349" t="s">
        <v>6701</v>
      </c>
      <c r="J349" t="s">
        <v>1436</v>
      </c>
      <c r="K349" t="s">
        <v>74</v>
      </c>
      <c r="L349" t="s">
        <v>74</v>
      </c>
      <c r="M349" t="s">
        <v>78</v>
      </c>
      <c r="N349" t="s">
        <v>79</v>
      </c>
      <c r="O349" t="s">
        <v>74</v>
      </c>
      <c r="P349" t="s">
        <v>74</v>
      </c>
      <c r="Q349" t="s">
        <v>74</v>
      </c>
      <c r="R349" t="s">
        <v>74</v>
      </c>
      <c r="S349" t="s">
        <v>74</v>
      </c>
      <c r="T349" t="s">
        <v>74</v>
      </c>
      <c r="U349" t="s">
        <v>6702</v>
      </c>
      <c r="V349" t="s">
        <v>6703</v>
      </c>
      <c r="W349" t="s">
        <v>6704</v>
      </c>
      <c r="X349" t="s">
        <v>6705</v>
      </c>
      <c r="Y349" t="s">
        <v>6706</v>
      </c>
      <c r="Z349" t="s">
        <v>6707</v>
      </c>
      <c r="AA349" t="s">
        <v>6708</v>
      </c>
      <c r="AB349" t="s">
        <v>6709</v>
      </c>
      <c r="AC349" t="s">
        <v>6710</v>
      </c>
      <c r="AD349" t="s">
        <v>6711</v>
      </c>
      <c r="AE349" t="s">
        <v>6712</v>
      </c>
      <c r="AF349" t="s">
        <v>74</v>
      </c>
      <c r="AG349">
        <v>96</v>
      </c>
      <c r="AH349">
        <v>209</v>
      </c>
      <c r="AI349">
        <v>228</v>
      </c>
      <c r="AJ349">
        <v>1</v>
      </c>
      <c r="AK349">
        <v>64</v>
      </c>
      <c r="AL349" t="s">
        <v>1063</v>
      </c>
      <c r="AM349" t="s">
        <v>1064</v>
      </c>
      <c r="AN349" t="s">
        <v>1065</v>
      </c>
      <c r="AO349" t="s">
        <v>1448</v>
      </c>
      <c r="AP349" t="s">
        <v>1449</v>
      </c>
      <c r="AQ349" t="s">
        <v>74</v>
      </c>
      <c r="AR349" t="s">
        <v>1450</v>
      </c>
      <c r="AS349" t="s">
        <v>1451</v>
      </c>
      <c r="AT349" t="s">
        <v>6713</v>
      </c>
      <c r="AU349">
        <v>2010</v>
      </c>
      <c r="AV349">
        <v>74</v>
      </c>
      <c r="AW349">
        <v>3</v>
      </c>
      <c r="AX349" t="s">
        <v>74</v>
      </c>
      <c r="AY349" t="s">
        <v>74</v>
      </c>
      <c r="AZ349" t="s">
        <v>74</v>
      </c>
      <c r="BA349" t="s">
        <v>74</v>
      </c>
      <c r="BB349">
        <v>1122</v>
      </c>
      <c r="BC349">
        <v>1145</v>
      </c>
      <c r="BD349" t="s">
        <v>74</v>
      </c>
      <c r="BE349" t="s">
        <v>6714</v>
      </c>
      <c r="BF349" t="str">
        <f>HYPERLINK("http://dx.doi.org/10.1016/j.gca.2009.11.005","http://dx.doi.org/10.1016/j.gca.2009.11.005")</f>
        <v>http://dx.doi.org/10.1016/j.gca.2009.11.005</v>
      </c>
      <c r="BG349" t="s">
        <v>74</v>
      </c>
      <c r="BH349" t="s">
        <v>74</v>
      </c>
      <c r="BI349">
        <v>24</v>
      </c>
      <c r="BJ349" t="s">
        <v>507</v>
      </c>
      <c r="BK349" t="s">
        <v>102</v>
      </c>
      <c r="BL349" t="s">
        <v>507</v>
      </c>
      <c r="BM349" t="s">
        <v>6715</v>
      </c>
      <c r="BN349" t="s">
        <v>74</v>
      </c>
      <c r="BO349" t="s">
        <v>74</v>
      </c>
      <c r="BP349" t="s">
        <v>74</v>
      </c>
      <c r="BQ349" t="s">
        <v>74</v>
      </c>
      <c r="BR349" t="s">
        <v>105</v>
      </c>
      <c r="BS349" t="s">
        <v>6716</v>
      </c>
      <c r="BT349" t="str">
        <f>HYPERLINK("https%3A%2F%2Fwww.webofscience.com%2Fwos%2Fwoscc%2Ffull-record%2FWOS:000273781100021","View Full Record in Web of Science")</f>
        <v>View Full Record in Web of Science</v>
      </c>
    </row>
    <row r="350" spans="1:72" x14ac:dyDescent="0.15">
      <c r="A350" t="s">
        <v>72</v>
      </c>
      <c r="B350" t="s">
        <v>6717</v>
      </c>
      <c r="C350" t="s">
        <v>74</v>
      </c>
      <c r="D350" t="s">
        <v>74</v>
      </c>
      <c r="E350" t="s">
        <v>74</v>
      </c>
      <c r="F350" t="s">
        <v>6718</v>
      </c>
      <c r="G350" t="s">
        <v>74</v>
      </c>
      <c r="H350" t="s">
        <v>74</v>
      </c>
      <c r="I350" t="s">
        <v>6719</v>
      </c>
      <c r="J350" t="s">
        <v>1436</v>
      </c>
      <c r="K350" t="s">
        <v>74</v>
      </c>
      <c r="L350" t="s">
        <v>74</v>
      </c>
      <c r="M350" t="s">
        <v>78</v>
      </c>
      <c r="N350" t="s">
        <v>600</v>
      </c>
      <c r="O350" t="s">
        <v>74</v>
      </c>
      <c r="P350" t="s">
        <v>74</v>
      </c>
      <c r="Q350" t="s">
        <v>74</v>
      </c>
      <c r="R350" t="s">
        <v>74</v>
      </c>
      <c r="S350" t="s">
        <v>74</v>
      </c>
      <c r="T350" t="s">
        <v>74</v>
      </c>
      <c r="U350" t="s">
        <v>6720</v>
      </c>
      <c r="V350" t="s">
        <v>6721</v>
      </c>
      <c r="W350" t="s">
        <v>6722</v>
      </c>
      <c r="X350" t="s">
        <v>6723</v>
      </c>
      <c r="Y350" t="s">
        <v>6724</v>
      </c>
      <c r="Z350" t="s">
        <v>6725</v>
      </c>
      <c r="AA350" t="s">
        <v>6726</v>
      </c>
      <c r="AB350" t="s">
        <v>6727</v>
      </c>
      <c r="AC350" t="s">
        <v>6728</v>
      </c>
      <c r="AD350" t="s">
        <v>6729</v>
      </c>
      <c r="AE350" t="s">
        <v>6730</v>
      </c>
      <c r="AF350" t="s">
        <v>74</v>
      </c>
      <c r="AG350">
        <v>110</v>
      </c>
      <c r="AH350">
        <v>63</v>
      </c>
      <c r="AI350">
        <v>73</v>
      </c>
      <c r="AJ350">
        <v>0</v>
      </c>
      <c r="AK350">
        <v>26</v>
      </c>
      <c r="AL350" t="s">
        <v>1063</v>
      </c>
      <c r="AM350" t="s">
        <v>1064</v>
      </c>
      <c r="AN350" t="s">
        <v>1065</v>
      </c>
      <c r="AO350" t="s">
        <v>1448</v>
      </c>
      <c r="AP350" t="s">
        <v>1449</v>
      </c>
      <c r="AQ350" t="s">
        <v>74</v>
      </c>
      <c r="AR350" t="s">
        <v>1450</v>
      </c>
      <c r="AS350" t="s">
        <v>1451</v>
      </c>
      <c r="AT350" t="s">
        <v>6713</v>
      </c>
      <c r="AU350">
        <v>2010</v>
      </c>
      <c r="AV350">
        <v>74</v>
      </c>
      <c r="AW350">
        <v>3</v>
      </c>
      <c r="AX350" t="s">
        <v>74</v>
      </c>
      <c r="AY350" t="s">
        <v>74</v>
      </c>
      <c r="AZ350" t="s">
        <v>74</v>
      </c>
      <c r="BA350" t="s">
        <v>74</v>
      </c>
      <c r="BB350">
        <v>1172</v>
      </c>
      <c r="BC350">
        <v>1199</v>
      </c>
      <c r="BD350" t="s">
        <v>74</v>
      </c>
      <c r="BE350" t="s">
        <v>6731</v>
      </c>
      <c r="BF350" t="str">
        <f>HYPERLINK("http://dx.doi.org/10.1016/j.gca.2009.10.029","http://dx.doi.org/10.1016/j.gca.2009.10.029")</f>
        <v>http://dx.doi.org/10.1016/j.gca.2009.10.029</v>
      </c>
      <c r="BG350" t="s">
        <v>74</v>
      </c>
      <c r="BH350" t="s">
        <v>74</v>
      </c>
      <c r="BI350">
        <v>28</v>
      </c>
      <c r="BJ350" t="s">
        <v>507</v>
      </c>
      <c r="BK350" t="s">
        <v>102</v>
      </c>
      <c r="BL350" t="s">
        <v>507</v>
      </c>
      <c r="BM350" t="s">
        <v>6715</v>
      </c>
      <c r="BN350" t="s">
        <v>74</v>
      </c>
      <c r="BO350" t="s">
        <v>74</v>
      </c>
      <c r="BP350" t="s">
        <v>74</v>
      </c>
      <c r="BQ350" t="s">
        <v>74</v>
      </c>
      <c r="BR350" t="s">
        <v>105</v>
      </c>
      <c r="BS350" t="s">
        <v>6732</v>
      </c>
      <c r="BT350" t="str">
        <f>HYPERLINK("https%3A%2F%2Fwww.webofscience.com%2Fwos%2Fwoscc%2Ffull-record%2FWOS:000273781100023","View Full Record in Web of Science")</f>
        <v>View Full Record in Web of Science</v>
      </c>
    </row>
    <row r="351" spans="1:72" x14ac:dyDescent="0.15">
      <c r="A351" t="s">
        <v>72</v>
      </c>
      <c r="B351" t="s">
        <v>6733</v>
      </c>
      <c r="C351" t="s">
        <v>74</v>
      </c>
      <c r="D351" t="s">
        <v>74</v>
      </c>
      <c r="E351" t="s">
        <v>74</v>
      </c>
      <c r="F351" t="s">
        <v>6734</v>
      </c>
      <c r="G351" t="s">
        <v>74</v>
      </c>
      <c r="H351" t="s">
        <v>74</v>
      </c>
      <c r="I351" t="s">
        <v>6735</v>
      </c>
      <c r="J351" t="s">
        <v>6736</v>
      </c>
      <c r="K351" t="s">
        <v>74</v>
      </c>
      <c r="L351" t="s">
        <v>74</v>
      </c>
      <c r="M351" t="s">
        <v>78</v>
      </c>
      <c r="N351" t="s">
        <v>79</v>
      </c>
      <c r="O351" t="s">
        <v>74</v>
      </c>
      <c r="P351" t="s">
        <v>74</v>
      </c>
      <c r="Q351" t="s">
        <v>74</v>
      </c>
      <c r="R351" t="s">
        <v>74</v>
      </c>
      <c r="S351" t="s">
        <v>74</v>
      </c>
      <c r="T351" t="s">
        <v>74</v>
      </c>
      <c r="U351" t="s">
        <v>6737</v>
      </c>
      <c r="V351" t="s">
        <v>6738</v>
      </c>
      <c r="W351" t="s">
        <v>6739</v>
      </c>
      <c r="X351" t="s">
        <v>6740</v>
      </c>
      <c r="Y351" t="s">
        <v>6741</v>
      </c>
      <c r="Z351" t="s">
        <v>6742</v>
      </c>
      <c r="AA351" t="s">
        <v>6743</v>
      </c>
      <c r="AB351" t="s">
        <v>74</v>
      </c>
      <c r="AC351" t="s">
        <v>74</v>
      </c>
      <c r="AD351" t="s">
        <v>74</v>
      </c>
      <c r="AE351" t="s">
        <v>74</v>
      </c>
      <c r="AF351" t="s">
        <v>74</v>
      </c>
      <c r="AG351">
        <v>18</v>
      </c>
      <c r="AH351">
        <v>4</v>
      </c>
      <c r="AI351">
        <v>4</v>
      </c>
      <c r="AJ351">
        <v>0</v>
      </c>
      <c r="AK351">
        <v>5</v>
      </c>
      <c r="AL351" t="s">
        <v>2913</v>
      </c>
      <c r="AM351" t="s">
        <v>225</v>
      </c>
      <c r="AN351" t="s">
        <v>2914</v>
      </c>
      <c r="AO351" t="s">
        <v>6744</v>
      </c>
      <c r="AP351" t="s">
        <v>74</v>
      </c>
      <c r="AQ351" t="s">
        <v>74</v>
      </c>
      <c r="AR351" t="s">
        <v>6745</v>
      </c>
      <c r="AS351" t="s">
        <v>6746</v>
      </c>
      <c r="AT351" t="s">
        <v>5910</v>
      </c>
      <c r="AU351">
        <v>2010</v>
      </c>
      <c r="AV351">
        <v>50</v>
      </c>
      <c r="AW351">
        <v>1</v>
      </c>
      <c r="AX351" t="s">
        <v>74</v>
      </c>
      <c r="AY351" t="s">
        <v>74</v>
      </c>
      <c r="AZ351" t="s">
        <v>74</v>
      </c>
      <c r="BA351" t="s">
        <v>74</v>
      </c>
      <c r="BB351">
        <v>134</v>
      </c>
      <c r="BC351">
        <v>140</v>
      </c>
      <c r="BD351" t="s">
        <v>74</v>
      </c>
      <c r="BE351" t="s">
        <v>6747</v>
      </c>
      <c r="BF351" t="str">
        <f>HYPERLINK("http://dx.doi.org/10.1134/S0016793210010159","http://dx.doi.org/10.1134/S0016793210010159")</f>
        <v>http://dx.doi.org/10.1134/S0016793210010159</v>
      </c>
      <c r="BG351" t="s">
        <v>74</v>
      </c>
      <c r="BH351" t="s">
        <v>74</v>
      </c>
      <c r="BI351">
        <v>7</v>
      </c>
      <c r="BJ351" t="s">
        <v>507</v>
      </c>
      <c r="BK351" t="s">
        <v>102</v>
      </c>
      <c r="BL351" t="s">
        <v>507</v>
      </c>
      <c r="BM351" t="s">
        <v>6748</v>
      </c>
      <c r="BN351" t="s">
        <v>74</v>
      </c>
      <c r="BO351" t="s">
        <v>74</v>
      </c>
      <c r="BP351" t="s">
        <v>74</v>
      </c>
      <c r="BQ351" t="s">
        <v>74</v>
      </c>
      <c r="BR351" t="s">
        <v>105</v>
      </c>
      <c r="BS351" t="s">
        <v>6749</v>
      </c>
      <c r="BT351" t="str">
        <f>HYPERLINK("https%3A%2F%2Fwww.webofscience.com%2Fwos%2Fwoscc%2Ffull-record%2FWOS:000275103800015","View Full Record in Web of Science")</f>
        <v>View Full Record in Web of Science</v>
      </c>
    </row>
    <row r="352" spans="1:72" x14ac:dyDescent="0.15">
      <c r="A352" t="s">
        <v>72</v>
      </c>
      <c r="B352" t="s">
        <v>6750</v>
      </c>
      <c r="C352" t="s">
        <v>74</v>
      </c>
      <c r="D352" t="s">
        <v>74</v>
      </c>
      <c r="E352" t="s">
        <v>74</v>
      </c>
      <c r="F352" t="s">
        <v>6751</v>
      </c>
      <c r="G352" t="s">
        <v>74</v>
      </c>
      <c r="H352" t="s">
        <v>74</v>
      </c>
      <c r="I352" t="s">
        <v>6752</v>
      </c>
      <c r="J352" t="s">
        <v>1496</v>
      </c>
      <c r="K352" t="s">
        <v>74</v>
      </c>
      <c r="L352" t="s">
        <v>74</v>
      </c>
      <c r="M352" t="s">
        <v>78</v>
      </c>
      <c r="N352" t="s">
        <v>79</v>
      </c>
      <c r="O352" t="s">
        <v>74</v>
      </c>
      <c r="P352" t="s">
        <v>74</v>
      </c>
      <c r="Q352" t="s">
        <v>74</v>
      </c>
      <c r="R352" t="s">
        <v>74</v>
      </c>
      <c r="S352" t="s">
        <v>74</v>
      </c>
      <c r="T352" t="s">
        <v>6753</v>
      </c>
      <c r="U352" t="s">
        <v>6754</v>
      </c>
      <c r="V352" t="s">
        <v>6755</v>
      </c>
      <c r="W352" t="s">
        <v>6756</v>
      </c>
      <c r="X352" t="s">
        <v>6757</v>
      </c>
      <c r="Y352" t="s">
        <v>6758</v>
      </c>
      <c r="Z352" t="s">
        <v>6759</v>
      </c>
      <c r="AA352" t="s">
        <v>6760</v>
      </c>
      <c r="AB352" t="s">
        <v>6761</v>
      </c>
      <c r="AC352" t="s">
        <v>6762</v>
      </c>
      <c r="AD352" t="s">
        <v>6763</v>
      </c>
      <c r="AE352" t="s">
        <v>6764</v>
      </c>
      <c r="AF352" t="s">
        <v>74</v>
      </c>
      <c r="AG352">
        <v>37</v>
      </c>
      <c r="AH352">
        <v>77</v>
      </c>
      <c r="AI352">
        <v>88</v>
      </c>
      <c r="AJ352">
        <v>0</v>
      </c>
      <c r="AK352">
        <v>38</v>
      </c>
      <c r="AL352" t="s">
        <v>1654</v>
      </c>
      <c r="AM352" t="s">
        <v>1655</v>
      </c>
      <c r="AN352" t="s">
        <v>1656</v>
      </c>
      <c r="AO352" t="s">
        <v>1510</v>
      </c>
      <c r="AP352" t="s">
        <v>74</v>
      </c>
      <c r="AQ352" t="s">
        <v>74</v>
      </c>
      <c r="AR352" t="s">
        <v>1512</v>
      </c>
      <c r="AS352" t="s">
        <v>1513</v>
      </c>
      <c r="AT352" t="s">
        <v>5910</v>
      </c>
      <c r="AU352">
        <v>2010</v>
      </c>
      <c r="AV352">
        <v>180</v>
      </c>
      <c r="AW352">
        <v>2</v>
      </c>
      <c r="AX352" t="s">
        <v>74</v>
      </c>
      <c r="AY352" t="s">
        <v>74</v>
      </c>
      <c r="AZ352" t="s">
        <v>74</v>
      </c>
      <c r="BA352" t="s">
        <v>74</v>
      </c>
      <c r="BB352">
        <v>623</v>
      </c>
      <c r="BC352">
        <v>634</v>
      </c>
      <c r="BD352" t="s">
        <v>74</v>
      </c>
      <c r="BE352" t="s">
        <v>6765</v>
      </c>
      <c r="BF352" t="str">
        <f>HYPERLINK("http://dx.doi.org/10.1111/j.1365-246X.2009.04419.x","http://dx.doi.org/10.1111/j.1365-246X.2009.04419.x")</f>
        <v>http://dx.doi.org/10.1111/j.1365-246X.2009.04419.x</v>
      </c>
      <c r="BG352" t="s">
        <v>74</v>
      </c>
      <c r="BH352" t="s">
        <v>74</v>
      </c>
      <c r="BI352">
        <v>12</v>
      </c>
      <c r="BJ352" t="s">
        <v>507</v>
      </c>
      <c r="BK352" t="s">
        <v>102</v>
      </c>
      <c r="BL352" t="s">
        <v>507</v>
      </c>
      <c r="BM352" t="s">
        <v>6766</v>
      </c>
      <c r="BN352" t="s">
        <v>74</v>
      </c>
      <c r="BO352" t="s">
        <v>1561</v>
      </c>
      <c r="BP352" t="s">
        <v>74</v>
      </c>
      <c r="BQ352" t="s">
        <v>74</v>
      </c>
      <c r="BR352" t="s">
        <v>105</v>
      </c>
      <c r="BS352" t="s">
        <v>6767</v>
      </c>
      <c r="BT352" t="str">
        <f>HYPERLINK("https%3A%2F%2Fwww.webofscience.com%2Fwos%2Fwoscc%2Ffull-record%2FWOS:000273666400011","View Full Record in Web of Science")</f>
        <v>View Full Record in Web of Science</v>
      </c>
    </row>
    <row r="353" spans="1:72" x14ac:dyDescent="0.15">
      <c r="A353" t="s">
        <v>72</v>
      </c>
      <c r="B353" t="s">
        <v>6768</v>
      </c>
      <c r="C353" t="s">
        <v>74</v>
      </c>
      <c r="D353" t="s">
        <v>74</v>
      </c>
      <c r="E353" t="s">
        <v>74</v>
      </c>
      <c r="F353" t="s">
        <v>6769</v>
      </c>
      <c r="G353" t="s">
        <v>74</v>
      </c>
      <c r="H353" t="s">
        <v>74</v>
      </c>
      <c r="I353" t="s">
        <v>6770</v>
      </c>
      <c r="J353" t="s">
        <v>6771</v>
      </c>
      <c r="K353" t="s">
        <v>74</v>
      </c>
      <c r="L353" t="s">
        <v>74</v>
      </c>
      <c r="M353" t="s">
        <v>78</v>
      </c>
      <c r="N353" t="s">
        <v>600</v>
      </c>
      <c r="O353" t="s">
        <v>74</v>
      </c>
      <c r="P353" t="s">
        <v>74</v>
      </c>
      <c r="Q353" t="s">
        <v>74</v>
      </c>
      <c r="R353" t="s">
        <v>74</v>
      </c>
      <c r="S353" t="s">
        <v>74</v>
      </c>
      <c r="T353" t="s">
        <v>6772</v>
      </c>
      <c r="U353" t="s">
        <v>6773</v>
      </c>
      <c r="V353" t="s">
        <v>6774</v>
      </c>
      <c r="W353" t="s">
        <v>6775</v>
      </c>
      <c r="X353" t="s">
        <v>656</v>
      </c>
      <c r="Y353" t="s">
        <v>6776</v>
      </c>
      <c r="Z353" t="s">
        <v>833</v>
      </c>
      <c r="AA353" t="s">
        <v>834</v>
      </c>
      <c r="AB353" t="s">
        <v>835</v>
      </c>
      <c r="AC353" t="s">
        <v>4902</v>
      </c>
      <c r="AD353" t="s">
        <v>1972</v>
      </c>
      <c r="AE353" t="s">
        <v>74</v>
      </c>
      <c r="AF353" t="s">
        <v>74</v>
      </c>
      <c r="AG353">
        <v>117</v>
      </c>
      <c r="AH353">
        <v>129</v>
      </c>
      <c r="AI353">
        <v>134</v>
      </c>
      <c r="AJ353">
        <v>1</v>
      </c>
      <c r="AK353">
        <v>70</v>
      </c>
      <c r="AL353" t="s">
        <v>2285</v>
      </c>
      <c r="AM353" t="s">
        <v>1064</v>
      </c>
      <c r="AN353" t="s">
        <v>2286</v>
      </c>
      <c r="AO353" t="s">
        <v>6777</v>
      </c>
      <c r="AP353" t="s">
        <v>6778</v>
      </c>
      <c r="AQ353" t="s">
        <v>74</v>
      </c>
      <c r="AR353" t="s">
        <v>6779</v>
      </c>
      <c r="AS353" t="s">
        <v>6780</v>
      </c>
      <c r="AT353" t="s">
        <v>5910</v>
      </c>
      <c r="AU353">
        <v>2010</v>
      </c>
      <c r="AV353">
        <v>20</v>
      </c>
      <c r="AW353">
        <v>1</v>
      </c>
      <c r="AX353" t="s">
        <v>74</v>
      </c>
      <c r="AY353" t="s">
        <v>74</v>
      </c>
      <c r="AZ353" t="s">
        <v>152</v>
      </c>
      <c r="BA353" t="s">
        <v>74</v>
      </c>
      <c r="BB353">
        <v>96</v>
      </c>
      <c r="BC353">
        <v>112</v>
      </c>
      <c r="BD353" t="s">
        <v>74</v>
      </c>
      <c r="BE353" t="s">
        <v>6781</v>
      </c>
      <c r="BF353" t="str">
        <f>HYPERLINK("http://dx.doi.org/10.1016/j.gloenvcha.2009.09.005","http://dx.doi.org/10.1016/j.gloenvcha.2009.09.005")</f>
        <v>http://dx.doi.org/10.1016/j.gloenvcha.2009.09.005</v>
      </c>
      <c r="BG353" t="s">
        <v>74</v>
      </c>
      <c r="BH353" t="s">
        <v>74</v>
      </c>
      <c r="BI353">
        <v>17</v>
      </c>
      <c r="BJ353" t="s">
        <v>6782</v>
      </c>
      <c r="BK353" t="s">
        <v>2973</v>
      </c>
      <c r="BL353" t="s">
        <v>6783</v>
      </c>
      <c r="BM353" t="s">
        <v>6784</v>
      </c>
      <c r="BN353" t="s">
        <v>74</v>
      </c>
      <c r="BO353" t="s">
        <v>74</v>
      </c>
      <c r="BP353" t="s">
        <v>74</v>
      </c>
      <c r="BQ353" t="s">
        <v>74</v>
      </c>
      <c r="BR353" t="s">
        <v>105</v>
      </c>
      <c r="BS353" t="s">
        <v>6785</v>
      </c>
      <c r="BT353" t="str">
        <f>HYPERLINK("https%3A%2F%2Fwww.webofscience.com%2Fwos%2Fwoscc%2Ffull-record%2FWOS:000274672500012","View Full Record in Web of Science")</f>
        <v>View Full Record in Web of Science</v>
      </c>
    </row>
    <row r="354" spans="1:72" x14ac:dyDescent="0.15">
      <c r="A354" t="s">
        <v>72</v>
      </c>
      <c r="B354" t="s">
        <v>6786</v>
      </c>
      <c r="C354" t="s">
        <v>74</v>
      </c>
      <c r="D354" t="s">
        <v>74</v>
      </c>
      <c r="E354" t="s">
        <v>74</v>
      </c>
      <c r="F354" t="s">
        <v>6787</v>
      </c>
      <c r="G354" t="s">
        <v>74</v>
      </c>
      <c r="H354" t="s">
        <v>74</v>
      </c>
      <c r="I354" t="s">
        <v>6788</v>
      </c>
      <c r="J354" t="s">
        <v>6789</v>
      </c>
      <c r="K354" t="s">
        <v>74</v>
      </c>
      <c r="L354" t="s">
        <v>74</v>
      </c>
      <c r="M354" t="s">
        <v>78</v>
      </c>
      <c r="N354" t="s">
        <v>79</v>
      </c>
      <c r="O354" t="s">
        <v>74</v>
      </c>
      <c r="P354" t="s">
        <v>74</v>
      </c>
      <c r="Q354" t="s">
        <v>74</v>
      </c>
      <c r="R354" t="s">
        <v>74</v>
      </c>
      <c r="S354" t="s">
        <v>74</v>
      </c>
      <c r="T354" t="s">
        <v>6790</v>
      </c>
      <c r="U354" t="s">
        <v>6791</v>
      </c>
      <c r="V354" t="s">
        <v>6792</v>
      </c>
      <c r="W354" t="s">
        <v>6793</v>
      </c>
      <c r="X354" t="s">
        <v>656</v>
      </c>
      <c r="Y354" t="s">
        <v>6794</v>
      </c>
      <c r="Z354" t="s">
        <v>6795</v>
      </c>
      <c r="AA354" t="s">
        <v>6796</v>
      </c>
      <c r="AB354" t="s">
        <v>6797</v>
      </c>
      <c r="AC354" t="s">
        <v>6798</v>
      </c>
      <c r="AD354" t="s">
        <v>6799</v>
      </c>
      <c r="AE354" t="s">
        <v>6800</v>
      </c>
      <c r="AF354" t="s">
        <v>74</v>
      </c>
      <c r="AG354">
        <v>42</v>
      </c>
      <c r="AH354">
        <v>14</v>
      </c>
      <c r="AI354">
        <v>15</v>
      </c>
      <c r="AJ354">
        <v>0</v>
      </c>
      <c r="AK354">
        <v>20</v>
      </c>
      <c r="AL354" t="s">
        <v>991</v>
      </c>
      <c r="AM354" t="s">
        <v>992</v>
      </c>
      <c r="AN354" t="s">
        <v>993</v>
      </c>
      <c r="AO354" t="s">
        <v>6801</v>
      </c>
      <c r="AP354" t="s">
        <v>6802</v>
      </c>
      <c r="AQ354" t="s">
        <v>74</v>
      </c>
      <c r="AR354" t="s">
        <v>6803</v>
      </c>
      <c r="AS354" t="s">
        <v>6804</v>
      </c>
      <c r="AT354" t="s">
        <v>5910</v>
      </c>
      <c r="AU354">
        <v>2010</v>
      </c>
      <c r="AV354">
        <v>19</v>
      </c>
      <c r="AW354">
        <v>1</v>
      </c>
      <c r="AX354" t="s">
        <v>74</v>
      </c>
      <c r="AY354" t="s">
        <v>74</v>
      </c>
      <c r="AZ354" t="s">
        <v>74</v>
      </c>
      <c r="BA354" t="s">
        <v>74</v>
      </c>
      <c r="BB354">
        <v>113</v>
      </c>
      <c r="BC354">
        <v>120</v>
      </c>
      <c r="BD354" t="s">
        <v>74</v>
      </c>
      <c r="BE354" t="s">
        <v>6805</v>
      </c>
      <c r="BF354" t="str">
        <f>HYPERLINK("http://dx.doi.org/10.1111/j.1365-2583.2009.00953.x","http://dx.doi.org/10.1111/j.1365-2583.2009.00953.x")</f>
        <v>http://dx.doi.org/10.1111/j.1365-2583.2009.00953.x</v>
      </c>
      <c r="BG354" t="s">
        <v>74</v>
      </c>
      <c r="BH354" t="s">
        <v>74</v>
      </c>
      <c r="BI354">
        <v>8</v>
      </c>
      <c r="BJ354" t="s">
        <v>6806</v>
      </c>
      <c r="BK354" t="s">
        <v>102</v>
      </c>
      <c r="BL354" t="s">
        <v>6806</v>
      </c>
      <c r="BM354" t="s">
        <v>6807</v>
      </c>
      <c r="BN354">
        <v>20002214</v>
      </c>
      <c r="BO354" t="s">
        <v>74</v>
      </c>
      <c r="BP354" t="s">
        <v>74</v>
      </c>
      <c r="BQ354" t="s">
        <v>74</v>
      </c>
      <c r="BR354" t="s">
        <v>105</v>
      </c>
      <c r="BS354" t="s">
        <v>6808</v>
      </c>
      <c r="BT354" t="str">
        <f>HYPERLINK("https%3A%2F%2Fwww.webofscience.com%2Fwos%2Fwoscc%2Ffull-record%2FWOS:000273309800010","View Full Record in Web of Science")</f>
        <v>View Full Record in Web of Science</v>
      </c>
    </row>
    <row r="355" spans="1:72" x14ac:dyDescent="0.15">
      <c r="A355" t="s">
        <v>72</v>
      </c>
      <c r="B355" t="s">
        <v>6809</v>
      </c>
      <c r="C355" t="s">
        <v>74</v>
      </c>
      <c r="D355" t="s">
        <v>74</v>
      </c>
      <c r="E355" t="s">
        <v>74</v>
      </c>
      <c r="F355" t="s">
        <v>6810</v>
      </c>
      <c r="G355" t="s">
        <v>74</v>
      </c>
      <c r="H355" t="s">
        <v>74</v>
      </c>
      <c r="I355" t="s">
        <v>6811</v>
      </c>
      <c r="J355" t="s">
        <v>1592</v>
      </c>
      <c r="K355" t="s">
        <v>74</v>
      </c>
      <c r="L355" t="s">
        <v>74</v>
      </c>
      <c r="M355" t="s">
        <v>78</v>
      </c>
      <c r="N355" t="s">
        <v>79</v>
      </c>
      <c r="O355" t="s">
        <v>74</v>
      </c>
      <c r="P355" t="s">
        <v>74</v>
      </c>
      <c r="Q355" t="s">
        <v>74</v>
      </c>
      <c r="R355" t="s">
        <v>74</v>
      </c>
      <c r="S355" t="s">
        <v>74</v>
      </c>
      <c r="T355" t="s">
        <v>74</v>
      </c>
      <c r="U355" t="s">
        <v>6812</v>
      </c>
      <c r="V355" t="s">
        <v>6813</v>
      </c>
      <c r="W355" t="s">
        <v>6814</v>
      </c>
      <c r="X355" t="s">
        <v>6815</v>
      </c>
      <c r="Y355" t="s">
        <v>6816</v>
      </c>
      <c r="Z355" t="s">
        <v>6817</v>
      </c>
      <c r="AA355" t="s">
        <v>74</v>
      </c>
      <c r="AB355" t="s">
        <v>6818</v>
      </c>
      <c r="AC355" t="s">
        <v>6819</v>
      </c>
      <c r="AD355" t="s">
        <v>6820</v>
      </c>
      <c r="AE355" t="s">
        <v>6821</v>
      </c>
      <c r="AF355" t="s">
        <v>74</v>
      </c>
      <c r="AG355">
        <v>36</v>
      </c>
      <c r="AH355">
        <v>33</v>
      </c>
      <c r="AI355">
        <v>38</v>
      </c>
      <c r="AJ355">
        <v>1</v>
      </c>
      <c r="AK355">
        <v>6</v>
      </c>
      <c r="AL355" t="s">
        <v>1641</v>
      </c>
      <c r="AM355" t="s">
        <v>407</v>
      </c>
      <c r="AN355" t="s">
        <v>1642</v>
      </c>
      <c r="AO355" t="s">
        <v>1607</v>
      </c>
      <c r="AP355" t="s">
        <v>1608</v>
      </c>
      <c r="AQ355" t="s">
        <v>74</v>
      </c>
      <c r="AR355" t="s">
        <v>1609</v>
      </c>
      <c r="AS355" t="s">
        <v>1610</v>
      </c>
      <c r="AT355" t="s">
        <v>5910</v>
      </c>
      <c r="AU355">
        <v>2010</v>
      </c>
      <c r="AV355">
        <v>60</v>
      </c>
      <c r="AW355" t="s">
        <v>74</v>
      </c>
      <c r="AX355">
        <v>2</v>
      </c>
      <c r="AY355" t="s">
        <v>74</v>
      </c>
      <c r="AZ355" t="s">
        <v>74</v>
      </c>
      <c r="BA355" t="s">
        <v>74</v>
      </c>
      <c r="BB355">
        <v>344</v>
      </c>
      <c r="BC355">
        <v>348</v>
      </c>
      <c r="BD355" t="s">
        <v>74</v>
      </c>
      <c r="BE355" t="s">
        <v>6822</v>
      </c>
      <c r="BF355" t="str">
        <f>HYPERLINK("http://dx.doi.org/10.1099/ijs.0.009365-0","http://dx.doi.org/10.1099/ijs.0.009365-0")</f>
        <v>http://dx.doi.org/10.1099/ijs.0.009365-0</v>
      </c>
      <c r="BG355" t="s">
        <v>74</v>
      </c>
      <c r="BH355" t="s">
        <v>74</v>
      </c>
      <c r="BI355">
        <v>5</v>
      </c>
      <c r="BJ355" t="s">
        <v>1612</v>
      </c>
      <c r="BK355" t="s">
        <v>102</v>
      </c>
      <c r="BL355" t="s">
        <v>1612</v>
      </c>
      <c r="BM355" t="s">
        <v>6823</v>
      </c>
      <c r="BN355">
        <v>19651729</v>
      </c>
      <c r="BO355" t="s">
        <v>104</v>
      </c>
      <c r="BP355" t="s">
        <v>74</v>
      </c>
      <c r="BQ355" t="s">
        <v>74</v>
      </c>
      <c r="BR355" t="s">
        <v>105</v>
      </c>
      <c r="BS355" t="s">
        <v>6824</v>
      </c>
      <c r="BT355" t="str">
        <f>HYPERLINK("https%3A%2F%2Fwww.webofscience.com%2Fwos%2Fwoscc%2Ffull-record%2FWOS:000275380900015","View Full Record in Web of Science")</f>
        <v>View Full Record in Web of Science</v>
      </c>
    </row>
    <row r="356" spans="1:72" x14ac:dyDescent="0.15">
      <c r="A356" t="s">
        <v>72</v>
      </c>
      <c r="B356" t="s">
        <v>6825</v>
      </c>
      <c r="C356" t="s">
        <v>74</v>
      </c>
      <c r="D356" t="s">
        <v>74</v>
      </c>
      <c r="E356" t="s">
        <v>74</v>
      </c>
      <c r="F356" t="s">
        <v>6826</v>
      </c>
      <c r="G356" t="s">
        <v>74</v>
      </c>
      <c r="H356" t="s">
        <v>74</v>
      </c>
      <c r="I356" t="s">
        <v>6827</v>
      </c>
      <c r="J356" t="s">
        <v>6828</v>
      </c>
      <c r="K356" t="s">
        <v>74</v>
      </c>
      <c r="L356" t="s">
        <v>74</v>
      </c>
      <c r="M356" t="s">
        <v>78</v>
      </c>
      <c r="N356" t="s">
        <v>79</v>
      </c>
      <c r="O356" t="s">
        <v>74</v>
      </c>
      <c r="P356" t="s">
        <v>74</v>
      </c>
      <c r="Q356" t="s">
        <v>74</v>
      </c>
      <c r="R356" t="s">
        <v>74</v>
      </c>
      <c r="S356" t="s">
        <v>74</v>
      </c>
      <c r="T356" t="s">
        <v>6829</v>
      </c>
      <c r="U356" t="s">
        <v>6830</v>
      </c>
      <c r="V356" t="s">
        <v>6831</v>
      </c>
      <c r="W356" t="s">
        <v>6832</v>
      </c>
      <c r="X356" t="s">
        <v>6833</v>
      </c>
      <c r="Y356" t="s">
        <v>6834</v>
      </c>
      <c r="Z356" t="s">
        <v>6835</v>
      </c>
      <c r="AA356" t="s">
        <v>6836</v>
      </c>
      <c r="AB356" t="s">
        <v>6837</v>
      </c>
      <c r="AC356" t="s">
        <v>6838</v>
      </c>
      <c r="AD356" t="s">
        <v>6839</v>
      </c>
      <c r="AE356" t="s">
        <v>6840</v>
      </c>
      <c r="AF356" t="s">
        <v>74</v>
      </c>
      <c r="AG356">
        <v>62</v>
      </c>
      <c r="AH356">
        <v>173</v>
      </c>
      <c r="AI356">
        <v>197</v>
      </c>
      <c r="AJ356">
        <v>5</v>
      </c>
      <c r="AK356">
        <v>81</v>
      </c>
      <c r="AL356" t="s">
        <v>2459</v>
      </c>
      <c r="AM356" t="s">
        <v>407</v>
      </c>
      <c r="AN356" t="s">
        <v>3217</v>
      </c>
      <c r="AO356" t="s">
        <v>6841</v>
      </c>
      <c r="AP356" t="s">
        <v>6842</v>
      </c>
      <c r="AQ356" t="s">
        <v>74</v>
      </c>
      <c r="AR356" t="s">
        <v>6843</v>
      </c>
      <c r="AS356" t="s">
        <v>6844</v>
      </c>
      <c r="AT356" t="s">
        <v>5910</v>
      </c>
      <c r="AU356">
        <v>2010</v>
      </c>
      <c r="AV356">
        <v>4</v>
      </c>
      <c r="AW356">
        <v>2</v>
      </c>
      <c r="AX356" t="s">
        <v>74</v>
      </c>
      <c r="AY356" t="s">
        <v>74</v>
      </c>
      <c r="AZ356" t="s">
        <v>74</v>
      </c>
      <c r="BA356" t="s">
        <v>74</v>
      </c>
      <c r="BB356">
        <v>159</v>
      </c>
      <c r="BC356">
        <v>170</v>
      </c>
      <c r="BD356" t="s">
        <v>74</v>
      </c>
      <c r="BE356" t="s">
        <v>6845</v>
      </c>
      <c r="BF356" t="str">
        <f>HYPERLINK("http://dx.doi.org/10.1038/ismej.2009.106","http://dx.doi.org/10.1038/ismej.2009.106")</f>
        <v>http://dx.doi.org/10.1038/ismej.2009.106</v>
      </c>
      <c r="BG356" t="s">
        <v>74</v>
      </c>
      <c r="BH356" t="s">
        <v>74</v>
      </c>
      <c r="BI356">
        <v>12</v>
      </c>
      <c r="BJ356" t="s">
        <v>6846</v>
      </c>
      <c r="BK356" t="s">
        <v>102</v>
      </c>
      <c r="BL356" t="s">
        <v>6847</v>
      </c>
      <c r="BM356" t="s">
        <v>6848</v>
      </c>
      <c r="BN356">
        <v>19829317</v>
      </c>
      <c r="BO356" t="s">
        <v>104</v>
      </c>
      <c r="BP356" t="s">
        <v>74</v>
      </c>
      <c r="BQ356" t="s">
        <v>74</v>
      </c>
      <c r="BR356" t="s">
        <v>105</v>
      </c>
      <c r="BS356" t="s">
        <v>6849</v>
      </c>
      <c r="BT356" t="str">
        <f>HYPERLINK("https%3A%2F%2Fwww.webofscience.com%2Fwos%2Fwoscc%2Ffull-record%2FWOS:000274800300002","View Full Record in Web of Science")</f>
        <v>View Full Record in Web of Science</v>
      </c>
    </row>
    <row r="357" spans="1:72" x14ac:dyDescent="0.15">
      <c r="A357" t="s">
        <v>72</v>
      </c>
      <c r="B357" t="s">
        <v>6850</v>
      </c>
      <c r="C357" t="s">
        <v>74</v>
      </c>
      <c r="D357" t="s">
        <v>74</v>
      </c>
      <c r="E357" t="s">
        <v>74</v>
      </c>
      <c r="F357" t="s">
        <v>6851</v>
      </c>
      <c r="G357" t="s">
        <v>74</v>
      </c>
      <c r="H357" t="s">
        <v>74</v>
      </c>
      <c r="I357" t="s">
        <v>6852</v>
      </c>
      <c r="J357" t="s">
        <v>6828</v>
      </c>
      <c r="K357" t="s">
        <v>74</v>
      </c>
      <c r="L357" t="s">
        <v>74</v>
      </c>
      <c r="M357" t="s">
        <v>78</v>
      </c>
      <c r="N357" t="s">
        <v>79</v>
      </c>
      <c r="O357" t="s">
        <v>74</v>
      </c>
      <c r="P357" t="s">
        <v>74</v>
      </c>
      <c r="Q357" t="s">
        <v>74</v>
      </c>
      <c r="R357" t="s">
        <v>74</v>
      </c>
      <c r="S357" t="s">
        <v>74</v>
      </c>
      <c r="T357" t="s">
        <v>6853</v>
      </c>
      <c r="U357" t="s">
        <v>6854</v>
      </c>
      <c r="V357" t="s">
        <v>6855</v>
      </c>
      <c r="W357" t="s">
        <v>6856</v>
      </c>
      <c r="X357" t="s">
        <v>6857</v>
      </c>
      <c r="Y357" t="s">
        <v>6858</v>
      </c>
      <c r="Z357" t="s">
        <v>6859</v>
      </c>
      <c r="AA357" t="s">
        <v>6860</v>
      </c>
      <c r="AB357" t="s">
        <v>6861</v>
      </c>
      <c r="AC357" t="s">
        <v>6862</v>
      </c>
      <c r="AD357" t="s">
        <v>6863</v>
      </c>
      <c r="AE357" t="s">
        <v>6864</v>
      </c>
      <c r="AF357" t="s">
        <v>74</v>
      </c>
      <c r="AG357">
        <v>63</v>
      </c>
      <c r="AH357">
        <v>158</v>
      </c>
      <c r="AI357">
        <v>181</v>
      </c>
      <c r="AJ357">
        <v>1</v>
      </c>
      <c r="AK357">
        <v>90</v>
      </c>
      <c r="AL357" t="s">
        <v>2459</v>
      </c>
      <c r="AM357" t="s">
        <v>407</v>
      </c>
      <c r="AN357" t="s">
        <v>3217</v>
      </c>
      <c r="AO357" t="s">
        <v>6841</v>
      </c>
      <c r="AP357" t="s">
        <v>6842</v>
      </c>
      <c r="AQ357" t="s">
        <v>74</v>
      </c>
      <c r="AR357" t="s">
        <v>6843</v>
      </c>
      <c r="AS357" t="s">
        <v>6844</v>
      </c>
      <c r="AT357" t="s">
        <v>5910</v>
      </c>
      <c r="AU357">
        <v>2010</v>
      </c>
      <c r="AV357">
        <v>4</v>
      </c>
      <c r="AW357">
        <v>2</v>
      </c>
      <c r="AX357" t="s">
        <v>74</v>
      </c>
      <c r="AY357" t="s">
        <v>74</v>
      </c>
      <c r="AZ357" t="s">
        <v>74</v>
      </c>
      <c r="BA357" t="s">
        <v>74</v>
      </c>
      <c r="BB357">
        <v>191</v>
      </c>
      <c r="BC357">
        <v>202</v>
      </c>
      <c r="BD357" t="s">
        <v>74</v>
      </c>
      <c r="BE357" t="s">
        <v>6865</v>
      </c>
      <c r="BF357" t="str">
        <f>HYPERLINK("http://dx.doi.org/10.1038/ismej.2009.113","http://dx.doi.org/10.1038/ismej.2009.113")</f>
        <v>http://dx.doi.org/10.1038/ismej.2009.113</v>
      </c>
      <c r="BG357" t="s">
        <v>74</v>
      </c>
      <c r="BH357" t="s">
        <v>74</v>
      </c>
      <c r="BI357">
        <v>12</v>
      </c>
      <c r="BJ357" t="s">
        <v>6846</v>
      </c>
      <c r="BK357" t="s">
        <v>102</v>
      </c>
      <c r="BL357" t="s">
        <v>6847</v>
      </c>
      <c r="BM357" t="s">
        <v>6848</v>
      </c>
      <c r="BN357">
        <v>19890368</v>
      </c>
      <c r="BO357" t="s">
        <v>104</v>
      </c>
      <c r="BP357" t="s">
        <v>74</v>
      </c>
      <c r="BQ357" t="s">
        <v>74</v>
      </c>
      <c r="BR357" t="s">
        <v>105</v>
      </c>
      <c r="BS357" t="s">
        <v>6866</v>
      </c>
      <c r="BT357" t="str">
        <f>HYPERLINK("https%3A%2F%2Fwww.webofscience.com%2Fwos%2Fwoscc%2Ffull-record%2FWOS:000274800300005","View Full Record in Web of Science")</f>
        <v>View Full Record in Web of Science</v>
      </c>
    </row>
    <row r="358" spans="1:72" x14ac:dyDescent="0.15">
      <c r="A358" t="s">
        <v>72</v>
      </c>
      <c r="B358" t="s">
        <v>6867</v>
      </c>
      <c r="C358" t="s">
        <v>74</v>
      </c>
      <c r="D358" t="s">
        <v>74</v>
      </c>
      <c r="E358" t="s">
        <v>74</v>
      </c>
      <c r="F358" t="s">
        <v>6868</v>
      </c>
      <c r="G358" t="s">
        <v>74</v>
      </c>
      <c r="H358" t="s">
        <v>74</v>
      </c>
      <c r="I358" t="s">
        <v>6869</v>
      </c>
      <c r="J358" t="s">
        <v>1758</v>
      </c>
      <c r="K358" t="s">
        <v>74</v>
      </c>
      <c r="L358" t="s">
        <v>74</v>
      </c>
      <c r="M358" t="s">
        <v>78</v>
      </c>
      <c r="N358" t="s">
        <v>79</v>
      </c>
      <c r="O358" t="s">
        <v>74</v>
      </c>
      <c r="P358" t="s">
        <v>74</v>
      </c>
      <c r="Q358" t="s">
        <v>74</v>
      </c>
      <c r="R358" t="s">
        <v>74</v>
      </c>
      <c r="S358" t="s">
        <v>74</v>
      </c>
      <c r="T358" t="s">
        <v>6870</v>
      </c>
      <c r="U358" t="s">
        <v>6871</v>
      </c>
      <c r="V358" t="s">
        <v>6872</v>
      </c>
      <c r="W358" t="s">
        <v>6873</v>
      </c>
      <c r="X358" t="s">
        <v>5907</v>
      </c>
      <c r="Y358" t="s">
        <v>6874</v>
      </c>
      <c r="Z358" t="s">
        <v>6875</v>
      </c>
      <c r="AA358" t="s">
        <v>6876</v>
      </c>
      <c r="AB358" t="s">
        <v>6877</v>
      </c>
      <c r="AC358" t="s">
        <v>6878</v>
      </c>
      <c r="AD358" t="s">
        <v>6879</v>
      </c>
      <c r="AE358" t="s">
        <v>6880</v>
      </c>
      <c r="AF358" t="s">
        <v>74</v>
      </c>
      <c r="AG358">
        <v>85</v>
      </c>
      <c r="AH358">
        <v>64</v>
      </c>
      <c r="AI358">
        <v>69</v>
      </c>
      <c r="AJ358">
        <v>2</v>
      </c>
      <c r="AK358">
        <v>45</v>
      </c>
      <c r="AL358" t="s">
        <v>2312</v>
      </c>
      <c r="AM358" t="s">
        <v>992</v>
      </c>
      <c r="AN358" t="s">
        <v>993</v>
      </c>
      <c r="AO358" t="s">
        <v>1771</v>
      </c>
      <c r="AP358" t="s">
        <v>1772</v>
      </c>
      <c r="AQ358" t="s">
        <v>74</v>
      </c>
      <c r="AR358" t="s">
        <v>1773</v>
      </c>
      <c r="AS358" t="s">
        <v>1774</v>
      </c>
      <c r="AT358" t="s">
        <v>5910</v>
      </c>
      <c r="AU358">
        <v>2010</v>
      </c>
      <c r="AV358">
        <v>37</v>
      </c>
      <c r="AW358">
        <v>2</v>
      </c>
      <c r="AX358" t="s">
        <v>74</v>
      </c>
      <c r="AY358" t="s">
        <v>74</v>
      </c>
      <c r="AZ358" t="s">
        <v>74</v>
      </c>
      <c r="BA358" t="s">
        <v>74</v>
      </c>
      <c r="BB358">
        <v>217</v>
      </c>
      <c r="BC358">
        <v>228</v>
      </c>
      <c r="BD358" t="s">
        <v>74</v>
      </c>
      <c r="BE358" t="s">
        <v>6881</v>
      </c>
      <c r="BF358" t="str">
        <f>HYPERLINK("http://dx.doi.org/10.1111/j.1365-2699.2009.02204.x","http://dx.doi.org/10.1111/j.1365-2699.2009.02204.x")</f>
        <v>http://dx.doi.org/10.1111/j.1365-2699.2009.02204.x</v>
      </c>
      <c r="BG358" t="s">
        <v>74</v>
      </c>
      <c r="BH358" t="s">
        <v>74</v>
      </c>
      <c r="BI358">
        <v>12</v>
      </c>
      <c r="BJ358" t="s">
        <v>1776</v>
      </c>
      <c r="BK358" t="s">
        <v>102</v>
      </c>
      <c r="BL358" t="s">
        <v>1777</v>
      </c>
      <c r="BM358" t="s">
        <v>6882</v>
      </c>
      <c r="BN358" t="s">
        <v>74</v>
      </c>
      <c r="BO358" t="s">
        <v>74</v>
      </c>
      <c r="BP358" t="s">
        <v>74</v>
      </c>
      <c r="BQ358" t="s">
        <v>74</v>
      </c>
      <c r="BR358" t="s">
        <v>105</v>
      </c>
      <c r="BS358" t="s">
        <v>6883</v>
      </c>
      <c r="BT358" t="str">
        <f>HYPERLINK("https%3A%2F%2Fwww.webofscience.com%2Fwos%2Fwoscc%2Ffull-record%2FWOS:000273771100002","View Full Record in Web of Science")</f>
        <v>View Full Record in Web of Science</v>
      </c>
    </row>
    <row r="359" spans="1:72" x14ac:dyDescent="0.15">
      <c r="A359" t="s">
        <v>72</v>
      </c>
      <c r="B359" t="s">
        <v>6884</v>
      </c>
      <c r="C359" t="s">
        <v>74</v>
      </c>
      <c r="D359" t="s">
        <v>74</v>
      </c>
      <c r="E359" t="s">
        <v>74</v>
      </c>
      <c r="F359" t="s">
        <v>6885</v>
      </c>
      <c r="G359" t="s">
        <v>74</v>
      </c>
      <c r="H359" t="s">
        <v>74</v>
      </c>
      <c r="I359" t="s">
        <v>6886</v>
      </c>
      <c r="J359" t="s">
        <v>6887</v>
      </c>
      <c r="K359" t="s">
        <v>74</v>
      </c>
      <c r="L359" t="s">
        <v>74</v>
      </c>
      <c r="M359" t="s">
        <v>78</v>
      </c>
      <c r="N359" t="s">
        <v>79</v>
      </c>
      <c r="O359" t="s">
        <v>74</v>
      </c>
      <c r="P359" t="s">
        <v>74</v>
      </c>
      <c r="Q359" t="s">
        <v>74</v>
      </c>
      <c r="R359" t="s">
        <v>74</v>
      </c>
      <c r="S359" t="s">
        <v>74</v>
      </c>
      <c r="T359" t="s">
        <v>6888</v>
      </c>
      <c r="U359" t="s">
        <v>6889</v>
      </c>
      <c r="V359" t="s">
        <v>6890</v>
      </c>
      <c r="W359" t="s">
        <v>6891</v>
      </c>
      <c r="X359" t="s">
        <v>6892</v>
      </c>
      <c r="Y359" t="s">
        <v>6893</v>
      </c>
      <c r="Z359" t="s">
        <v>6894</v>
      </c>
      <c r="AA359" t="s">
        <v>6895</v>
      </c>
      <c r="AB359" t="s">
        <v>6896</v>
      </c>
      <c r="AC359" t="s">
        <v>6897</v>
      </c>
      <c r="AD359" t="s">
        <v>6898</v>
      </c>
      <c r="AE359" t="s">
        <v>6899</v>
      </c>
      <c r="AF359" t="s">
        <v>74</v>
      </c>
      <c r="AG359">
        <v>54</v>
      </c>
      <c r="AH359">
        <v>35</v>
      </c>
      <c r="AI359">
        <v>40</v>
      </c>
      <c r="AJ359">
        <v>2</v>
      </c>
      <c r="AK359">
        <v>60</v>
      </c>
      <c r="AL359" t="s">
        <v>524</v>
      </c>
      <c r="AM359" t="s">
        <v>525</v>
      </c>
      <c r="AN359" t="s">
        <v>526</v>
      </c>
      <c r="AO359" t="s">
        <v>6900</v>
      </c>
      <c r="AP359" t="s">
        <v>6901</v>
      </c>
      <c r="AQ359" t="s">
        <v>74</v>
      </c>
      <c r="AR359" t="s">
        <v>6902</v>
      </c>
      <c r="AS359" t="s">
        <v>6903</v>
      </c>
      <c r="AT359" t="s">
        <v>5910</v>
      </c>
      <c r="AU359">
        <v>2010</v>
      </c>
      <c r="AV359">
        <v>196</v>
      </c>
      <c r="AW359">
        <v>2</v>
      </c>
      <c r="AX359" t="s">
        <v>74</v>
      </c>
      <c r="AY359" t="s">
        <v>74</v>
      </c>
      <c r="AZ359" t="s">
        <v>74</v>
      </c>
      <c r="BA359" t="s">
        <v>74</v>
      </c>
      <c r="BB359">
        <v>147</v>
      </c>
      <c r="BC359">
        <v>154</v>
      </c>
      <c r="BD359" t="s">
        <v>74</v>
      </c>
      <c r="BE359" t="s">
        <v>6904</v>
      </c>
      <c r="BF359" t="str">
        <f>HYPERLINK("http://dx.doi.org/10.1007/s00359-009-0501-0","http://dx.doi.org/10.1007/s00359-009-0501-0")</f>
        <v>http://dx.doi.org/10.1007/s00359-009-0501-0</v>
      </c>
      <c r="BG359" t="s">
        <v>74</v>
      </c>
      <c r="BH359" t="s">
        <v>74</v>
      </c>
      <c r="BI359">
        <v>8</v>
      </c>
      <c r="BJ359" t="s">
        <v>6905</v>
      </c>
      <c r="BK359" t="s">
        <v>102</v>
      </c>
      <c r="BL359" t="s">
        <v>6906</v>
      </c>
      <c r="BM359" t="s">
        <v>6907</v>
      </c>
      <c r="BN359">
        <v>20049458</v>
      </c>
      <c r="BO359" t="s">
        <v>74</v>
      </c>
      <c r="BP359" t="s">
        <v>74</v>
      </c>
      <c r="BQ359" t="s">
        <v>74</v>
      </c>
      <c r="BR359" t="s">
        <v>105</v>
      </c>
      <c r="BS359" t="s">
        <v>6908</v>
      </c>
      <c r="BT359" t="str">
        <f>HYPERLINK("https%3A%2F%2Fwww.webofscience.com%2Fwos%2Fwoscc%2Ffull-record%2FWOS:000273853300006","View Full Record in Web of Science")</f>
        <v>View Full Record in Web of Science</v>
      </c>
    </row>
    <row r="360" spans="1:72" x14ac:dyDescent="0.15">
      <c r="A360" t="s">
        <v>72</v>
      </c>
      <c r="B360" t="s">
        <v>6909</v>
      </c>
      <c r="C360" t="s">
        <v>74</v>
      </c>
      <c r="D360" t="s">
        <v>74</v>
      </c>
      <c r="E360" t="s">
        <v>74</v>
      </c>
      <c r="F360" t="s">
        <v>6910</v>
      </c>
      <c r="G360" t="s">
        <v>74</v>
      </c>
      <c r="H360" t="s">
        <v>74</v>
      </c>
      <c r="I360" t="s">
        <v>6911</v>
      </c>
      <c r="J360" t="s">
        <v>6912</v>
      </c>
      <c r="K360" t="s">
        <v>74</v>
      </c>
      <c r="L360" t="s">
        <v>74</v>
      </c>
      <c r="M360" t="s">
        <v>78</v>
      </c>
      <c r="N360" t="s">
        <v>79</v>
      </c>
      <c r="O360" t="s">
        <v>74</v>
      </c>
      <c r="P360" t="s">
        <v>74</v>
      </c>
      <c r="Q360" t="s">
        <v>74</v>
      </c>
      <c r="R360" t="s">
        <v>74</v>
      </c>
      <c r="S360" t="s">
        <v>74</v>
      </c>
      <c r="T360" t="s">
        <v>6913</v>
      </c>
      <c r="U360" t="s">
        <v>6914</v>
      </c>
      <c r="V360" t="s">
        <v>6915</v>
      </c>
      <c r="W360" t="s">
        <v>6916</v>
      </c>
      <c r="X360" t="s">
        <v>6917</v>
      </c>
      <c r="Y360" t="s">
        <v>6918</v>
      </c>
      <c r="Z360" t="s">
        <v>6919</v>
      </c>
      <c r="AA360" t="s">
        <v>6920</v>
      </c>
      <c r="AB360" t="s">
        <v>6921</v>
      </c>
      <c r="AC360" t="s">
        <v>6922</v>
      </c>
      <c r="AD360" t="s">
        <v>6922</v>
      </c>
      <c r="AE360" t="s">
        <v>6923</v>
      </c>
      <c r="AF360" t="s">
        <v>74</v>
      </c>
      <c r="AG360">
        <v>33</v>
      </c>
      <c r="AH360">
        <v>8</v>
      </c>
      <c r="AI360">
        <v>11</v>
      </c>
      <c r="AJ360">
        <v>0</v>
      </c>
      <c r="AK360">
        <v>4</v>
      </c>
      <c r="AL360" t="s">
        <v>3204</v>
      </c>
      <c r="AM360" t="s">
        <v>3205</v>
      </c>
      <c r="AN360" t="s">
        <v>3206</v>
      </c>
      <c r="AO360" t="s">
        <v>6924</v>
      </c>
      <c r="AP360" t="s">
        <v>6925</v>
      </c>
      <c r="AQ360" t="s">
        <v>74</v>
      </c>
      <c r="AR360" t="s">
        <v>6926</v>
      </c>
      <c r="AS360" t="s">
        <v>6927</v>
      </c>
      <c r="AT360" t="s">
        <v>5910</v>
      </c>
      <c r="AU360">
        <v>2010</v>
      </c>
      <c r="AV360">
        <v>119</v>
      </c>
      <c r="AW360">
        <v>1</v>
      </c>
      <c r="AX360" t="s">
        <v>74</v>
      </c>
      <c r="AY360" t="s">
        <v>74</v>
      </c>
      <c r="AZ360" t="s">
        <v>74</v>
      </c>
      <c r="BA360" t="s">
        <v>74</v>
      </c>
      <c r="BB360">
        <v>41</v>
      </c>
      <c r="BC360">
        <v>49</v>
      </c>
      <c r="BD360" t="s">
        <v>74</v>
      </c>
      <c r="BE360" t="s">
        <v>6928</v>
      </c>
      <c r="BF360" t="str">
        <f>HYPERLINK("http://dx.doi.org/10.1007/s12040-010-0006-9","http://dx.doi.org/10.1007/s12040-010-0006-9")</f>
        <v>http://dx.doi.org/10.1007/s12040-010-0006-9</v>
      </c>
      <c r="BG360" t="s">
        <v>74</v>
      </c>
      <c r="BH360" t="s">
        <v>74</v>
      </c>
      <c r="BI360">
        <v>9</v>
      </c>
      <c r="BJ360" t="s">
        <v>6929</v>
      </c>
      <c r="BK360" t="s">
        <v>102</v>
      </c>
      <c r="BL360" t="s">
        <v>6930</v>
      </c>
      <c r="BM360" t="s">
        <v>6931</v>
      </c>
      <c r="BN360" t="s">
        <v>74</v>
      </c>
      <c r="BO360" t="s">
        <v>104</v>
      </c>
      <c r="BP360" t="s">
        <v>74</v>
      </c>
      <c r="BQ360" t="s">
        <v>74</v>
      </c>
      <c r="BR360" t="s">
        <v>105</v>
      </c>
      <c r="BS360" t="s">
        <v>6932</v>
      </c>
      <c r="BT360" t="str">
        <f>HYPERLINK("https%3A%2F%2Fwww.webofscience.com%2Fwos%2Fwoscc%2Ffull-record%2FWOS:000275163900004","View Full Record in Web of Science")</f>
        <v>View Full Record in Web of Science</v>
      </c>
    </row>
    <row r="361" spans="1:72" x14ac:dyDescent="0.15">
      <c r="A361" t="s">
        <v>72</v>
      </c>
      <c r="B361" t="s">
        <v>6933</v>
      </c>
      <c r="C361" t="s">
        <v>74</v>
      </c>
      <c r="D361" t="s">
        <v>74</v>
      </c>
      <c r="E361" t="s">
        <v>74</v>
      </c>
      <c r="F361" t="s">
        <v>6934</v>
      </c>
      <c r="G361" t="s">
        <v>74</v>
      </c>
      <c r="H361" t="s">
        <v>74</v>
      </c>
      <c r="I361" t="s">
        <v>6935</v>
      </c>
      <c r="J361" t="s">
        <v>6936</v>
      </c>
      <c r="K361" t="s">
        <v>74</v>
      </c>
      <c r="L361" t="s">
        <v>74</v>
      </c>
      <c r="M361" t="s">
        <v>78</v>
      </c>
      <c r="N361" t="s">
        <v>79</v>
      </c>
      <c r="O361" t="s">
        <v>74</v>
      </c>
      <c r="P361" t="s">
        <v>74</v>
      </c>
      <c r="Q361" t="s">
        <v>74</v>
      </c>
      <c r="R361" t="s">
        <v>74</v>
      </c>
      <c r="S361" t="s">
        <v>74</v>
      </c>
      <c r="T361" t="s">
        <v>6937</v>
      </c>
      <c r="U361" t="s">
        <v>6938</v>
      </c>
      <c r="V361" t="s">
        <v>6939</v>
      </c>
      <c r="W361" t="s">
        <v>6940</v>
      </c>
      <c r="X361" t="s">
        <v>2435</v>
      </c>
      <c r="Y361" t="s">
        <v>6941</v>
      </c>
      <c r="Z361" t="s">
        <v>6942</v>
      </c>
      <c r="AA361" t="s">
        <v>6943</v>
      </c>
      <c r="AB361" t="s">
        <v>6944</v>
      </c>
      <c r="AC361" t="s">
        <v>6945</v>
      </c>
      <c r="AD361" t="s">
        <v>6945</v>
      </c>
      <c r="AE361" t="s">
        <v>6946</v>
      </c>
      <c r="AF361" t="s">
        <v>74</v>
      </c>
      <c r="AG361">
        <v>87</v>
      </c>
      <c r="AH361">
        <v>11</v>
      </c>
      <c r="AI361">
        <v>12</v>
      </c>
      <c r="AJ361">
        <v>0</v>
      </c>
      <c r="AK361">
        <v>31</v>
      </c>
      <c r="AL361" t="s">
        <v>991</v>
      </c>
      <c r="AM361" t="s">
        <v>992</v>
      </c>
      <c r="AN361" t="s">
        <v>993</v>
      </c>
      <c r="AO361" t="s">
        <v>6947</v>
      </c>
      <c r="AP361" t="s">
        <v>6948</v>
      </c>
      <c r="AQ361" t="s">
        <v>74</v>
      </c>
      <c r="AR361" t="s">
        <v>6949</v>
      </c>
      <c r="AS361" t="s">
        <v>6950</v>
      </c>
      <c r="AT361" t="s">
        <v>5910</v>
      </c>
      <c r="AU361">
        <v>2010</v>
      </c>
      <c r="AV361">
        <v>76</v>
      </c>
      <c r="AW361">
        <v>2</v>
      </c>
      <c r="AX361" t="s">
        <v>74</v>
      </c>
      <c r="AY361" t="s">
        <v>74</v>
      </c>
      <c r="AZ361" t="s">
        <v>74</v>
      </c>
      <c r="BA361" t="s">
        <v>74</v>
      </c>
      <c r="BB361">
        <v>301</v>
      </c>
      <c r="BC361">
        <v>318</v>
      </c>
      <c r="BD361" t="s">
        <v>74</v>
      </c>
      <c r="BE361" t="s">
        <v>6951</v>
      </c>
      <c r="BF361" t="str">
        <f>HYPERLINK("http://dx.doi.org/10.1111/j.1095-8649.2009.02528.x","http://dx.doi.org/10.1111/j.1095-8649.2009.02528.x")</f>
        <v>http://dx.doi.org/10.1111/j.1095-8649.2009.02528.x</v>
      </c>
      <c r="BG361" t="s">
        <v>74</v>
      </c>
      <c r="BH361" t="s">
        <v>74</v>
      </c>
      <c r="BI361">
        <v>18</v>
      </c>
      <c r="BJ361" t="s">
        <v>1661</v>
      </c>
      <c r="BK361" t="s">
        <v>102</v>
      </c>
      <c r="BL361" t="s">
        <v>1661</v>
      </c>
      <c r="BM361" t="s">
        <v>6952</v>
      </c>
      <c r="BN361">
        <v>20738709</v>
      </c>
      <c r="BO361" t="s">
        <v>74</v>
      </c>
      <c r="BP361" t="s">
        <v>74</v>
      </c>
      <c r="BQ361" t="s">
        <v>74</v>
      </c>
      <c r="BR361" t="s">
        <v>105</v>
      </c>
      <c r="BS361" t="s">
        <v>6953</v>
      </c>
      <c r="BT361" t="str">
        <f>HYPERLINK("https%3A%2F%2Fwww.webofscience.com%2Fwos%2Fwoscc%2Ffull-record%2FWOS:000274550900001","View Full Record in Web of Science")</f>
        <v>View Full Record in Web of Science</v>
      </c>
    </row>
    <row r="362" spans="1:72" x14ac:dyDescent="0.15">
      <c r="A362" t="s">
        <v>72</v>
      </c>
      <c r="B362" t="s">
        <v>6954</v>
      </c>
      <c r="C362" t="s">
        <v>74</v>
      </c>
      <c r="D362" t="s">
        <v>74</v>
      </c>
      <c r="E362" t="s">
        <v>74</v>
      </c>
      <c r="F362" t="s">
        <v>6955</v>
      </c>
      <c r="G362" t="s">
        <v>74</v>
      </c>
      <c r="H362" t="s">
        <v>74</v>
      </c>
      <c r="I362" t="s">
        <v>6956</v>
      </c>
      <c r="J362" t="s">
        <v>6957</v>
      </c>
      <c r="K362" t="s">
        <v>74</v>
      </c>
      <c r="L362" t="s">
        <v>74</v>
      </c>
      <c r="M362" t="s">
        <v>78</v>
      </c>
      <c r="N362" t="s">
        <v>79</v>
      </c>
      <c r="O362" t="s">
        <v>74</v>
      </c>
      <c r="P362" t="s">
        <v>74</v>
      </c>
      <c r="Q362" t="s">
        <v>74</v>
      </c>
      <c r="R362" t="s">
        <v>74</v>
      </c>
      <c r="S362" t="s">
        <v>74</v>
      </c>
      <c r="T362" t="s">
        <v>6958</v>
      </c>
      <c r="U362" t="s">
        <v>6959</v>
      </c>
      <c r="V362" t="s">
        <v>6960</v>
      </c>
      <c r="W362" t="s">
        <v>6961</v>
      </c>
      <c r="X362" t="s">
        <v>6962</v>
      </c>
      <c r="Y362" t="s">
        <v>6963</v>
      </c>
      <c r="Z362" t="s">
        <v>74</v>
      </c>
      <c r="AA362" t="s">
        <v>6964</v>
      </c>
      <c r="AB362" t="s">
        <v>6965</v>
      </c>
      <c r="AC362" t="s">
        <v>6966</v>
      </c>
      <c r="AD362" t="s">
        <v>6966</v>
      </c>
      <c r="AE362" t="s">
        <v>6967</v>
      </c>
      <c r="AF362" t="s">
        <v>74</v>
      </c>
      <c r="AG362">
        <v>45</v>
      </c>
      <c r="AH362">
        <v>32</v>
      </c>
      <c r="AI362">
        <v>33</v>
      </c>
      <c r="AJ362">
        <v>0</v>
      </c>
      <c r="AK362">
        <v>25</v>
      </c>
      <c r="AL362" t="s">
        <v>1795</v>
      </c>
      <c r="AM362" t="s">
        <v>1796</v>
      </c>
      <c r="AN362" t="s">
        <v>1797</v>
      </c>
      <c r="AO362" t="s">
        <v>6968</v>
      </c>
      <c r="AP362" t="s">
        <v>6969</v>
      </c>
      <c r="AQ362" t="s">
        <v>74</v>
      </c>
      <c r="AR362" t="s">
        <v>6970</v>
      </c>
      <c r="AS362" t="s">
        <v>6971</v>
      </c>
      <c r="AT362" t="s">
        <v>5910</v>
      </c>
      <c r="AU362">
        <v>2010</v>
      </c>
      <c r="AV362">
        <v>91</v>
      </c>
      <c r="AW362">
        <v>1</v>
      </c>
      <c r="AX362" t="s">
        <v>74</v>
      </c>
      <c r="AY362" t="s">
        <v>74</v>
      </c>
      <c r="AZ362" t="s">
        <v>74</v>
      </c>
      <c r="BA362" t="s">
        <v>74</v>
      </c>
      <c r="BB362">
        <v>165</v>
      </c>
      <c r="BC362">
        <v>176</v>
      </c>
      <c r="BD362" t="s">
        <v>74</v>
      </c>
      <c r="BE362" t="s">
        <v>6972</v>
      </c>
      <c r="BF362" t="str">
        <f>HYPERLINK("http://dx.doi.org/10.1644/09-MAMM-A-110R.1","http://dx.doi.org/10.1644/09-MAMM-A-110R.1")</f>
        <v>http://dx.doi.org/10.1644/09-MAMM-A-110R.1</v>
      </c>
      <c r="BG362" t="s">
        <v>74</v>
      </c>
      <c r="BH362" t="s">
        <v>74</v>
      </c>
      <c r="BI362">
        <v>12</v>
      </c>
      <c r="BJ362" t="s">
        <v>281</v>
      </c>
      <c r="BK362" t="s">
        <v>102</v>
      </c>
      <c r="BL362" t="s">
        <v>281</v>
      </c>
      <c r="BM362" t="s">
        <v>6973</v>
      </c>
      <c r="BN362" t="s">
        <v>74</v>
      </c>
      <c r="BO362" t="s">
        <v>104</v>
      </c>
      <c r="BP362" t="s">
        <v>74</v>
      </c>
      <c r="BQ362" t="s">
        <v>74</v>
      </c>
      <c r="BR362" t="s">
        <v>105</v>
      </c>
      <c r="BS362" t="s">
        <v>6974</v>
      </c>
      <c r="BT362" t="str">
        <f>HYPERLINK("https%3A%2F%2Fwww.webofscience.com%2Fwos%2Fwoscc%2Ffull-record%2FWOS:000274929300018","View Full Record in Web of Science")</f>
        <v>View Full Record in Web of Science</v>
      </c>
    </row>
    <row r="363" spans="1:72" x14ac:dyDescent="0.15">
      <c r="A363" t="s">
        <v>72</v>
      </c>
      <c r="B363" t="s">
        <v>6975</v>
      </c>
      <c r="C363" t="s">
        <v>74</v>
      </c>
      <c r="D363" t="s">
        <v>74</v>
      </c>
      <c r="E363" t="s">
        <v>74</v>
      </c>
      <c r="F363" t="s">
        <v>6976</v>
      </c>
      <c r="G363" t="s">
        <v>74</v>
      </c>
      <c r="H363" t="s">
        <v>74</v>
      </c>
      <c r="I363" t="s">
        <v>6977</v>
      </c>
      <c r="J363" t="s">
        <v>6978</v>
      </c>
      <c r="K363" t="s">
        <v>74</v>
      </c>
      <c r="L363" t="s">
        <v>74</v>
      </c>
      <c r="M363" t="s">
        <v>78</v>
      </c>
      <c r="N363" t="s">
        <v>79</v>
      </c>
      <c r="O363" t="s">
        <v>74</v>
      </c>
      <c r="P363" t="s">
        <v>74</v>
      </c>
      <c r="Q363" t="s">
        <v>74</v>
      </c>
      <c r="R363" t="s">
        <v>74</v>
      </c>
      <c r="S363" t="s">
        <v>74</v>
      </c>
      <c r="T363" t="s">
        <v>6979</v>
      </c>
      <c r="U363" t="s">
        <v>6980</v>
      </c>
      <c r="V363" t="s">
        <v>6981</v>
      </c>
      <c r="W363" t="s">
        <v>6982</v>
      </c>
      <c r="X363" t="s">
        <v>6983</v>
      </c>
      <c r="Y363" t="s">
        <v>6984</v>
      </c>
      <c r="Z363" t="s">
        <v>6985</v>
      </c>
      <c r="AA363" t="s">
        <v>74</v>
      </c>
      <c r="AB363" t="s">
        <v>74</v>
      </c>
      <c r="AC363" t="s">
        <v>74</v>
      </c>
      <c r="AD363" t="s">
        <v>74</v>
      </c>
      <c r="AE363" t="s">
        <v>74</v>
      </c>
      <c r="AF363" t="s">
        <v>74</v>
      </c>
      <c r="AG363">
        <v>131</v>
      </c>
      <c r="AH363">
        <v>25</v>
      </c>
      <c r="AI363">
        <v>29</v>
      </c>
      <c r="AJ363">
        <v>0</v>
      </c>
      <c r="AK363">
        <v>13</v>
      </c>
      <c r="AL363" t="s">
        <v>6986</v>
      </c>
      <c r="AM363" t="s">
        <v>6987</v>
      </c>
      <c r="AN363" t="s">
        <v>6988</v>
      </c>
      <c r="AO363" t="s">
        <v>6989</v>
      </c>
      <c r="AP363" t="s">
        <v>74</v>
      </c>
      <c r="AQ363" t="s">
        <v>74</v>
      </c>
      <c r="AR363" t="s">
        <v>6990</v>
      </c>
      <c r="AS363" t="s">
        <v>6991</v>
      </c>
      <c r="AT363" t="s">
        <v>5910</v>
      </c>
      <c r="AU363">
        <v>2010</v>
      </c>
      <c r="AV363">
        <v>18</v>
      </c>
      <c r="AW363">
        <v>1</v>
      </c>
      <c r="AX363" t="s">
        <v>74</v>
      </c>
      <c r="AY363" t="s">
        <v>74</v>
      </c>
      <c r="AZ363" t="s">
        <v>74</v>
      </c>
      <c r="BA363" t="s">
        <v>74</v>
      </c>
      <c r="BB363">
        <v>112</v>
      </c>
      <c r="BC363">
        <v>121</v>
      </c>
      <c r="BD363" t="s">
        <v>74</v>
      </c>
      <c r="BE363" t="s">
        <v>74</v>
      </c>
      <c r="BF363" t="s">
        <v>74</v>
      </c>
      <c r="BG363" t="s">
        <v>74</v>
      </c>
      <c r="BH363" t="s">
        <v>74</v>
      </c>
      <c r="BI363">
        <v>10</v>
      </c>
      <c r="BJ363" t="s">
        <v>6992</v>
      </c>
      <c r="BK363" t="s">
        <v>102</v>
      </c>
      <c r="BL363" t="s">
        <v>6993</v>
      </c>
      <c r="BM363" t="s">
        <v>6994</v>
      </c>
      <c r="BN363" t="s">
        <v>74</v>
      </c>
      <c r="BO363" t="s">
        <v>74</v>
      </c>
      <c r="BP363" t="s">
        <v>74</v>
      </c>
      <c r="BQ363" t="s">
        <v>74</v>
      </c>
      <c r="BR363" t="s">
        <v>105</v>
      </c>
      <c r="BS363" t="s">
        <v>6995</v>
      </c>
      <c r="BT363" t="str">
        <f>HYPERLINK("https%3A%2F%2Fwww.webofscience.com%2Fwos%2Fwoscc%2Ffull-record%2FWOS:000275033600014","View Full Record in Web of Science")</f>
        <v>View Full Record in Web of Science</v>
      </c>
    </row>
    <row r="364" spans="1:72" x14ac:dyDescent="0.15">
      <c r="A364" t="s">
        <v>72</v>
      </c>
      <c r="B364" t="s">
        <v>6996</v>
      </c>
      <c r="C364" t="s">
        <v>74</v>
      </c>
      <c r="D364" t="s">
        <v>74</v>
      </c>
      <c r="E364" t="s">
        <v>74</v>
      </c>
      <c r="F364" t="s">
        <v>6997</v>
      </c>
      <c r="G364" t="s">
        <v>74</v>
      </c>
      <c r="H364" t="s">
        <v>74</v>
      </c>
      <c r="I364" t="s">
        <v>6998</v>
      </c>
      <c r="J364" t="s">
        <v>6999</v>
      </c>
      <c r="K364" t="s">
        <v>74</v>
      </c>
      <c r="L364" t="s">
        <v>74</v>
      </c>
      <c r="M364" t="s">
        <v>78</v>
      </c>
      <c r="N364" t="s">
        <v>79</v>
      </c>
      <c r="O364" t="s">
        <v>74</v>
      </c>
      <c r="P364" t="s">
        <v>74</v>
      </c>
      <c r="Q364" t="s">
        <v>74</v>
      </c>
      <c r="R364" t="s">
        <v>74</v>
      </c>
      <c r="S364" t="s">
        <v>74</v>
      </c>
      <c r="T364" t="s">
        <v>74</v>
      </c>
      <c r="U364" t="s">
        <v>7000</v>
      </c>
      <c r="V364" t="s">
        <v>7001</v>
      </c>
      <c r="W364" t="s">
        <v>7002</v>
      </c>
      <c r="X364" t="s">
        <v>7003</v>
      </c>
      <c r="Y364" t="s">
        <v>7004</v>
      </c>
      <c r="Z364" t="s">
        <v>7005</v>
      </c>
      <c r="AA364" t="s">
        <v>7006</v>
      </c>
      <c r="AB364" t="s">
        <v>4714</v>
      </c>
      <c r="AC364" t="s">
        <v>7007</v>
      </c>
      <c r="AD364" t="s">
        <v>7008</v>
      </c>
      <c r="AE364" t="s">
        <v>7009</v>
      </c>
      <c r="AF364" t="s">
        <v>74</v>
      </c>
      <c r="AG364">
        <v>37</v>
      </c>
      <c r="AH364">
        <v>11</v>
      </c>
      <c r="AI364">
        <v>11</v>
      </c>
      <c r="AJ364">
        <v>0</v>
      </c>
      <c r="AK364">
        <v>5</v>
      </c>
      <c r="AL364" t="s">
        <v>1508</v>
      </c>
      <c r="AM364" t="s">
        <v>1064</v>
      </c>
      <c r="AN364" t="s">
        <v>1509</v>
      </c>
      <c r="AO364" t="s">
        <v>7010</v>
      </c>
      <c r="AP364" t="s">
        <v>7011</v>
      </c>
      <c r="AQ364" t="s">
        <v>74</v>
      </c>
      <c r="AR364" t="s">
        <v>7012</v>
      </c>
      <c r="AS364" t="s">
        <v>7013</v>
      </c>
      <c r="AT364" t="s">
        <v>5910</v>
      </c>
      <c r="AU364">
        <v>2010</v>
      </c>
      <c r="AV364">
        <v>76</v>
      </c>
      <c r="AW364" t="s">
        <v>74</v>
      </c>
      <c r="AX364">
        <v>1</v>
      </c>
      <c r="AY364" t="s">
        <v>74</v>
      </c>
      <c r="AZ364" t="s">
        <v>74</v>
      </c>
      <c r="BA364" t="s">
        <v>74</v>
      </c>
      <c r="BB364">
        <v>57</v>
      </c>
      <c r="BC364">
        <v>66</v>
      </c>
      <c r="BD364" t="s">
        <v>74</v>
      </c>
      <c r="BE364" t="s">
        <v>7014</v>
      </c>
      <c r="BF364" t="str">
        <f>HYPERLINK("http://dx.doi.org/10.1093/mollus/eyp046","http://dx.doi.org/10.1093/mollus/eyp046")</f>
        <v>http://dx.doi.org/10.1093/mollus/eyp046</v>
      </c>
      <c r="BG364" t="s">
        <v>74</v>
      </c>
      <c r="BH364" t="s">
        <v>74</v>
      </c>
      <c r="BI364">
        <v>10</v>
      </c>
      <c r="BJ364" t="s">
        <v>2318</v>
      </c>
      <c r="BK364" t="s">
        <v>102</v>
      </c>
      <c r="BL364" t="s">
        <v>2318</v>
      </c>
      <c r="BM364" t="s">
        <v>7015</v>
      </c>
      <c r="BN364" t="s">
        <v>74</v>
      </c>
      <c r="BO364" t="s">
        <v>74</v>
      </c>
      <c r="BP364" t="s">
        <v>74</v>
      </c>
      <c r="BQ364" t="s">
        <v>74</v>
      </c>
      <c r="BR364" t="s">
        <v>105</v>
      </c>
      <c r="BS364" t="s">
        <v>7016</v>
      </c>
      <c r="BT364" t="str">
        <f>HYPERLINK("https%3A%2F%2Fwww.webofscience.com%2Fwos%2Fwoscc%2Ffull-record%2FWOS:000273892900006","View Full Record in Web of Science")</f>
        <v>View Full Record in Web of Science</v>
      </c>
    </row>
    <row r="365" spans="1:72" x14ac:dyDescent="0.15">
      <c r="A365" t="s">
        <v>72</v>
      </c>
      <c r="B365" t="s">
        <v>7017</v>
      </c>
      <c r="C365" t="s">
        <v>74</v>
      </c>
      <c r="D365" t="s">
        <v>74</v>
      </c>
      <c r="E365" t="s">
        <v>74</v>
      </c>
      <c r="F365" t="s">
        <v>7018</v>
      </c>
      <c r="G365" t="s">
        <v>74</v>
      </c>
      <c r="H365" t="s">
        <v>74</v>
      </c>
      <c r="I365" t="s">
        <v>7019</v>
      </c>
      <c r="J365" t="s">
        <v>7020</v>
      </c>
      <c r="K365" t="s">
        <v>74</v>
      </c>
      <c r="L365" t="s">
        <v>74</v>
      </c>
      <c r="M365" t="s">
        <v>78</v>
      </c>
      <c r="N365" t="s">
        <v>79</v>
      </c>
      <c r="O365" t="s">
        <v>74</v>
      </c>
      <c r="P365" t="s">
        <v>74</v>
      </c>
      <c r="Q365" t="s">
        <v>74</v>
      </c>
      <c r="R365" t="s">
        <v>74</v>
      </c>
      <c r="S365" t="s">
        <v>74</v>
      </c>
      <c r="T365" t="s">
        <v>7021</v>
      </c>
      <c r="U365" t="s">
        <v>7022</v>
      </c>
      <c r="V365" t="s">
        <v>7023</v>
      </c>
      <c r="W365" t="s">
        <v>7024</v>
      </c>
      <c r="X365" t="s">
        <v>7025</v>
      </c>
      <c r="Y365" t="s">
        <v>7026</v>
      </c>
      <c r="Z365" t="s">
        <v>7027</v>
      </c>
      <c r="AA365" t="s">
        <v>74</v>
      </c>
      <c r="AB365" t="s">
        <v>7028</v>
      </c>
      <c r="AC365" t="s">
        <v>74</v>
      </c>
      <c r="AD365" t="s">
        <v>74</v>
      </c>
      <c r="AE365" t="s">
        <v>74</v>
      </c>
      <c r="AF365" t="s">
        <v>74</v>
      </c>
      <c r="AG365">
        <v>20</v>
      </c>
      <c r="AH365">
        <v>76</v>
      </c>
      <c r="AI365">
        <v>87</v>
      </c>
      <c r="AJ365">
        <v>3</v>
      </c>
      <c r="AK365">
        <v>18</v>
      </c>
      <c r="AL365" t="s">
        <v>7029</v>
      </c>
      <c r="AM365" t="s">
        <v>2418</v>
      </c>
      <c r="AN365" t="s">
        <v>7030</v>
      </c>
      <c r="AO365" t="s">
        <v>7031</v>
      </c>
      <c r="AP365" t="s">
        <v>74</v>
      </c>
      <c r="AQ365" t="s">
        <v>74</v>
      </c>
      <c r="AR365" t="s">
        <v>7032</v>
      </c>
      <c r="AS365" t="s">
        <v>7033</v>
      </c>
      <c r="AT365" t="s">
        <v>5910</v>
      </c>
      <c r="AU365">
        <v>2010</v>
      </c>
      <c r="AV365">
        <v>101</v>
      </c>
      <c r="AW365">
        <v>2</v>
      </c>
      <c r="AX365" t="s">
        <v>74</v>
      </c>
      <c r="AY365" t="s">
        <v>74</v>
      </c>
      <c r="AZ365" t="s">
        <v>152</v>
      </c>
      <c r="BA365" t="s">
        <v>74</v>
      </c>
      <c r="BB365">
        <v>409</v>
      </c>
      <c r="BC365">
        <v>418</v>
      </c>
      <c r="BD365" t="s">
        <v>74</v>
      </c>
      <c r="BE365" t="s">
        <v>7034</v>
      </c>
      <c r="BF365" t="str">
        <f>HYPERLINK("http://dx.doi.org/10.1016/j.jmva.2009.03.005","http://dx.doi.org/10.1016/j.jmva.2009.03.005")</f>
        <v>http://dx.doi.org/10.1016/j.jmva.2009.03.005</v>
      </c>
      <c r="BG365" t="s">
        <v>74</v>
      </c>
      <c r="BH365" t="s">
        <v>74</v>
      </c>
      <c r="BI365">
        <v>10</v>
      </c>
      <c r="BJ365" t="s">
        <v>7035</v>
      </c>
      <c r="BK365" t="s">
        <v>102</v>
      </c>
      <c r="BL365" t="s">
        <v>7036</v>
      </c>
      <c r="BM365" t="s">
        <v>7037</v>
      </c>
      <c r="BN365" t="s">
        <v>74</v>
      </c>
      <c r="BO365" t="s">
        <v>3033</v>
      </c>
      <c r="BP365" t="s">
        <v>74</v>
      </c>
      <c r="BQ365" t="s">
        <v>74</v>
      </c>
      <c r="BR365" t="s">
        <v>105</v>
      </c>
      <c r="BS365" t="s">
        <v>7038</v>
      </c>
      <c r="BT365" t="str">
        <f>HYPERLINK("https%3A%2F%2Fwww.webofscience.com%2Fwos%2Fwoscc%2Ffull-record%2FWOS:000272526300011","View Full Record in Web of Science")</f>
        <v>View Full Record in Web of Science</v>
      </c>
    </row>
    <row r="366" spans="1:72" x14ac:dyDescent="0.15">
      <c r="A366" t="s">
        <v>72</v>
      </c>
      <c r="B366" t="s">
        <v>7039</v>
      </c>
      <c r="C366" t="s">
        <v>74</v>
      </c>
      <c r="D366" t="s">
        <v>74</v>
      </c>
      <c r="E366" t="s">
        <v>74</v>
      </c>
      <c r="F366" t="s">
        <v>7040</v>
      </c>
      <c r="G366" t="s">
        <v>74</v>
      </c>
      <c r="H366" t="s">
        <v>74</v>
      </c>
      <c r="I366" t="s">
        <v>7041</v>
      </c>
      <c r="J366" t="s">
        <v>2034</v>
      </c>
      <c r="K366" t="s">
        <v>74</v>
      </c>
      <c r="L366" t="s">
        <v>74</v>
      </c>
      <c r="M366" t="s">
        <v>78</v>
      </c>
      <c r="N366" t="s">
        <v>79</v>
      </c>
      <c r="O366" t="s">
        <v>74</v>
      </c>
      <c r="P366" t="s">
        <v>74</v>
      </c>
      <c r="Q366" t="s">
        <v>74</v>
      </c>
      <c r="R366" t="s">
        <v>74</v>
      </c>
      <c r="S366" t="s">
        <v>74</v>
      </c>
      <c r="T366" t="s">
        <v>7042</v>
      </c>
      <c r="U366" t="s">
        <v>7043</v>
      </c>
      <c r="V366" t="s">
        <v>7044</v>
      </c>
      <c r="W366" t="s">
        <v>7045</v>
      </c>
      <c r="X366" t="s">
        <v>7046</v>
      </c>
      <c r="Y366" t="s">
        <v>7047</v>
      </c>
      <c r="Z366" t="s">
        <v>7048</v>
      </c>
      <c r="AA366" t="s">
        <v>7049</v>
      </c>
      <c r="AB366" t="s">
        <v>7050</v>
      </c>
      <c r="AC366" t="s">
        <v>74</v>
      </c>
      <c r="AD366" t="s">
        <v>74</v>
      </c>
      <c r="AE366" t="s">
        <v>74</v>
      </c>
      <c r="AF366" t="s">
        <v>74</v>
      </c>
      <c r="AG366">
        <v>35</v>
      </c>
      <c r="AH366">
        <v>9</v>
      </c>
      <c r="AI366">
        <v>9</v>
      </c>
      <c r="AJ366">
        <v>0</v>
      </c>
      <c r="AK366">
        <v>9</v>
      </c>
      <c r="AL366" t="s">
        <v>813</v>
      </c>
      <c r="AM366" t="s">
        <v>814</v>
      </c>
      <c r="AN366" t="s">
        <v>815</v>
      </c>
      <c r="AO366" t="s">
        <v>2046</v>
      </c>
      <c r="AP366" t="s">
        <v>74</v>
      </c>
      <c r="AQ366" t="s">
        <v>74</v>
      </c>
      <c r="AR366" t="s">
        <v>2047</v>
      </c>
      <c r="AS366" t="s">
        <v>2048</v>
      </c>
      <c r="AT366" t="s">
        <v>5910</v>
      </c>
      <c r="AU366">
        <v>2010</v>
      </c>
      <c r="AV366">
        <v>66</v>
      </c>
      <c r="AW366">
        <v>1</v>
      </c>
      <c r="AX366" t="s">
        <v>74</v>
      </c>
      <c r="AY366" t="s">
        <v>74</v>
      </c>
      <c r="AZ366" t="s">
        <v>74</v>
      </c>
      <c r="BA366" t="s">
        <v>74</v>
      </c>
      <c r="BB366">
        <v>95</v>
      </c>
      <c r="BC366">
        <v>104</v>
      </c>
      <c r="BD366" t="s">
        <v>74</v>
      </c>
      <c r="BE366" t="s">
        <v>7051</v>
      </c>
      <c r="BF366" t="str">
        <f>HYPERLINK("http://dx.doi.org/10.1007/s10872-010-0008-x","http://dx.doi.org/10.1007/s10872-010-0008-x")</f>
        <v>http://dx.doi.org/10.1007/s10872-010-0008-x</v>
      </c>
      <c r="BG366" t="s">
        <v>74</v>
      </c>
      <c r="BH366" t="s">
        <v>74</v>
      </c>
      <c r="BI366">
        <v>10</v>
      </c>
      <c r="BJ366" t="s">
        <v>101</v>
      </c>
      <c r="BK366" t="s">
        <v>102</v>
      </c>
      <c r="BL366" t="s">
        <v>101</v>
      </c>
      <c r="BM366" t="s">
        <v>7052</v>
      </c>
      <c r="BN366" t="s">
        <v>74</v>
      </c>
      <c r="BO366" t="s">
        <v>74</v>
      </c>
      <c r="BP366" t="s">
        <v>74</v>
      </c>
      <c r="BQ366" t="s">
        <v>74</v>
      </c>
      <c r="BR366" t="s">
        <v>105</v>
      </c>
      <c r="BS366" t="s">
        <v>7053</v>
      </c>
      <c r="BT366" t="str">
        <f>HYPERLINK("https%3A%2F%2Fwww.webofscience.com%2Fwos%2Fwoscc%2Ffull-record%2FWOS:000273207400008","View Full Record in Web of Science")</f>
        <v>View Full Record in Web of Science</v>
      </c>
    </row>
    <row r="367" spans="1:72" x14ac:dyDescent="0.15">
      <c r="A367" t="s">
        <v>72</v>
      </c>
      <c r="B367" t="s">
        <v>7054</v>
      </c>
      <c r="C367" t="s">
        <v>74</v>
      </c>
      <c r="D367" t="s">
        <v>74</v>
      </c>
      <c r="E367" t="s">
        <v>74</v>
      </c>
      <c r="F367" t="s">
        <v>7055</v>
      </c>
      <c r="G367" t="s">
        <v>74</v>
      </c>
      <c r="H367" t="s">
        <v>74</v>
      </c>
      <c r="I367" t="s">
        <v>7056</v>
      </c>
      <c r="J367" t="s">
        <v>2034</v>
      </c>
      <c r="K367" t="s">
        <v>74</v>
      </c>
      <c r="L367" t="s">
        <v>74</v>
      </c>
      <c r="M367" t="s">
        <v>78</v>
      </c>
      <c r="N367" t="s">
        <v>79</v>
      </c>
      <c r="O367" t="s">
        <v>74</v>
      </c>
      <c r="P367" t="s">
        <v>74</v>
      </c>
      <c r="Q367" t="s">
        <v>74</v>
      </c>
      <c r="R367" t="s">
        <v>74</v>
      </c>
      <c r="S367" t="s">
        <v>74</v>
      </c>
      <c r="T367" t="s">
        <v>7057</v>
      </c>
      <c r="U367" t="s">
        <v>7058</v>
      </c>
      <c r="V367" t="s">
        <v>7059</v>
      </c>
      <c r="W367" t="s">
        <v>7060</v>
      </c>
      <c r="X367" t="s">
        <v>7061</v>
      </c>
      <c r="Y367" t="s">
        <v>7062</v>
      </c>
      <c r="Z367" t="s">
        <v>7063</v>
      </c>
      <c r="AA367" t="s">
        <v>74</v>
      </c>
      <c r="AB367" t="s">
        <v>6921</v>
      </c>
      <c r="AC367" t="s">
        <v>7064</v>
      </c>
      <c r="AD367" t="s">
        <v>7065</v>
      </c>
      <c r="AE367" t="s">
        <v>7066</v>
      </c>
      <c r="AF367" t="s">
        <v>74</v>
      </c>
      <c r="AG367">
        <v>68</v>
      </c>
      <c r="AH367">
        <v>31</v>
      </c>
      <c r="AI367">
        <v>38</v>
      </c>
      <c r="AJ367">
        <v>0</v>
      </c>
      <c r="AK367">
        <v>14</v>
      </c>
      <c r="AL367" t="s">
        <v>813</v>
      </c>
      <c r="AM367" t="s">
        <v>814</v>
      </c>
      <c r="AN367" t="s">
        <v>815</v>
      </c>
      <c r="AO367" t="s">
        <v>2046</v>
      </c>
      <c r="AP367" t="s">
        <v>7067</v>
      </c>
      <c r="AQ367" t="s">
        <v>74</v>
      </c>
      <c r="AR367" t="s">
        <v>2047</v>
      </c>
      <c r="AS367" t="s">
        <v>2048</v>
      </c>
      <c r="AT367" t="s">
        <v>5910</v>
      </c>
      <c r="AU367">
        <v>2010</v>
      </c>
      <c r="AV367">
        <v>66</v>
      </c>
      <c r="AW367">
        <v>1</v>
      </c>
      <c r="AX367" t="s">
        <v>74</v>
      </c>
      <c r="AY367" t="s">
        <v>74</v>
      </c>
      <c r="AZ367" t="s">
        <v>74</v>
      </c>
      <c r="BA367" t="s">
        <v>74</v>
      </c>
      <c r="BB367">
        <v>133</v>
      </c>
      <c r="BC367">
        <v>146</v>
      </c>
      <c r="BD367" t="s">
        <v>74</v>
      </c>
      <c r="BE367" t="s">
        <v>7068</v>
      </c>
      <c r="BF367" t="str">
        <f>HYPERLINK("http://dx.doi.org/10.1007/s10872-010-0011-2","http://dx.doi.org/10.1007/s10872-010-0011-2")</f>
        <v>http://dx.doi.org/10.1007/s10872-010-0011-2</v>
      </c>
      <c r="BG367" t="s">
        <v>74</v>
      </c>
      <c r="BH367" t="s">
        <v>74</v>
      </c>
      <c r="BI367">
        <v>14</v>
      </c>
      <c r="BJ367" t="s">
        <v>101</v>
      </c>
      <c r="BK367" t="s">
        <v>102</v>
      </c>
      <c r="BL367" t="s">
        <v>101</v>
      </c>
      <c r="BM367" t="s">
        <v>7052</v>
      </c>
      <c r="BN367" t="s">
        <v>74</v>
      </c>
      <c r="BO367" t="s">
        <v>555</v>
      </c>
      <c r="BP367" t="s">
        <v>74</v>
      </c>
      <c r="BQ367" t="s">
        <v>74</v>
      </c>
      <c r="BR367" t="s">
        <v>105</v>
      </c>
      <c r="BS367" t="s">
        <v>7069</v>
      </c>
      <c r="BT367" t="str">
        <f>HYPERLINK("https%3A%2F%2Fwww.webofscience.com%2Fwos%2Fwoscc%2Ffull-record%2FWOS:000273207400011","View Full Record in Web of Science")</f>
        <v>View Full Record in Web of Science</v>
      </c>
    </row>
    <row r="368" spans="1:72" x14ac:dyDescent="0.15">
      <c r="A368" t="s">
        <v>72</v>
      </c>
      <c r="B368" t="s">
        <v>7070</v>
      </c>
      <c r="C368" t="s">
        <v>74</v>
      </c>
      <c r="D368" t="s">
        <v>74</v>
      </c>
      <c r="E368" t="s">
        <v>74</v>
      </c>
      <c r="F368" t="s">
        <v>7071</v>
      </c>
      <c r="G368" t="s">
        <v>74</v>
      </c>
      <c r="H368" t="s">
        <v>74</v>
      </c>
      <c r="I368" t="s">
        <v>7072</v>
      </c>
      <c r="J368" t="s">
        <v>4415</v>
      </c>
      <c r="K368" t="s">
        <v>74</v>
      </c>
      <c r="L368" t="s">
        <v>74</v>
      </c>
      <c r="M368" t="s">
        <v>78</v>
      </c>
      <c r="N368" t="s">
        <v>79</v>
      </c>
      <c r="O368" t="s">
        <v>74</v>
      </c>
      <c r="P368" t="s">
        <v>74</v>
      </c>
      <c r="Q368" t="s">
        <v>74</v>
      </c>
      <c r="R368" t="s">
        <v>74</v>
      </c>
      <c r="S368" t="s">
        <v>74</v>
      </c>
      <c r="T368" t="s">
        <v>74</v>
      </c>
      <c r="U368" t="s">
        <v>7073</v>
      </c>
      <c r="V368" t="s">
        <v>7074</v>
      </c>
      <c r="W368" t="s">
        <v>7075</v>
      </c>
      <c r="X368" t="s">
        <v>399</v>
      </c>
      <c r="Y368" t="s">
        <v>7076</v>
      </c>
      <c r="Z368" t="s">
        <v>7077</v>
      </c>
      <c r="AA368" t="s">
        <v>74</v>
      </c>
      <c r="AB368" t="s">
        <v>74</v>
      </c>
      <c r="AC368" t="s">
        <v>7078</v>
      </c>
      <c r="AD368" t="s">
        <v>7079</v>
      </c>
      <c r="AE368" t="s">
        <v>7080</v>
      </c>
      <c r="AF368" t="s">
        <v>74</v>
      </c>
      <c r="AG368">
        <v>59</v>
      </c>
      <c r="AH368">
        <v>72</v>
      </c>
      <c r="AI368">
        <v>83</v>
      </c>
      <c r="AJ368">
        <v>2</v>
      </c>
      <c r="AK368">
        <v>21</v>
      </c>
      <c r="AL368" t="s">
        <v>1824</v>
      </c>
      <c r="AM368" t="s">
        <v>1825</v>
      </c>
      <c r="AN368" t="s">
        <v>4266</v>
      </c>
      <c r="AO368" t="s">
        <v>4426</v>
      </c>
      <c r="AP368" t="s">
        <v>4427</v>
      </c>
      <c r="AQ368" t="s">
        <v>74</v>
      </c>
      <c r="AR368" t="s">
        <v>4428</v>
      </c>
      <c r="AS368" t="s">
        <v>4429</v>
      </c>
      <c r="AT368" t="s">
        <v>5910</v>
      </c>
      <c r="AU368">
        <v>2010</v>
      </c>
      <c r="AV368">
        <v>40</v>
      </c>
      <c r="AW368">
        <v>2</v>
      </c>
      <c r="AX368" t="s">
        <v>74</v>
      </c>
      <c r="AY368" t="s">
        <v>74</v>
      </c>
      <c r="AZ368" t="s">
        <v>74</v>
      </c>
      <c r="BA368" t="s">
        <v>74</v>
      </c>
      <c r="BB368">
        <v>257</v>
      </c>
      <c r="BC368">
        <v>278</v>
      </c>
      <c r="BD368" t="s">
        <v>74</v>
      </c>
      <c r="BE368" t="s">
        <v>7081</v>
      </c>
      <c r="BF368" t="str">
        <f>HYPERLINK("http://dx.doi.org/10.1175/2009JPO4218.1","http://dx.doi.org/10.1175/2009JPO4218.1")</f>
        <v>http://dx.doi.org/10.1175/2009JPO4218.1</v>
      </c>
      <c r="BG368" t="s">
        <v>74</v>
      </c>
      <c r="BH368" t="s">
        <v>74</v>
      </c>
      <c r="BI368">
        <v>22</v>
      </c>
      <c r="BJ368" t="s">
        <v>101</v>
      </c>
      <c r="BK368" t="s">
        <v>102</v>
      </c>
      <c r="BL368" t="s">
        <v>101</v>
      </c>
      <c r="BM368" t="s">
        <v>7082</v>
      </c>
      <c r="BN368" t="s">
        <v>74</v>
      </c>
      <c r="BO368" t="s">
        <v>346</v>
      </c>
      <c r="BP368" t="s">
        <v>74</v>
      </c>
      <c r="BQ368" t="s">
        <v>74</v>
      </c>
      <c r="BR368" t="s">
        <v>105</v>
      </c>
      <c r="BS368" t="s">
        <v>7083</v>
      </c>
      <c r="BT368" t="str">
        <f>HYPERLINK("https%3A%2F%2Fwww.webofscience.com%2Fwos%2Fwoscc%2Ffull-record%2FWOS:000274330200001","View Full Record in Web of Science")</f>
        <v>View Full Record in Web of Science</v>
      </c>
    </row>
    <row r="369" spans="1:72" x14ac:dyDescent="0.15">
      <c r="A369" t="s">
        <v>72</v>
      </c>
      <c r="B369" t="s">
        <v>7084</v>
      </c>
      <c r="C369" t="s">
        <v>74</v>
      </c>
      <c r="D369" t="s">
        <v>74</v>
      </c>
      <c r="E369" t="s">
        <v>74</v>
      </c>
      <c r="F369" t="s">
        <v>7085</v>
      </c>
      <c r="G369" t="s">
        <v>74</v>
      </c>
      <c r="H369" t="s">
        <v>74</v>
      </c>
      <c r="I369" t="s">
        <v>7086</v>
      </c>
      <c r="J369" t="s">
        <v>4415</v>
      </c>
      <c r="K369" t="s">
        <v>74</v>
      </c>
      <c r="L369" t="s">
        <v>74</v>
      </c>
      <c r="M369" t="s">
        <v>78</v>
      </c>
      <c r="N369" t="s">
        <v>79</v>
      </c>
      <c r="O369" t="s">
        <v>74</v>
      </c>
      <c r="P369" t="s">
        <v>74</v>
      </c>
      <c r="Q369" t="s">
        <v>74</v>
      </c>
      <c r="R369" t="s">
        <v>74</v>
      </c>
      <c r="S369" t="s">
        <v>74</v>
      </c>
      <c r="T369" t="s">
        <v>74</v>
      </c>
      <c r="U369" t="s">
        <v>7087</v>
      </c>
      <c r="V369" t="s">
        <v>7088</v>
      </c>
      <c r="W369" t="s">
        <v>7089</v>
      </c>
      <c r="X369" t="s">
        <v>7090</v>
      </c>
      <c r="Y369" t="s">
        <v>7091</v>
      </c>
      <c r="Z369" t="s">
        <v>7092</v>
      </c>
      <c r="AA369" t="s">
        <v>7093</v>
      </c>
      <c r="AB369" t="s">
        <v>7094</v>
      </c>
      <c r="AC369" t="s">
        <v>7095</v>
      </c>
      <c r="AD369" t="s">
        <v>1972</v>
      </c>
      <c r="AE369" t="s">
        <v>74</v>
      </c>
      <c r="AF369" t="s">
        <v>74</v>
      </c>
      <c r="AG369">
        <v>43</v>
      </c>
      <c r="AH369">
        <v>19</v>
      </c>
      <c r="AI369">
        <v>21</v>
      </c>
      <c r="AJ369">
        <v>1</v>
      </c>
      <c r="AK369">
        <v>11</v>
      </c>
      <c r="AL369" t="s">
        <v>1824</v>
      </c>
      <c r="AM369" t="s">
        <v>1825</v>
      </c>
      <c r="AN369" t="s">
        <v>4266</v>
      </c>
      <c r="AO369" t="s">
        <v>4426</v>
      </c>
      <c r="AP369" t="s">
        <v>4427</v>
      </c>
      <c r="AQ369" t="s">
        <v>74</v>
      </c>
      <c r="AR369" t="s">
        <v>4428</v>
      </c>
      <c r="AS369" t="s">
        <v>4429</v>
      </c>
      <c r="AT369" t="s">
        <v>5910</v>
      </c>
      <c r="AU369">
        <v>2010</v>
      </c>
      <c r="AV369">
        <v>40</v>
      </c>
      <c r="AW369">
        <v>2</v>
      </c>
      <c r="AX369" t="s">
        <v>74</v>
      </c>
      <c r="AY369" t="s">
        <v>74</v>
      </c>
      <c r="AZ369" t="s">
        <v>74</v>
      </c>
      <c r="BA369" t="s">
        <v>74</v>
      </c>
      <c r="BB369">
        <v>326</v>
      </c>
      <c r="BC369">
        <v>339</v>
      </c>
      <c r="BD369" t="s">
        <v>74</v>
      </c>
      <c r="BE369" t="s">
        <v>7096</v>
      </c>
      <c r="BF369" t="str">
        <f>HYPERLINK("http://dx.doi.org/10.1175/2009JPO4240.1","http://dx.doi.org/10.1175/2009JPO4240.1")</f>
        <v>http://dx.doi.org/10.1175/2009JPO4240.1</v>
      </c>
      <c r="BG369" t="s">
        <v>74</v>
      </c>
      <c r="BH369" t="s">
        <v>74</v>
      </c>
      <c r="BI369">
        <v>14</v>
      </c>
      <c r="BJ369" t="s">
        <v>101</v>
      </c>
      <c r="BK369" t="s">
        <v>102</v>
      </c>
      <c r="BL369" t="s">
        <v>101</v>
      </c>
      <c r="BM369" t="s">
        <v>7082</v>
      </c>
      <c r="BN369" t="s">
        <v>74</v>
      </c>
      <c r="BO369" t="s">
        <v>5913</v>
      </c>
      <c r="BP369" t="s">
        <v>74</v>
      </c>
      <c r="BQ369" t="s">
        <v>74</v>
      </c>
      <c r="BR369" t="s">
        <v>105</v>
      </c>
      <c r="BS369" t="s">
        <v>7097</v>
      </c>
      <c r="BT369" t="str">
        <f>HYPERLINK("https%3A%2F%2Fwww.webofscience.com%2Fwos%2Fwoscc%2Ffull-record%2FWOS:000274330200005","View Full Record in Web of Science")</f>
        <v>View Full Record in Web of Science</v>
      </c>
    </row>
    <row r="370" spans="1:72" x14ac:dyDescent="0.15">
      <c r="A370" t="s">
        <v>72</v>
      </c>
      <c r="B370" t="s">
        <v>7098</v>
      </c>
      <c r="C370" t="s">
        <v>74</v>
      </c>
      <c r="D370" t="s">
        <v>74</v>
      </c>
      <c r="E370" t="s">
        <v>74</v>
      </c>
      <c r="F370" t="s">
        <v>7099</v>
      </c>
      <c r="G370" t="s">
        <v>74</v>
      </c>
      <c r="H370" t="s">
        <v>74</v>
      </c>
      <c r="I370" t="s">
        <v>7100</v>
      </c>
      <c r="J370" t="s">
        <v>4415</v>
      </c>
      <c r="K370" t="s">
        <v>74</v>
      </c>
      <c r="L370" t="s">
        <v>74</v>
      </c>
      <c r="M370" t="s">
        <v>78</v>
      </c>
      <c r="N370" t="s">
        <v>79</v>
      </c>
      <c r="O370" t="s">
        <v>74</v>
      </c>
      <c r="P370" t="s">
        <v>74</v>
      </c>
      <c r="Q370" t="s">
        <v>74</v>
      </c>
      <c r="R370" t="s">
        <v>74</v>
      </c>
      <c r="S370" t="s">
        <v>74</v>
      </c>
      <c r="T370" t="s">
        <v>74</v>
      </c>
      <c r="U370" t="s">
        <v>7101</v>
      </c>
      <c r="V370" t="s">
        <v>7102</v>
      </c>
      <c r="W370" t="s">
        <v>7103</v>
      </c>
      <c r="X370" t="s">
        <v>7104</v>
      </c>
      <c r="Y370" t="s">
        <v>7105</v>
      </c>
      <c r="Z370" t="s">
        <v>7106</v>
      </c>
      <c r="AA370" t="s">
        <v>7107</v>
      </c>
      <c r="AB370" t="s">
        <v>7108</v>
      </c>
      <c r="AC370" t="s">
        <v>7109</v>
      </c>
      <c r="AD370" t="s">
        <v>7110</v>
      </c>
      <c r="AE370" t="s">
        <v>7111</v>
      </c>
      <c r="AF370" t="s">
        <v>74</v>
      </c>
      <c r="AG370">
        <v>47</v>
      </c>
      <c r="AH370">
        <v>51</v>
      </c>
      <c r="AI370">
        <v>54</v>
      </c>
      <c r="AJ370">
        <v>0</v>
      </c>
      <c r="AK370">
        <v>24</v>
      </c>
      <c r="AL370" t="s">
        <v>1824</v>
      </c>
      <c r="AM370" t="s">
        <v>1825</v>
      </c>
      <c r="AN370" t="s">
        <v>4266</v>
      </c>
      <c r="AO370" t="s">
        <v>4426</v>
      </c>
      <c r="AP370" t="s">
        <v>74</v>
      </c>
      <c r="AQ370" t="s">
        <v>74</v>
      </c>
      <c r="AR370" t="s">
        <v>4428</v>
      </c>
      <c r="AS370" t="s">
        <v>4429</v>
      </c>
      <c r="AT370" t="s">
        <v>5910</v>
      </c>
      <c r="AU370">
        <v>2010</v>
      </c>
      <c r="AV370">
        <v>40</v>
      </c>
      <c r="AW370">
        <v>2</v>
      </c>
      <c r="AX370" t="s">
        <v>74</v>
      </c>
      <c r="AY370" t="s">
        <v>74</v>
      </c>
      <c r="AZ370" t="s">
        <v>74</v>
      </c>
      <c r="BA370" t="s">
        <v>74</v>
      </c>
      <c r="BB370">
        <v>368</v>
      </c>
      <c r="BC370">
        <v>380</v>
      </c>
      <c r="BD370" t="s">
        <v>74</v>
      </c>
      <c r="BE370" t="s">
        <v>7112</v>
      </c>
      <c r="BF370" t="str">
        <f>HYPERLINK("http://dx.doi.org/10.1175/2009JPO4200.1","http://dx.doi.org/10.1175/2009JPO4200.1")</f>
        <v>http://dx.doi.org/10.1175/2009JPO4200.1</v>
      </c>
      <c r="BG370" t="s">
        <v>74</v>
      </c>
      <c r="BH370" t="s">
        <v>74</v>
      </c>
      <c r="BI370">
        <v>13</v>
      </c>
      <c r="BJ370" t="s">
        <v>101</v>
      </c>
      <c r="BK370" t="s">
        <v>102</v>
      </c>
      <c r="BL370" t="s">
        <v>101</v>
      </c>
      <c r="BM370" t="s">
        <v>7082</v>
      </c>
      <c r="BN370" t="s">
        <v>74</v>
      </c>
      <c r="BO370" t="s">
        <v>74</v>
      </c>
      <c r="BP370" t="s">
        <v>74</v>
      </c>
      <c r="BQ370" t="s">
        <v>74</v>
      </c>
      <c r="BR370" t="s">
        <v>105</v>
      </c>
      <c r="BS370" t="s">
        <v>7113</v>
      </c>
      <c r="BT370" t="str">
        <f>HYPERLINK("https%3A%2F%2Fwww.webofscience.com%2Fwos%2Fwoscc%2Ffull-record%2FWOS:000274330200008","View Full Record in Web of Science")</f>
        <v>View Full Record in Web of Science</v>
      </c>
    </row>
    <row r="371" spans="1:72" x14ac:dyDescent="0.15">
      <c r="A371" t="s">
        <v>72</v>
      </c>
      <c r="B371" t="s">
        <v>7114</v>
      </c>
      <c r="C371" t="s">
        <v>74</v>
      </c>
      <c r="D371" t="s">
        <v>74</v>
      </c>
      <c r="E371" t="s">
        <v>74</v>
      </c>
      <c r="F371" t="s">
        <v>7115</v>
      </c>
      <c r="G371" t="s">
        <v>74</v>
      </c>
      <c r="H371" t="s">
        <v>74</v>
      </c>
      <c r="I371" t="s">
        <v>7116</v>
      </c>
      <c r="J371" t="s">
        <v>7117</v>
      </c>
      <c r="K371" t="s">
        <v>74</v>
      </c>
      <c r="L371" t="s">
        <v>74</v>
      </c>
      <c r="M371" t="s">
        <v>78</v>
      </c>
      <c r="N371" t="s">
        <v>79</v>
      </c>
      <c r="O371" t="s">
        <v>74</v>
      </c>
      <c r="P371" t="s">
        <v>74</v>
      </c>
      <c r="Q371" t="s">
        <v>74</v>
      </c>
      <c r="R371" t="s">
        <v>74</v>
      </c>
      <c r="S371" t="s">
        <v>74</v>
      </c>
      <c r="T371" t="s">
        <v>7118</v>
      </c>
      <c r="U371" t="s">
        <v>7119</v>
      </c>
      <c r="V371" t="s">
        <v>7120</v>
      </c>
      <c r="W371" t="s">
        <v>7121</v>
      </c>
      <c r="X371" t="s">
        <v>7122</v>
      </c>
      <c r="Y371" t="s">
        <v>7123</v>
      </c>
      <c r="Z371" t="s">
        <v>7124</v>
      </c>
      <c r="AA371" t="s">
        <v>7125</v>
      </c>
      <c r="AB371" t="s">
        <v>7126</v>
      </c>
      <c r="AC371" t="s">
        <v>7127</v>
      </c>
      <c r="AD371" t="s">
        <v>7128</v>
      </c>
      <c r="AE371" t="s">
        <v>7129</v>
      </c>
      <c r="AF371" t="s">
        <v>74</v>
      </c>
      <c r="AG371">
        <v>77</v>
      </c>
      <c r="AH371">
        <v>35</v>
      </c>
      <c r="AI371">
        <v>36</v>
      </c>
      <c r="AJ371">
        <v>5</v>
      </c>
      <c r="AK371">
        <v>26</v>
      </c>
      <c r="AL371" t="s">
        <v>121</v>
      </c>
      <c r="AM371" t="s">
        <v>92</v>
      </c>
      <c r="AN371" t="s">
        <v>122</v>
      </c>
      <c r="AO371" t="s">
        <v>7130</v>
      </c>
      <c r="AP371" t="s">
        <v>7131</v>
      </c>
      <c r="AQ371" t="s">
        <v>74</v>
      </c>
      <c r="AR371" t="s">
        <v>7132</v>
      </c>
      <c r="AS371" t="s">
        <v>7133</v>
      </c>
      <c r="AT371" t="s">
        <v>5910</v>
      </c>
      <c r="AU371">
        <v>2010</v>
      </c>
      <c r="AV371">
        <v>9</v>
      </c>
      <c r="AW371">
        <v>2</v>
      </c>
      <c r="AX371" t="s">
        <v>74</v>
      </c>
      <c r="AY371" t="s">
        <v>74</v>
      </c>
      <c r="AZ371" t="s">
        <v>74</v>
      </c>
      <c r="BA371" t="s">
        <v>74</v>
      </c>
      <c r="BB371">
        <v>640</v>
      </c>
      <c r="BC371">
        <v>652</v>
      </c>
      <c r="BD371" t="s">
        <v>74</v>
      </c>
      <c r="BE371" t="s">
        <v>7134</v>
      </c>
      <c r="BF371" t="str">
        <f>HYPERLINK("http://dx.doi.org/10.1021/pr900509n","http://dx.doi.org/10.1021/pr900509n")</f>
        <v>http://dx.doi.org/10.1021/pr900509n</v>
      </c>
      <c r="BG371" t="s">
        <v>74</v>
      </c>
      <c r="BH371" t="s">
        <v>74</v>
      </c>
      <c r="BI371">
        <v>13</v>
      </c>
      <c r="BJ371" t="s">
        <v>7135</v>
      </c>
      <c r="BK371" t="s">
        <v>102</v>
      </c>
      <c r="BL371" t="s">
        <v>7136</v>
      </c>
      <c r="BM371" t="s">
        <v>7137</v>
      </c>
      <c r="BN371">
        <v>20039705</v>
      </c>
      <c r="BO371" t="s">
        <v>74</v>
      </c>
      <c r="BP371" t="s">
        <v>74</v>
      </c>
      <c r="BQ371" t="s">
        <v>74</v>
      </c>
      <c r="BR371" t="s">
        <v>105</v>
      </c>
      <c r="BS371" t="s">
        <v>7138</v>
      </c>
      <c r="BT371" t="str">
        <f>HYPERLINK("https%3A%2F%2Fwww.webofscience.com%2Fwos%2Fwoscc%2Ffull-record%2FWOS:000274269400002","View Full Record in Web of Science")</f>
        <v>View Full Record in Web of Science</v>
      </c>
    </row>
    <row r="372" spans="1:72" x14ac:dyDescent="0.15">
      <c r="A372" t="s">
        <v>72</v>
      </c>
      <c r="B372" t="s">
        <v>7139</v>
      </c>
      <c r="C372" t="s">
        <v>74</v>
      </c>
      <c r="D372" t="s">
        <v>74</v>
      </c>
      <c r="E372" t="s">
        <v>74</v>
      </c>
      <c r="F372" t="s">
        <v>7140</v>
      </c>
      <c r="G372" t="s">
        <v>74</v>
      </c>
      <c r="H372" t="s">
        <v>74</v>
      </c>
      <c r="I372" t="s">
        <v>7141</v>
      </c>
      <c r="J372" t="s">
        <v>7117</v>
      </c>
      <c r="K372" t="s">
        <v>74</v>
      </c>
      <c r="L372" t="s">
        <v>74</v>
      </c>
      <c r="M372" t="s">
        <v>78</v>
      </c>
      <c r="N372" t="s">
        <v>79</v>
      </c>
      <c r="O372" t="s">
        <v>74</v>
      </c>
      <c r="P372" t="s">
        <v>74</v>
      </c>
      <c r="Q372" t="s">
        <v>74</v>
      </c>
      <c r="R372" t="s">
        <v>74</v>
      </c>
      <c r="S372" t="s">
        <v>74</v>
      </c>
      <c r="T372" t="s">
        <v>7142</v>
      </c>
      <c r="U372" t="s">
        <v>7143</v>
      </c>
      <c r="V372" t="s">
        <v>7144</v>
      </c>
      <c r="W372" t="s">
        <v>7145</v>
      </c>
      <c r="X372" t="s">
        <v>7146</v>
      </c>
      <c r="Y372" t="s">
        <v>7123</v>
      </c>
      <c r="Z372" t="s">
        <v>7124</v>
      </c>
      <c r="AA372" t="s">
        <v>7125</v>
      </c>
      <c r="AB372" t="s">
        <v>7147</v>
      </c>
      <c r="AC372" t="s">
        <v>7127</v>
      </c>
      <c r="AD372" t="s">
        <v>7128</v>
      </c>
      <c r="AE372" t="s">
        <v>7129</v>
      </c>
      <c r="AF372" t="s">
        <v>74</v>
      </c>
      <c r="AG372">
        <v>63</v>
      </c>
      <c r="AH372">
        <v>21</v>
      </c>
      <c r="AI372">
        <v>21</v>
      </c>
      <c r="AJ372">
        <v>3</v>
      </c>
      <c r="AK372">
        <v>24</v>
      </c>
      <c r="AL372" t="s">
        <v>121</v>
      </c>
      <c r="AM372" t="s">
        <v>92</v>
      </c>
      <c r="AN372" t="s">
        <v>122</v>
      </c>
      <c r="AO372" t="s">
        <v>7130</v>
      </c>
      <c r="AP372" t="s">
        <v>7131</v>
      </c>
      <c r="AQ372" t="s">
        <v>74</v>
      </c>
      <c r="AR372" t="s">
        <v>7132</v>
      </c>
      <c r="AS372" t="s">
        <v>7133</v>
      </c>
      <c r="AT372" t="s">
        <v>5910</v>
      </c>
      <c r="AU372">
        <v>2010</v>
      </c>
      <c r="AV372">
        <v>9</v>
      </c>
      <c r="AW372">
        <v>2</v>
      </c>
      <c r="AX372" t="s">
        <v>74</v>
      </c>
      <c r="AY372" t="s">
        <v>74</v>
      </c>
      <c r="AZ372" t="s">
        <v>74</v>
      </c>
      <c r="BA372" t="s">
        <v>74</v>
      </c>
      <c r="BB372">
        <v>653</v>
      </c>
      <c r="BC372">
        <v>663</v>
      </c>
      <c r="BD372" t="s">
        <v>74</v>
      </c>
      <c r="BE372" t="s">
        <v>7148</v>
      </c>
      <c r="BF372" t="str">
        <f>HYPERLINK("http://dx.doi.org/10.1021/pr9005102","http://dx.doi.org/10.1021/pr9005102")</f>
        <v>http://dx.doi.org/10.1021/pr9005102</v>
      </c>
      <c r="BG372" t="s">
        <v>74</v>
      </c>
      <c r="BH372" t="s">
        <v>74</v>
      </c>
      <c r="BI372">
        <v>11</v>
      </c>
      <c r="BJ372" t="s">
        <v>7135</v>
      </c>
      <c r="BK372" t="s">
        <v>102</v>
      </c>
      <c r="BL372" t="s">
        <v>7136</v>
      </c>
      <c r="BM372" t="s">
        <v>7137</v>
      </c>
      <c r="BN372">
        <v>19947665</v>
      </c>
      <c r="BO372" t="s">
        <v>74</v>
      </c>
      <c r="BP372" t="s">
        <v>74</v>
      </c>
      <c r="BQ372" t="s">
        <v>74</v>
      </c>
      <c r="BR372" t="s">
        <v>105</v>
      </c>
      <c r="BS372" t="s">
        <v>7149</v>
      </c>
      <c r="BT372" t="str">
        <f>HYPERLINK("https%3A%2F%2Fwww.webofscience.com%2Fwos%2Fwoscc%2Ffull-record%2FWOS:000274269400003","View Full Record in Web of Science")</f>
        <v>View Full Record in Web of Science</v>
      </c>
    </row>
    <row r="373" spans="1:72" x14ac:dyDescent="0.15">
      <c r="A373" t="s">
        <v>72</v>
      </c>
      <c r="B373" t="s">
        <v>7150</v>
      </c>
      <c r="C373" t="s">
        <v>74</v>
      </c>
      <c r="D373" t="s">
        <v>74</v>
      </c>
      <c r="E373" t="s">
        <v>74</v>
      </c>
      <c r="F373" t="s">
        <v>7151</v>
      </c>
      <c r="G373" t="s">
        <v>74</v>
      </c>
      <c r="H373" t="s">
        <v>74</v>
      </c>
      <c r="I373" t="s">
        <v>7152</v>
      </c>
      <c r="J373" t="s">
        <v>7117</v>
      </c>
      <c r="K373" t="s">
        <v>74</v>
      </c>
      <c r="L373" t="s">
        <v>74</v>
      </c>
      <c r="M373" t="s">
        <v>78</v>
      </c>
      <c r="N373" t="s">
        <v>79</v>
      </c>
      <c r="O373" t="s">
        <v>74</v>
      </c>
      <c r="P373" t="s">
        <v>74</v>
      </c>
      <c r="Q373" t="s">
        <v>74</v>
      </c>
      <c r="R373" t="s">
        <v>74</v>
      </c>
      <c r="S373" t="s">
        <v>74</v>
      </c>
      <c r="T373" t="s">
        <v>7153</v>
      </c>
      <c r="U373" t="s">
        <v>7154</v>
      </c>
      <c r="V373" t="s">
        <v>7155</v>
      </c>
      <c r="W373" t="s">
        <v>7156</v>
      </c>
      <c r="X373" t="s">
        <v>623</v>
      </c>
      <c r="Y373" t="s">
        <v>7123</v>
      </c>
      <c r="Z373" t="s">
        <v>7124</v>
      </c>
      <c r="AA373" t="s">
        <v>7157</v>
      </c>
      <c r="AB373" t="s">
        <v>7158</v>
      </c>
      <c r="AC373" t="s">
        <v>7159</v>
      </c>
      <c r="AD373" t="s">
        <v>7160</v>
      </c>
      <c r="AE373" t="s">
        <v>7161</v>
      </c>
      <c r="AF373" t="s">
        <v>74</v>
      </c>
      <c r="AG373">
        <v>73</v>
      </c>
      <c r="AH373">
        <v>9</v>
      </c>
      <c r="AI373">
        <v>10</v>
      </c>
      <c r="AJ373">
        <v>1</v>
      </c>
      <c r="AK373">
        <v>15</v>
      </c>
      <c r="AL373" t="s">
        <v>121</v>
      </c>
      <c r="AM373" t="s">
        <v>92</v>
      </c>
      <c r="AN373" t="s">
        <v>122</v>
      </c>
      <c r="AO373" t="s">
        <v>7130</v>
      </c>
      <c r="AP373" t="s">
        <v>7131</v>
      </c>
      <c r="AQ373" t="s">
        <v>74</v>
      </c>
      <c r="AR373" t="s">
        <v>7132</v>
      </c>
      <c r="AS373" t="s">
        <v>7133</v>
      </c>
      <c r="AT373" t="s">
        <v>5910</v>
      </c>
      <c r="AU373">
        <v>2010</v>
      </c>
      <c r="AV373">
        <v>9</v>
      </c>
      <c r="AW373">
        <v>2</v>
      </c>
      <c r="AX373" t="s">
        <v>74</v>
      </c>
      <c r="AY373" t="s">
        <v>74</v>
      </c>
      <c r="AZ373" t="s">
        <v>74</v>
      </c>
      <c r="BA373" t="s">
        <v>74</v>
      </c>
      <c r="BB373">
        <v>664</v>
      </c>
      <c r="BC373">
        <v>676</v>
      </c>
      <c r="BD373" t="s">
        <v>74</v>
      </c>
      <c r="BE373" t="s">
        <v>7162</v>
      </c>
      <c r="BF373" t="str">
        <f>HYPERLINK("http://dx.doi.org/10.1021/pr9007865","http://dx.doi.org/10.1021/pr9007865")</f>
        <v>http://dx.doi.org/10.1021/pr9007865</v>
      </c>
      <c r="BG373" t="s">
        <v>74</v>
      </c>
      <c r="BH373" t="s">
        <v>74</v>
      </c>
      <c r="BI373">
        <v>13</v>
      </c>
      <c r="BJ373" t="s">
        <v>7135</v>
      </c>
      <c r="BK373" t="s">
        <v>102</v>
      </c>
      <c r="BL373" t="s">
        <v>7136</v>
      </c>
      <c r="BM373" t="s">
        <v>7137</v>
      </c>
      <c r="BN373">
        <v>19968327</v>
      </c>
      <c r="BO373" t="s">
        <v>74</v>
      </c>
      <c r="BP373" t="s">
        <v>74</v>
      </c>
      <c r="BQ373" t="s">
        <v>74</v>
      </c>
      <c r="BR373" t="s">
        <v>105</v>
      </c>
      <c r="BS373" t="s">
        <v>7163</v>
      </c>
      <c r="BT373" t="str">
        <f>HYPERLINK("https%3A%2F%2Fwww.webofscience.com%2Fwos%2Fwoscc%2Ffull-record%2FWOS:000274269400004","View Full Record in Web of Science")</f>
        <v>View Full Record in Web of Science</v>
      </c>
    </row>
    <row r="374" spans="1:72" x14ac:dyDescent="0.15">
      <c r="A374" t="s">
        <v>72</v>
      </c>
      <c r="B374" t="s">
        <v>7164</v>
      </c>
      <c r="C374" t="s">
        <v>74</v>
      </c>
      <c r="D374" t="s">
        <v>74</v>
      </c>
      <c r="E374" t="s">
        <v>74</v>
      </c>
      <c r="F374" t="s">
        <v>7165</v>
      </c>
      <c r="G374" t="s">
        <v>74</v>
      </c>
      <c r="H374" t="s">
        <v>74</v>
      </c>
      <c r="I374" t="s">
        <v>7166</v>
      </c>
      <c r="J374" t="s">
        <v>7167</v>
      </c>
      <c r="K374" t="s">
        <v>74</v>
      </c>
      <c r="L374" t="s">
        <v>74</v>
      </c>
      <c r="M374" t="s">
        <v>78</v>
      </c>
      <c r="N374" t="s">
        <v>79</v>
      </c>
      <c r="O374" t="s">
        <v>74</v>
      </c>
      <c r="P374" t="s">
        <v>74</v>
      </c>
      <c r="Q374" t="s">
        <v>74</v>
      </c>
      <c r="R374" t="s">
        <v>74</v>
      </c>
      <c r="S374" t="s">
        <v>74</v>
      </c>
      <c r="T374" t="s">
        <v>74</v>
      </c>
      <c r="U374" t="s">
        <v>7168</v>
      </c>
      <c r="V374" t="s">
        <v>7169</v>
      </c>
      <c r="W374" t="s">
        <v>7170</v>
      </c>
      <c r="X374" t="s">
        <v>7171</v>
      </c>
      <c r="Y374" t="s">
        <v>7172</v>
      </c>
      <c r="Z374" t="s">
        <v>7173</v>
      </c>
      <c r="AA374" t="s">
        <v>7174</v>
      </c>
      <c r="AB374" t="s">
        <v>7175</v>
      </c>
      <c r="AC374" t="s">
        <v>7176</v>
      </c>
      <c r="AD374" t="s">
        <v>7177</v>
      </c>
      <c r="AE374" t="s">
        <v>7178</v>
      </c>
      <c r="AF374" t="s">
        <v>74</v>
      </c>
      <c r="AG374">
        <v>46</v>
      </c>
      <c r="AH374">
        <v>85</v>
      </c>
      <c r="AI374">
        <v>96</v>
      </c>
      <c r="AJ374">
        <v>0</v>
      </c>
      <c r="AK374">
        <v>10</v>
      </c>
      <c r="AL374" t="s">
        <v>1824</v>
      </c>
      <c r="AM374" t="s">
        <v>1825</v>
      </c>
      <c r="AN374" t="s">
        <v>4266</v>
      </c>
      <c r="AO374" t="s">
        <v>7179</v>
      </c>
      <c r="AP374" t="s">
        <v>7180</v>
      </c>
      <c r="AQ374" t="s">
        <v>74</v>
      </c>
      <c r="AR374" t="s">
        <v>7181</v>
      </c>
      <c r="AS374" t="s">
        <v>7182</v>
      </c>
      <c r="AT374" t="s">
        <v>5910</v>
      </c>
      <c r="AU374">
        <v>2010</v>
      </c>
      <c r="AV374">
        <v>67</v>
      </c>
      <c r="AW374">
        <v>2</v>
      </c>
      <c r="AX374" t="s">
        <v>74</v>
      </c>
      <c r="AY374" t="s">
        <v>74</v>
      </c>
      <c r="AZ374" t="s">
        <v>74</v>
      </c>
      <c r="BA374" t="s">
        <v>74</v>
      </c>
      <c r="BB374">
        <v>309</v>
      </c>
      <c r="BC374">
        <v>323</v>
      </c>
      <c r="BD374" t="s">
        <v>74</v>
      </c>
      <c r="BE374" t="s">
        <v>7183</v>
      </c>
      <c r="BF374" t="str">
        <f>HYPERLINK("http://dx.doi.org/10.1175/2009JAS3248.1","http://dx.doi.org/10.1175/2009JAS3248.1")</f>
        <v>http://dx.doi.org/10.1175/2009JAS3248.1</v>
      </c>
      <c r="BG374" t="s">
        <v>74</v>
      </c>
      <c r="BH374" t="s">
        <v>74</v>
      </c>
      <c r="BI374">
        <v>15</v>
      </c>
      <c r="BJ374" t="s">
        <v>258</v>
      </c>
      <c r="BK374" t="s">
        <v>102</v>
      </c>
      <c r="BL374" t="s">
        <v>258</v>
      </c>
      <c r="BM374" t="s">
        <v>7184</v>
      </c>
      <c r="BN374" t="s">
        <v>74</v>
      </c>
      <c r="BO374" t="s">
        <v>455</v>
      </c>
      <c r="BP374" t="s">
        <v>74</v>
      </c>
      <c r="BQ374" t="s">
        <v>74</v>
      </c>
      <c r="BR374" t="s">
        <v>105</v>
      </c>
      <c r="BS374" t="s">
        <v>7185</v>
      </c>
      <c r="BT374" t="str">
        <f>HYPERLINK("https%3A%2F%2Fwww.webofscience.com%2Fwos%2Fwoscc%2Ffull-record%2FWOS:000274541400002","View Full Record in Web of Science")</f>
        <v>View Full Record in Web of Science</v>
      </c>
    </row>
    <row r="375" spans="1:72" x14ac:dyDescent="0.15">
      <c r="A375" t="s">
        <v>72</v>
      </c>
      <c r="B375" t="s">
        <v>7186</v>
      </c>
      <c r="C375" t="s">
        <v>74</v>
      </c>
      <c r="D375" t="s">
        <v>74</v>
      </c>
      <c r="E375" t="s">
        <v>74</v>
      </c>
      <c r="F375" t="s">
        <v>7187</v>
      </c>
      <c r="G375" t="s">
        <v>74</v>
      </c>
      <c r="H375" t="s">
        <v>74</v>
      </c>
      <c r="I375" t="s">
        <v>7188</v>
      </c>
      <c r="J375" t="s">
        <v>7189</v>
      </c>
      <c r="K375" t="s">
        <v>74</v>
      </c>
      <c r="L375" t="s">
        <v>74</v>
      </c>
      <c r="M375" t="s">
        <v>78</v>
      </c>
      <c r="N375" t="s">
        <v>79</v>
      </c>
      <c r="O375" t="s">
        <v>74</v>
      </c>
      <c r="P375" t="s">
        <v>74</v>
      </c>
      <c r="Q375" t="s">
        <v>74</v>
      </c>
      <c r="R375" t="s">
        <v>74</v>
      </c>
      <c r="S375" t="s">
        <v>74</v>
      </c>
      <c r="T375" t="s">
        <v>7190</v>
      </c>
      <c r="U375" t="s">
        <v>74</v>
      </c>
      <c r="V375" t="s">
        <v>7191</v>
      </c>
      <c r="W375" t="s">
        <v>7192</v>
      </c>
      <c r="X375" t="s">
        <v>7193</v>
      </c>
      <c r="Y375" t="s">
        <v>7194</v>
      </c>
      <c r="Z375" t="s">
        <v>7195</v>
      </c>
      <c r="AA375" t="s">
        <v>7196</v>
      </c>
      <c r="AB375" t="s">
        <v>7197</v>
      </c>
      <c r="AC375" t="s">
        <v>7198</v>
      </c>
      <c r="AD375" t="s">
        <v>7199</v>
      </c>
      <c r="AE375" t="s">
        <v>7200</v>
      </c>
      <c r="AF375" t="s">
        <v>74</v>
      </c>
      <c r="AG375">
        <v>23</v>
      </c>
      <c r="AH375">
        <v>9</v>
      </c>
      <c r="AI375">
        <v>9</v>
      </c>
      <c r="AJ375">
        <v>1</v>
      </c>
      <c r="AK375">
        <v>3</v>
      </c>
      <c r="AL375" t="s">
        <v>7201</v>
      </c>
      <c r="AM375" t="s">
        <v>7202</v>
      </c>
      <c r="AN375" t="s">
        <v>7203</v>
      </c>
      <c r="AO375" t="s">
        <v>7204</v>
      </c>
      <c r="AP375" t="s">
        <v>7205</v>
      </c>
      <c r="AQ375" t="s">
        <v>74</v>
      </c>
      <c r="AR375" t="s">
        <v>7206</v>
      </c>
      <c r="AS375" t="s">
        <v>7207</v>
      </c>
      <c r="AT375" t="s">
        <v>5910</v>
      </c>
      <c r="AU375">
        <v>2010</v>
      </c>
      <c r="AV375">
        <v>75</v>
      </c>
      <c r="AW375">
        <v>2</v>
      </c>
      <c r="AX375" t="s">
        <v>74</v>
      </c>
      <c r="AY375" t="s">
        <v>74</v>
      </c>
      <c r="AZ375" t="s">
        <v>74</v>
      </c>
      <c r="BA375" t="s">
        <v>74</v>
      </c>
      <c r="BB375">
        <v>393</v>
      </c>
      <c r="BC375">
        <v>402</v>
      </c>
      <c r="BD375" t="s">
        <v>74</v>
      </c>
      <c r="BE375" t="s">
        <v>7208</v>
      </c>
      <c r="BF375" t="str">
        <f>HYPERLINK("http://dx.doi.org/10.1007/s12594-010-0035-7","http://dx.doi.org/10.1007/s12594-010-0035-7")</f>
        <v>http://dx.doi.org/10.1007/s12594-010-0035-7</v>
      </c>
      <c r="BG375" t="s">
        <v>74</v>
      </c>
      <c r="BH375" t="s">
        <v>74</v>
      </c>
      <c r="BI375">
        <v>10</v>
      </c>
      <c r="BJ375" t="s">
        <v>913</v>
      </c>
      <c r="BK375" t="s">
        <v>102</v>
      </c>
      <c r="BL375" t="s">
        <v>914</v>
      </c>
      <c r="BM375" t="s">
        <v>7209</v>
      </c>
      <c r="BN375" t="s">
        <v>74</v>
      </c>
      <c r="BO375" t="s">
        <v>74</v>
      </c>
      <c r="BP375" t="s">
        <v>74</v>
      </c>
      <c r="BQ375" t="s">
        <v>74</v>
      </c>
      <c r="BR375" t="s">
        <v>105</v>
      </c>
      <c r="BS375" t="s">
        <v>7210</v>
      </c>
      <c r="BT375" t="str">
        <f>HYPERLINK("https%3A%2F%2Fwww.webofscience.com%2Fwos%2Fwoscc%2Ffull-record%2FWOS:000277011900005","View Full Record in Web of Science")</f>
        <v>View Full Record in Web of Science</v>
      </c>
    </row>
    <row r="376" spans="1:72" x14ac:dyDescent="0.15">
      <c r="A376" t="s">
        <v>72</v>
      </c>
      <c r="B376" t="s">
        <v>7211</v>
      </c>
      <c r="C376" t="s">
        <v>74</v>
      </c>
      <c r="D376" t="s">
        <v>74</v>
      </c>
      <c r="E376" t="s">
        <v>74</v>
      </c>
      <c r="F376" t="s">
        <v>7212</v>
      </c>
      <c r="G376" t="s">
        <v>74</v>
      </c>
      <c r="H376" t="s">
        <v>74</v>
      </c>
      <c r="I376" t="s">
        <v>7213</v>
      </c>
      <c r="J376" t="s">
        <v>7214</v>
      </c>
      <c r="K376" t="s">
        <v>74</v>
      </c>
      <c r="L376" t="s">
        <v>74</v>
      </c>
      <c r="M376" t="s">
        <v>78</v>
      </c>
      <c r="N376" t="s">
        <v>79</v>
      </c>
      <c r="O376" t="s">
        <v>74</v>
      </c>
      <c r="P376" t="s">
        <v>74</v>
      </c>
      <c r="Q376" t="s">
        <v>74</v>
      </c>
      <c r="R376" t="s">
        <v>74</v>
      </c>
      <c r="S376" t="s">
        <v>74</v>
      </c>
      <c r="T376" t="s">
        <v>74</v>
      </c>
      <c r="U376" t="s">
        <v>7215</v>
      </c>
      <c r="V376" t="s">
        <v>7216</v>
      </c>
      <c r="W376" t="s">
        <v>7217</v>
      </c>
      <c r="X376" t="s">
        <v>7218</v>
      </c>
      <c r="Y376" t="s">
        <v>7219</v>
      </c>
      <c r="Z376" t="s">
        <v>7220</v>
      </c>
      <c r="AA376" t="s">
        <v>7221</v>
      </c>
      <c r="AB376" t="s">
        <v>7222</v>
      </c>
      <c r="AC376" t="s">
        <v>7223</v>
      </c>
      <c r="AD376" t="s">
        <v>7224</v>
      </c>
      <c r="AE376" t="s">
        <v>7225</v>
      </c>
      <c r="AF376" t="s">
        <v>74</v>
      </c>
      <c r="AG376">
        <v>41</v>
      </c>
      <c r="AH376">
        <v>2</v>
      </c>
      <c r="AI376">
        <v>3</v>
      </c>
      <c r="AJ376">
        <v>0</v>
      </c>
      <c r="AK376">
        <v>10</v>
      </c>
      <c r="AL376" t="s">
        <v>7226</v>
      </c>
      <c r="AM376" t="s">
        <v>4071</v>
      </c>
      <c r="AN376" t="s">
        <v>7227</v>
      </c>
      <c r="AO376" t="s">
        <v>7228</v>
      </c>
      <c r="AP376" t="s">
        <v>7229</v>
      </c>
      <c r="AQ376" t="s">
        <v>74</v>
      </c>
      <c r="AR376" t="s">
        <v>7230</v>
      </c>
      <c r="AS376" t="s">
        <v>7231</v>
      </c>
      <c r="AT376" t="s">
        <v>5910</v>
      </c>
      <c r="AU376">
        <v>2010</v>
      </c>
      <c r="AV376">
        <v>88</v>
      </c>
      <c r="AW376">
        <v>1</v>
      </c>
      <c r="AX376" t="s">
        <v>74</v>
      </c>
      <c r="AY376" t="s">
        <v>74</v>
      </c>
      <c r="AZ376" t="s">
        <v>74</v>
      </c>
      <c r="BA376" t="s">
        <v>74</v>
      </c>
      <c r="BB376">
        <v>1</v>
      </c>
      <c r="BC376">
        <v>14</v>
      </c>
      <c r="BD376" t="s">
        <v>74</v>
      </c>
      <c r="BE376" t="s">
        <v>7232</v>
      </c>
      <c r="BF376" t="str">
        <f>HYPERLINK("http://dx.doi.org/10.2151/jmsj.2010-101","http://dx.doi.org/10.2151/jmsj.2010-101")</f>
        <v>http://dx.doi.org/10.2151/jmsj.2010-101</v>
      </c>
      <c r="BG376" t="s">
        <v>74</v>
      </c>
      <c r="BH376" t="s">
        <v>74</v>
      </c>
      <c r="BI376">
        <v>14</v>
      </c>
      <c r="BJ376" t="s">
        <v>258</v>
      </c>
      <c r="BK376" t="s">
        <v>102</v>
      </c>
      <c r="BL376" t="s">
        <v>258</v>
      </c>
      <c r="BM376" t="s">
        <v>7233</v>
      </c>
      <c r="BN376" t="s">
        <v>74</v>
      </c>
      <c r="BO376" t="s">
        <v>104</v>
      </c>
      <c r="BP376" t="s">
        <v>74</v>
      </c>
      <c r="BQ376" t="s">
        <v>74</v>
      </c>
      <c r="BR376" t="s">
        <v>105</v>
      </c>
      <c r="BS376" t="s">
        <v>7234</v>
      </c>
      <c r="BT376" t="str">
        <f>HYPERLINK("https%3A%2F%2Fwww.webofscience.com%2Fwos%2Fwoscc%2Ffull-record%2FWOS:000276999300002","View Full Record in Web of Science")</f>
        <v>View Full Record in Web of Science</v>
      </c>
    </row>
    <row r="377" spans="1:72" x14ac:dyDescent="0.15">
      <c r="A377" t="s">
        <v>72</v>
      </c>
      <c r="B377" t="s">
        <v>7235</v>
      </c>
      <c r="C377" t="s">
        <v>74</v>
      </c>
      <c r="D377" t="s">
        <v>74</v>
      </c>
      <c r="E377" t="s">
        <v>74</v>
      </c>
      <c r="F377" t="s">
        <v>7236</v>
      </c>
      <c r="G377" t="s">
        <v>74</v>
      </c>
      <c r="H377" t="s">
        <v>74</v>
      </c>
      <c r="I377" t="s">
        <v>7237</v>
      </c>
      <c r="J377" t="s">
        <v>7214</v>
      </c>
      <c r="K377" t="s">
        <v>74</v>
      </c>
      <c r="L377" t="s">
        <v>74</v>
      </c>
      <c r="M377" t="s">
        <v>78</v>
      </c>
      <c r="N377" t="s">
        <v>79</v>
      </c>
      <c r="O377" t="s">
        <v>74</v>
      </c>
      <c r="P377" t="s">
        <v>74</v>
      </c>
      <c r="Q377" t="s">
        <v>74</v>
      </c>
      <c r="R377" t="s">
        <v>74</v>
      </c>
      <c r="S377" t="s">
        <v>74</v>
      </c>
      <c r="T377" t="s">
        <v>74</v>
      </c>
      <c r="U377" t="s">
        <v>7238</v>
      </c>
      <c r="V377" t="s">
        <v>7239</v>
      </c>
      <c r="W377" t="s">
        <v>7240</v>
      </c>
      <c r="X377" t="s">
        <v>7241</v>
      </c>
      <c r="Y377" t="s">
        <v>7242</v>
      </c>
      <c r="Z377" t="s">
        <v>7243</v>
      </c>
      <c r="AA377" t="s">
        <v>7244</v>
      </c>
      <c r="AB377" t="s">
        <v>74</v>
      </c>
      <c r="AC377" t="s">
        <v>7245</v>
      </c>
      <c r="AD377" t="s">
        <v>7246</v>
      </c>
      <c r="AE377" t="s">
        <v>7247</v>
      </c>
      <c r="AF377" t="s">
        <v>74</v>
      </c>
      <c r="AG377">
        <v>60</v>
      </c>
      <c r="AH377">
        <v>35</v>
      </c>
      <c r="AI377">
        <v>43</v>
      </c>
      <c r="AJ377">
        <v>0</v>
      </c>
      <c r="AK377">
        <v>23</v>
      </c>
      <c r="AL377" t="s">
        <v>7226</v>
      </c>
      <c r="AM377" t="s">
        <v>4071</v>
      </c>
      <c r="AN377" t="s">
        <v>7227</v>
      </c>
      <c r="AO377" t="s">
        <v>7228</v>
      </c>
      <c r="AP377" t="s">
        <v>7229</v>
      </c>
      <c r="AQ377" t="s">
        <v>74</v>
      </c>
      <c r="AR377" t="s">
        <v>7230</v>
      </c>
      <c r="AS377" t="s">
        <v>7231</v>
      </c>
      <c r="AT377" t="s">
        <v>5910</v>
      </c>
      <c r="AU377">
        <v>2010</v>
      </c>
      <c r="AV377">
        <v>88</v>
      </c>
      <c r="AW377">
        <v>1</v>
      </c>
      <c r="AX377" t="s">
        <v>74</v>
      </c>
      <c r="AY377" t="s">
        <v>74</v>
      </c>
      <c r="AZ377" t="s">
        <v>74</v>
      </c>
      <c r="BA377" t="s">
        <v>74</v>
      </c>
      <c r="BB377">
        <v>15</v>
      </c>
      <c r="BC377">
        <v>28</v>
      </c>
      <c r="BD377" t="s">
        <v>74</v>
      </c>
      <c r="BE377" t="s">
        <v>7248</v>
      </c>
      <c r="BF377" t="str">
        <f>HYPERLINK("http://dx.doi.org/10.2151/jmsj.2010-102","http://dx.doi.org/10.2151/jmsj.2010-102")</f>
        <v>http://dx.doi.org/10.2151/jmsj.2010-102</v>
      </c>
      <c r="BG377" t="s">
        <v>74</v>
      </c>
      <c r="BH377" t="s">
        <v>74</v>
      </c>
      <c r="BI377">
        <v>14</v>
      </c>
      <c r="BJ377" t="s">
        <v>258</v>
      </c>
      <c r="BK377" t="s">
        <v>102</v>
      </c>
      <c r="BL377" t="s">
        <v>258</v>
      </c>
      <c r="BM377" t="s">
        <v>7233</v>
      </c>
      <c r="BN377" t="s">
        <v>74</v>
      </c>
      <c r="BO377" t="s">
        <v>104</v>
      </c>
      <c r="BP377" t="s">
        <v>74</v>
      </c>
      <c r="BQ377" t="s">
        <v>74</v>
      </c>
      <c r="BR377" t="s">
        <v>105</v>
      </c>
      <c r="BS377" t="s">
        <v>7249</v>
      </c>
      <c r="BT377" t="str">
        <f>HYPERLINK("https%3A%2F%2Fwww.webofscience.com%2Fwos%2Fwoscc%2Ffull-record%2FWOS:000276999300003","View Full Record in Web of Science")</f>
        <v>View Full Record in Web of Science</v>
      </c>
    </row>
    <row r="378" spans="1:72" x14ac:dyDescent="0.15">
      <c r="A378" t="s">
        <v>72</v>
      </c>
      <c r="B378" t="s">
        <v>7250</v>
      </c>
      <c r="C378" t="s">
        <v>74</v>
      </c>
      <c r="D378" t="s">
        <v>74</v>
      </c>
      <c r="E378" t="s">
        <v>74</v>
      </c>
      <c r="F378" t="s">
        <v>7251</v>
      </c>
      <c r="G378" t="s">
        <v>74</v>
      </c>
      <c r="H378" t="s">
        <v>74</v>
      </c>
      <c r="I378" t="s">
        <v>7252</v>
      </c>
      <c r="J378" t="s">
        <v>7253</v>
      </c>
      <c r="K378" t="s">
        <v>74</v>
      </c>
      <c r="L378" t="s">
        <v>74</v>
      </c>
      <c r="M378" t="s">
        <v>78</v>
      </c>
      <c r="N378" t="s">
        <v>79</v>
      </c>
      <c r="O378" t="s">
        <v>74</v>
      </c>
      <c r="P378" t="s">
        <v>74</v>
      </c>
      <c r="Q378" t="s">
        <v>74</v>
      </c>
      <c r="R378" t="s">
        <v>74</v>
      </c>
      <c r="S378" t="s">
        <v>74</v>
      </c>
      <c r="T378" t="s">
        <v>7254</v>
      </c>
      <c r="U378" t="s">
        <v>7255</v>
      </c>
      <c r="V378" t="s">
        <v>7256</v>
      </c>
      <c r="W378" t="s">
        <v>7257</v>
      </c>
      <c r="X378" t="s">
        <v>7258</v>
      </c>
      <c r="Y378" t="s">
        <v>7259</v>
      </c>
      <c r="Z378" t="s">
        <v>7260</v>
      </c>
      <c r="AA378" t="s">
        <v>7261</v>
      </c>
      <c r="AB378" t="s">
        <v>7262</v>
      </c>
      <c r="AC378" t="s">
        <v>7263</v>
      </c>
      <c r="AD378" t="s">
        <v>7264</v>
      </c>
      <c r="AE378" t="s">
        <v>7265</v>
      </c>
      <c r="AF378" t="s">
        <v>74</v>
      </c>
      <c r="AG378">
        <v>42</v>
      </c>
      <c r="AH378">
        <v>24</v>
      </c>
      <c r="AI378">
        <v>28</v>
      </c>
      <c r="AJ378">
        <v>0</v>
      </c>
      <c r="AK378">
        <v>40</v>
      </c>
      <c r="AL378" t="s">
        <v>991</v>
      </c>
      <c r="AM378" t="s">
        <v>992</v>
      </c>
      <c r="AN378" t="s">
        <v>993</v>
      </c>
      <c r="AO378" t="s">
        <v>7266</v>
      </c>
      <c r="AP378" t="s">
        <v>7267</v>
      </c>
      <c r="AQ378" t="s">
        <v>74</v>
      </c>
      <c r="AR378" t="s">
        <v>7253</v>
      </c>
      <c r="AS378" t="s">
        <v>7268</v>
      </c>
      <c r="AT378" t="s">
        <v>5910</v>
      </c>
      <c r="AU378">
        <v>2010</v>
      </c>
      <c r="AV378">
        <v>45</v>
      </c>
      <c r="AW378">
        <v>2</v>
      </c>
      <c r="AX378" t="s">
        <v>74</v>
      </c>
      <c r="AY378" t="s">
        <v>74</v>
      </c>
      <c r="AZ378" t="s">
        <v>74</v>
      </c>
      <c r="BA378" t="s">
        <v>74</v>
      </c>
      <c r="BB378">
        <v>179</v>
      </c>
      <c r="BC378">
        <v>187</v>
      </c>
      <c r="BD378" t="s">
        <v>74</v>
      </c>
      <c r="BE378" t="s">
        <v>7269</v>
      </c>
      <c r="BF378" t="str">
        <f>HYPERLINK("http://dx.doi.org/10.1007/s11745-009-3381-8","http://dx.doi.org/10.1007/s11745-009-3381-8")</f>
        <v>http://dx.doi.org/10.1007/s11745-009-3381-8</v>
      </c>
      <c r="BG378" t="s">
        <v>74</v>
      </c>
      <c r="BH378" t="s">
        <v>74</v>
      </c>
      <c r="BI378">
        <v>9</v>
      </c>
      <c r="BJ378" t="s">
        <v>7270</v>
      </c>
      <c r="BK378" t="s">
        <v>102</v>
      </c>
      <c r="BL378" t="s">
        <v>7270</v>
      </c>
      <c r="BM378" t="s">
        <v>7271</v>
      </c>
      <c r="BN378">
        <v>20087673</v>
      </c>
      <c r="BO378" t="s">
        <v>74</v>
      </c>
      <c r="BP378" t="s">
        <v>74</v>
      </c>
      <c r="BQ378" t="s">
        <v>74</v>
      </c>
      <c r="BR378" t="s">
        <v>105</v>
      </c>
      <c r="BS378" t="s">
        <v>7272</v>
      </c>
      <c r="BT378" t="str">
        <f>HYPERLINK("https%3A%2F%2Fwww.webofscience.com%2Fwos%2Fwoscc%2Ffull-record%2FWOS:000274333300008","View Full Record in Web of Science")</f>
        <v>View Full Record in Web of Science</v>
      </c>
    </row>
    <row r="379" spans="1:72" x14ac:dyDescent="0.15">
      <c r="A379" t="s">
        <v>72</v>
      </c>
      <c r="B379" t="s">
        <v>7273</v>
      </c>
      <c r="C379" t="s">
        <v>74</v>
      </c>
      <c r="D379" t="s">
        <v>74</v>
      </c>
      <c r="E379" t="s">
        <v>74</v>
      </c>
      <c r="F379" t="s">
        <v>7274</v>
      </c>
      <c r="G379" t="s">
        <v>74</v>
      </c>
      <c r="H379" t="s">
        <v>74</v>
      </c>
      <c r="I379" t="s">
        <v>7275</v>
      </c>
      <c r="J379" t="s">
        <v>7276</v>
      </c>
      <c r="K379" t="s">
        <v>74</v>
      </c>
      <c r="L379" t="s">
        <v>74</v>
      </c>
      <c r="M379" t="s">
        <v>78</v>
      </c>
      <c r="N379" t="s">
        <v>79</v>
      </c>
      <c r="O379" t="s">
        <v>74</v>
      </c>
      <c r="P379" t="s">
        <v>74</v>
      </c>
      <c r="Q379" t="s">
        <v>74</v>
      </c>
      <c r="R379" t="s">
        <v>74</v>
      </c>
      <c r="S379" t="s">
        <v>74</v>
      </c>
      <c r="T379" t="s">
        <v>7277</v>
      </c>
      <c r="U379" t="s">
        <v>7278</v>
      </c>
      <c r="V379" t="s">
        <v>7279</v>
      </c>
      <c r="W379" t="s">
        <v>7280</v>
      </c>
      <c r="X379" t="s">
        <v>7281</v>
      </c>
      <c r="Y379" t="s">
        <v>7282</v>
      </c>
      <c r="Z379" t="s">
        <v>7283</v>
      </c>
      <c r="AA379" t="s">
        <v>7284</v>
      </c>
      <c r="AB379" t="s">
        <v>7285</v>
      </c>
      <c r="AC379" t="s">
        <v>7286</v>
      </c>
      <c r="AD379" t="s">
        <v>793</v>
      </c>
      <c r="AE379" t="s">
        <v>7287</v>
      </c>
      <c r="AF379" t="s">
        <v>74</v>
      </c>
      <c r="AG379">
        <v>89</v>
      </c>
      <c r="AH379">
        <v>13</v>
      </c>
      <c r="AI379">
        <v>18</v>
      </c>
      <c r="AJ379">
        <v>0</v>
      </c>
      <c r="AK379">
        <v>18</v>
      </c>
      <c r="AL379" t="s">
        <v>144</v>
      </c>
      <c r="AM379" t="s">
        <v>145</v>
      </c>
      <c r="AN379" t="s">
        <v>146</v>
      </c>
      <c r="AO379" t="s">
        <v>7288</v>
      </c>
      <c r="AP379" t="s">
        <v>7289</v>
      </c>
      <c r="AQ379" t="s">
        <v>74</v>
      </c>
      <c r="AR379" t="s">
        <v>7290</v>
      </c>
      <c r="AS379" t="s">
        <v>7291</v>
      </c>
      <c r="AT379" t="s">
        <v>5910</v>
      </c>
      <c r="AU379">
        <v>2010</v>
      </c>
      <c r="AV379">
        <v>74</v>
      </c>
      <c r="AW379" t="s">
        <v>1854</v>
      </c>
      <c r="AX379" t="s">
        <v>74</v>
      </c>
      <c r="AY379" t="s">
        <v>74</v>
      </c>
      <c r="AZ379" t="s">
        <v>74</v>
      </c>
      <c r="BA379" t="s">
        <v>74</v>
      </c>
      <c r="BB379">
        <v>1</v>
      </c>
      <c r="BC379">
        <v>14</v>
      </c>
      <c r="BD379" t="s">
        <v>74</v>
      </c>
      <c r="BE379" t="s">
        <v>7292</v>
      </c>
      <c r="BF379" t="str">
        <f>HYPERLINK("http://dx.doi.org/10.1016/j.marmicro.2009.10.002","http://dx.doi.org/10.1016/j.marmicro.2009.10.002")</f>
        <v>http://dx.doi.org/10.1016/j.marmicro.2009.10.002</v>
      </c>
      <c r="BG379" t="s">
        <v>74</v>
      </c>
      <c r="BH379" t="s">
        <v>74</v>
      </c>
      <c r="BI379">
        <v>14</v>
      </c>
      <c r="BJ379" t="s">
        <v>1882</v>
      </c>
      <c r="BK379" t="s">
        <v>102</v>
      </c>
      <c r="BL379" t="s">
        <v>1882</v>
      </c>
      <c r="BM379" t="s">
        <v>7293</v>
      </c>
      <c r="BN379" t="s">
        <v>74</v>
      </c>
      <c r="BO379" t="s">
        <v>74</v>
      </c>
      <c r="BP379" t="s">
        <v>74</v>
      </c>
      <c r="BQ379" t="s">
        <v>74</v>
      </c>
      <c r="BR379" t="s">
        <v>105</v>
      </c>
      <c r="BS379" t="s">
        <v>7294</v>
      </c>
      <c r="BT379" t="str">
        <f>HYPERLINK("https%3A%2F%2Fwww.webofscience.com%2Fwos%2Fwoscc%2Ffull-record%2FWOS:000274989700001","View Full Record in Web of Science")</f>
        <v>View Full Record in Web of Science</v>
      </c>
    </row>
    <row r="380" spans="1:72" x14ac:dyDescent="0.15">
      <c r="A380" t="s">
        <v>72</v>
      </c>
      <c r="B380" t="s">
        <v>7295</v>
      </c>
      <c r="C380" t="s">
        <v>74</v>
      </c>
      <c r="D380" t="s">
        <v>74</v>
      </c>
      <c r="E380" t="s">
        <v>74</v>
      </c>
      <c r="F380" t="s">
        <v>7296</v>
      </c>
      <c r="G380" t="s">
        <v>74</v>
      </c>
      <c r="H380" t="s">
        <v>74</v>
      </c>
      <c r="I380" t="s">
        <v>7297</v>
      </c>
      <c r="J380" t="s">
        <v>7276</v>
      </c>
      <c r="K380" t="s">
        <v>74</v>
      </c>
      <c r="L380" t="s">
        <v>74</v>
      </c>
      <c r="M380" t="s">
        <v>78</v>
      </c>
      <c r="N380" t="s">
        <v>79</v>
      </c>
      <c r="O380" t="s">
        <v>74</v>
      </c>
      <c r="P380" t="s">
        <v>74</v>
      </c>
      <c r="Q380" t="s">
        <v>74</v>
      </c>
      <c r="R380" t="s">
        <v>74</v>
      </c>
      <c r="S380" t="s">
        <v>74</v>
      </c>
      <c r="T380" t="s">
        <v>7298</v>
      </c>
      <c r="U380" t="s">
        <v>7299</v>
      </c>
      <c r="V380" t="s">
        <v>7300</v>
      </c>
      <c r="W380" t="s">
        <v>7301</v>
      </c>
      <c r="X380" t="s">
        <v>7302</v>
      </c>
      <c r="Y380" t="s">
        <v>7303</v>
      </c>
      <c r="Z380" t="s">
        <v>7304</v>
      </c>
      <c r="AA380" t="s">
        <v>74</v>
      </c>
      <c r="AB380" t="s">
        <v>74</v>
      </c>
      <c r="AC380" t="s">
        <v>7305</v>
      </c>
      <c r="AD380" t="s">
        <v>7306</v>
      </c>
      <c r="AE380" t="s">
        <v>7307</v>
      </c>
      <c r="AF380" t="s">
        <v>74</v>
      </c>
      <c r="AG380">
        <v>41</v>
      </c>
      <c r="AH380">
        <v>10</v>
      </c>
      <c r="AI380">
        <v>11</v>
      </c>
      <c r="AJ380">
        <v>0</v>
      </c>
      <c r="AK380">
        <v>11</v>
      </c>
      <c r="AL380" t="s">
        <v>144</v>
      </c>
      <c r="AM380" t="s">
        <v>145</v>
      </c>
      <c r="AN380" t="s">
        <v>146</v>
      </c>
      <c r="AO380" t="s">
        <v>7288</v>
      </c>
      <c r="AP380" t="s">
        <v>7289</v>
      </c>
      <c r="AQ380" t="s">
        <v>74</v>
      </c>
      <c r="AR380" t="s">
        <v>7290</v>
      </c>
      <c r="AS380" t="s">
        <v>7291</v>
      </c>
      <c r="AT380" t="s">
        <v>5910</v>
      </c>
      <c r="AU380">
        <v>2010</v>
      </c>
      <c r="AV380">
        <v>74</v>
      </c>
      <c r="AW380" t="s">
        <v>1854</v>
      </c>
      <c r="AX380" t="s">
        <v>74</v>
      </c>
      <c r="AY380" t="s">
        <v>74</v>
      </c>
      <c r="AZ380" t="s">
        <v>74</v>
      </c>
      <c r="BA380" t="s">
        <v>74</v>
      </c>
      <c r="BB380">
        <v>15</v>
      </c>
      <c r="BC380">
        <v>28</v>
      </c>
      <c r="BD380" t="s">
        <v>74</v>
      </c>
      <c r="BE380" t="s">
        <v>7308</v>
      </c>
      <c r="BF380" t="str">
        <f>HYPERLINK("http://dx.doi.org/10.1016/j.marmicro.2009.11.001","http://dx.doi.org/10.1016/j.marmicro.2009.11.001")</f>
        <v>http://dx.doi.org/10.1016/j.marmicro.2009.11.001</v>
      </c>
      <c r="BG380" t="s">
        <v>74</v>
      </c>
      <c r="BH380" t="s">
        <v>74</v>
      </c>
      <c r="BI380">
        <v>14</v>
      </c>
      <c r="BJ380" t="s">
        <v>1882</v>
      </c>
      <c r="BK380" t="s">
        <v>102</v>
      </c>
      <c r="BL380" t="s">
        <v>1882</v>
      </c>
      <c r="BM380" t="s">
        <v>7293</v>
      </c>
      <c r="BN380" t="s">
        <v>74</v>
      </c>
      <c r="BO380" t="s">
        <v>74</v>
      </c>
      <c r="BP380" t="s">
        <v>74</v>
      </c>
      <c r="BQ380" t="s">
        <v>74</v>
      </c>
      <c r="BR380" t="s">
        <v>105</v>
      </c>
      <c r="BS380" t="s">
        <v>7309</v>
      </c>
      <c r="BT380" t="str">
        <f>HYPERLINK("https%3A%2F%2Fwww.webofscience.com%2Fwos%2Fwoscc%2Ffull-record%2FWOS:000274989700002","View Full Record in Web of Science")</f>
        <v>View Full Record in Web of Science</v>
      </c>
    </row>
    <row r="381" spans="1:72" x14ac:dyDescent="0.15">
      <c r="A381" t="s">
        <v>72</v>
      </c>
      <c r="B381" t="s">
        <v>7310</v>
      </c>
      <c r="C381" t="s">
        <v>74</v>
      </c>
      <c r="D381" t="s">
        <v>74</v>
      </c>
      <c r="E381" t="s">
        <v>74</v>
      </c>
      <c r="F381" t="s">
        <v>7311</v>
      </c>
      <c r="G381" t="s">
        <v>74</v>
      </c>
      <c r="H381" t="s">
        <v>74</v>
      </c>
      <c r="I381" t="s">
        <v>7312</v>
      </c>
      <c r="J381" t="s">
        <v>2337</v>
      </c>
      <c r="K381" t="s">
        <v>74</v>
      </c>
      <c r="L381" t="s">
        <v>74</v>
      </c>
      <c r="M381" t="s">
        <v>78</v>
      </c>
      <c r="N381" t="s">
        <v>79</v>
      </c>
      <c r="O381" t="s">
        <v>74</v>
      </c>
      <c r="P381" t="s">
        <v>74</v>
      </c>
      <c r="Q381" t="s">
        <v>74</v>
      </c>
      <c r="R381" t="s">
        <v>74</v>
      </c>
      <c r="S381" t="s">
        <v>74</v>
      </c>
      <c r="T381" t="s">
        <v>74</v>
      </c>
      <c r="U381" t="s">
        <v>7313</v>
      </c>
      <c r="V381" t="s">
        <v>7314</v>
      </c>
      <c r="W381" t="s">
        <v>7315</v>
      </c>
      <c r="X381" t="s">
        <v>7316</v>
      </c>
      <c r="Y381" t="s">
        <v>7317</v>
      </c>
      <c r="Z381" t="s">
        <v>7318</v>
      </c>
      <c r="AA381" t="s">
        <v>7319</v>
      </c>
      <c r="AB381" t="s">
        <v>7320</v>
      </c>
      <c r="AC381" t="s">
        <v>7321</v>
      </c>
      <c r="AD381" t="s">
        <v>7322</v>
      </c>
      <c r="AE381" t="s">
        <v>7323</v>
      </c>
      <c r="AF381" t="s">
        <v>74</v>
      </c>
      <c r="AG381">
        <v>62</v>
      </c>
      <c r="AH381">
        <v>14</v>
      </c>
      <c r="AI381">
        <v>14</v>
      </c>
      <c r="AJ381">
        <v>0</v>
      </c>
      <c r="AK381">
        <v>6</v>
      </c>
      <c r="AL381" t="s">
        <v>2312</v>
      </c>
      <c r="AM381" t="s">
        <v>1655</v>
      </c>
      <c r="AN381" t="s">
        <v>1656</v>
      </c>
      <c r="AO381" t="s">
        <v>2347</v>
      </c>
      <c r="AP381" t="s">
        <v>74</v>
      </c>
      <c r="AQ381" t="s">
        <v>74</v>
      </c>
      <c r="AR381" t="s">
        <v>2349</v>
      </c>
      <c r="AS381" t="s">
        <v>2350</v>
      </c>
      <c r="AT381" t="s">
        <v>5910</v>
      </c>
      <c r="AU381">
        <v>2010</v>
      </c>
      <c r="AV381">
        <v>45</v>
      </c>
      <c r="AW381">
        <v>2</v>
      </c>
      <c r="AX381" t="s">
        <v>74</v>
      </c>
      <c r="AY381" t="s">
        <v>74</v>
      </c>
      <c r="AZ381" t="s">
        <v>74</v>
      </c>
      <c r="BA381" t="s">
        <v>74</v>
      </c>
      <c r="BB381">
        <v>220</v>
      </c>
      <c r="BC381">
        <v>237</v>
      </c>
      <c r="BD381" t="s">
        <v>74</v>
      </c>
      <c r="BE381" t="s">
        <v>7324</v>
      </c>
      <c r="BF381" t="str">
        <f>HYPERLINK("http://dx.doi.org/10.1111/j.1945-5100.2010.01019.x","http://dx.doi.org/10.1111/j.1945-5100.2010.01019.x")</f>
        <v>http://dx.doi.org/10.1111/j.1945-5100.2010.01019.x</v>
      </c>
      <c r="BG381" t="s">
        <v>74</v>
      </c>
      <c r="BH381" t="s">
        <v>74</v>
      </c>
      <c r="BI381">
        <v>18</v>
      </c>
      <c r="BJ381" t="s">
        <v>507</v>
      </c>
      <c r="BK381" t="s">
        <v>102</v>
      </c>
      <c r="BL381" t="s">
        <v>507</v>
      </c>
      <c r="BM381" t="s">
        <v>7325</v>
      </c>
      <c r="BN381" t="s">
        <v>74</v>
      </c>
      <c r="BO381" t="s">
        <v>74</v>
      </c>
      <c r="BP381" t="s">
        <v>74</v>
      </c>
      <c r="BQ381" t="s">
        <v>74</v>
      </c>
      <c r="BR381" t="s">
        <v>105</v>
      </c>
      <c r="BS381" t="s">
        <v>7326</v>
      </c>
      <c r="BT381" t="str">
        <f>HYPERLINK("https%3A%2F%2Fwww.webofscience.com%2Fwos%2Fwoscc%2Ffull-record%2FWOS:000278312100007","View Full Record in Web of Science")</f>
        <v>View Full Record in Web of Science</v>
      </c>
    </row>
    <row r="382" spans="1:72" x14ac:dyDescent="0.15">
      <c r="A382" t="s">
        <v>72</v>
      </c>
      <c r="B382" t="s">
        <v>7327</v>
      </c>
      <c r="C382" t="s">
        <v>74</v>
      </c>
      <c r="D382" t="s">
        <v>74</v>
      </c>
      <c r="E382" t="s">
        <v>74</v>
      </c>
      <c r="F382" t="s">
        <v>7328</v>
      </c>
      <c r="G382" t="s">
        <v>74</v>
      </c>
      <c r="H382" t="s">
        <v>74</v>
      </c>
      <c r="I382" t="s">
        <v>7329</v>
      </c>
      <c r="J382" t="s">
        <v>2337</v>
      </c>
      <c r="K382" t="s">
        <v>74</v>
      </c>
      <c r="L382" t="s">
        <v>74</v>
      </c>
      <c r="M382" t="s">
        <v>78</v>
      </c>
      <c r="N382" t="s">
        <v>79</v>
      </c>
      <c r="O382" t="s">
        <v>74</v>
      </c>
      <c r="P382" t="s">
        <v>74</v>
      </c>
      <c r="Q382" t="s">
        <v>74</v>
      </c>
      <c r="R382" t="s">
        <v>74</v>
      </c>
      <c r="S382" t="s">
        <v>74</v>
      </c>
      <c r="T382" t="s">
        <v>74</v>
      </c>
      <c r="U382" t="s">
        <v>7330</v>
      </c>
      <c r="V382" t="s">
        <v>7331</v>
      </c>
      <c r="W382" t="s">
        <v>7332</v>
      </c>
      <c r="X382" t="s">
        <v>7333</v>
      </c>
      <c r="Y382" t="s">
        <v>7334</v>
      </c>
      <c r="Z382" t="s">
        <v>7335</v>
      </c>
      <c r="AA382" t="s">
        <v>7336</v>
      </c>
      <c r="AB382" t="s">
        <v>7337</v>
      </c>
      <c r="AC382" t="s">
        <v>7338</v>
      </c>
      <c r="AD382" t="s">
        <v>7339</v>
      </c>
      <c r="AE382" t="s">
        <v>7340</v>
      </c>
      <c r="AF382" t="s">
        <v>74</v>
      </c>
      <c r="AG382">
        <v>43</v>
      </c>
      <c r="AH382">
        <v>10</v>
      </c>
      <c r="AI382">
        <v>12</v>
      </c>
      <c r="AJ382">
        <v>0</v>
      </c>
      <c r="AK382">
        <v>14</v>
      </c>
      <c r="AL382" t="s">
        <v>991</v>
      </c>
      <c r="AM382" t="s">
        <v>992</v>
      </c>
      <c r="AN382" t="s">
        <v>993</v>
      </c>
      <c r="AO382" t="s">
        <v>2347</v>
      </c>
      <c r="AP382" t="s">
        <v>2348</v>
      </c>
      <c r="AQ382" t="s">
        <v>74</v>
      </c>
      <c r="AR382" t="s">
        <v>2349</v>
      </c>
      <c r="AS382" t="s">
        <v>2350</v>
      </c>
      <c r="AT382" t="s">
        <v>5910</v>
      </c>
      <c r="AU382">
        <v>2010</v>
      </c>
      <c r="AV382">
        <v>45</v>
      </c>
      <c r="AW382">
        <v>2</v>
      </c>
      <c r="AX382" t="s">
        <v>74</v>
      </c>
      <c r="AY382" t="s">
        <v>74</v>
      </c>
      <c r="AZ382" t="s">
        <v>74</v>
      </c>
      <c r="BA382" t="s">
        <v>74</v>
      </c>
      <c r="BB382">
        <v>238</v>
      </c>
      <c r="BC382">
        <v>245</v>
      </c>
      <c r="BD382" t="s">
        <v>74</v>
      </c>
      <c r="BE382" t="s">
        <v>7341</v>
      </c>
      <c r="BF382" t="str">
        <f>HYPERLINK("http://dx.doi.org/10.1111/j.1945-5100.2010.01020.x","http://dx.doi.org/10.1111/j.1945-5100.2010.01020.x")</f>
        <v>http://dx.doi.org/10.1111/j.1945-5100.2010.01020.x</v>
      </c>
      <c r="BG382" t="s">
        <v>74</v>
      </c>
      <c r="BH382" t="s">
        <v>74</v>
      </c>
      <c r="BI382">
        <v>8</v>
      </c>
      <c r="BJ382" t="s">
        <v>507</v>
      </c>
      <c r="BK382" t="s">
        <v>102</v>
      </c>
      <c r="BL382" t="s">
        <v>507</v>
      </c>
      <c r="BM382" t="s">
        <v>7325</v>
      </c>
      <c r="BN382" t="s">
        <v>74</v>
      </c>
      <c r="BO382" t="s">
        <v>346</v>
      </c>
      <c r="BP382" t="s">
        <v>74</v>
      </c>
      <c r="BQ382" t="s">
        <v>74</v>
      </c>
      <c r="BR382" t="s">
        <v>105</v>
      </c>
      <c r="BS382" t="s">
        <v>7342</v>
      </c>
      <c r="BT382" t="str">
        <f>HYPERLINK("https%3A%2F%2Fwww.webofscience.com%2Fwos%2Fwoscc%2Ffull-record%2FWOS:000278312100008","View Full Record in Web of Science")</f>
        <v>View Full Record in Web of Science</v>
      </c>
    </row>
    <row r="383" spans="1:72" x14ac:dyDescent="0.15">
      <c r="A383" t="s">
        <v>72</v>
      </c>
      <c r="B383" t="s">
        <v>7343</v>
      </c>
      <c r="C383" t="s">
        <v>74</v>
      </c>
      <c r="D383" t="s">
        <v>74</v>
      </c>
      <c r="E383" t="s">
        <v>74</v>
      </c>
      <c r="F383" t="s">
        <v>7344</v>
      </c>
      <c r="G383" t="s">
        <v>74</v>
      </c>
      <c r="H383" t="s">
        <v>74</v>
      </c>
      <c r="I383" t="s">
        <v>7345</v>
      </c>
      <c r="J383" t="s">
        <v>7346</v>
      </c>
      <c r="K383" t="s">
        <v>74</v>
      </c>
      <c r="L383" t="s">
        <v>74</v>
      </c>
      <c r="M383" t="s">
        <v>78</v>
      </c>
      <c r="N383" t="s">
        <v>600</v>
      </c>
      <c r="O383" t="s">
        <v>74</v>
      </c>
      <c r="P383" t="s">
        <v>74</v>
      </c>
      <c r="Q383" t="s">
        <v>74</v>
      </c>
      <c r="R383" t="s">
        <v>74</v>
      </c>
      <c r="S383" t="s">
        <v>74</v>
      </c>
      <c r="T383" t="s">
        <v>74</v>
      </c>
      <c r="U383" t="s">
        <v>7347</v>
      </c>
      <c r="V383" t="s">
        <v>7348</v>
      </c>
      <c r="W383" t="s">
        <v>7349</v>
      </c>
      <c r="X383" t="s">
        <v>7350</v>
      </c>
      <c r="Y383" t="s">
        <v>7351</v>
      </c>
      <c r="Z383" t="s">
        <v>7352</v>
      </c>
      <c r="AA383" t="s">
        <v>7353</v>
      </c>
      <c r="AB383" t="s">
        <v>7354</v>
      </c>
      <c r="AC383" t="s">
        <v>7355</v>
      </c>
      <c r="AD383" t="s">
        <v>7356</v>
      </c>
      <c r="AE383" t="s">
        <v>7357</v>
      </c>
      <c r="AF383" t="s">
        <v>74</v>
      </c>
      <c r="AG383">
        <v>91</v>
      </c>
      <c r="AH383">
        <v>63</v>
      </c>
      <c r="AI383">
        <v>73</v>
      </c>
      <c r="AJ383">
        <v>1</v>
      </c>
      <c r="AK383">
        <v>55</v>
      </c>
      <c r="AL383" t="s">
        <v>1641</v>
      </c>
      <c r="AM383" t="s">
        <v>407</v>
      </c>
      <c r="AN383" t="s">
        <v>1642</v>
      </c>
      <c r="AO383" t="s">
        <v>7358</v>
      </c>
      <c r="AP383" t="s">
        <v>7359</v>
      </c>
      <c r="AQ383" t="s">
        <v>74</v>
      </c>
      <c r="AR383" t="s">
        <v>7360</v>
      </c>
      <c r="AS383" t="s">
        <v>7361</v>
      </c>
      <c r="AT383" t="s">
        <v>5910</v>
      </c>
      <c r="AU383">
        <v>2010</v>
      </c>
      <c r="AV383">
        <v>156</v>
      </c>
      <c r="AW383" t="s">
        <v>74</v>
      </c>
      <c r="AX383">
        <v>2</v>
      </c>
      <c r="AY383" t="s">
        <v>74</v>
      </c>
      <c r="AZ383" t="s">
        <v>74</v>
      </c>
      <c r="BA383" t="s">
        <v>74</v>
      </c>
      <c r="BB383">
        <v>302</v>
      </c>
      <c r="BC383">
        <v>312</v>
      </c>
      <c r="BD383" t="s">
        <v>74</v>
      </c>
      <c r="BE383" t="s">
        <v>7362</v>
      </c>
      <c r="BF383" t="str">
        <f>HYPERLINK("http://dx.doi.org/10.1099/mic.0.034421-0","http://dx.doi.org/10.1099/mic.0.034421-0")</f>
        <v>http://dx.doi.org/10.1099/mic.0.034421-0</v>
      </c>
      <c r="BG383" t="s">
        <v>74</v>
      </c>
      <c r="BH383" t="s">
        <v>74</v>
      </c>
      <c r="BI383">
        <v>11</v>
      </c>
      <c r="BJ383" t="s">
        <v>1612</v>
      </c>
      <c r="BK383" t="s">
        <v>102</v>
      </c>
      <c r="BL383" t="s">
        <v>1612</v>
      </c>
      <c r="BM383" t="s">
        <v>7363</v>
      </c>
      <c r="BN383">
        <v>19959582</v>
      </c>
      <c r="BO383" t="s">
        <v>3033</v>
      </c>
      <c r="BP383" t="s">
        <v>74</v>
      </c>
      <c r="BQ383" t="s">
        <v>74</v>
      </c>
      <c r="BR383" t="s">
        <v>105</v>
      </c>
      <c r="BS383" t="s">
        <v>7364</v>
      </c>
      <c r="BT383" t="str">
        <f>HYPERLINK("https%3A%2F%2Fwww.webofscience.com%2Fwos%2Fwoscc%2Ffull-record%2FWOS:000275139800002","View Full Record in Web of Science")</f>
        <v>View Full Record in Web of Science</v>
      </c>
    </row>
    <row r="384" spans="1:72" x14ac:dyDescent="0.15">
      <c r="A384" t="s">
        <v>72</v>
      </c>
      <c r="B384" t="s">
        <v>7365</v>
      </c>
      <c r="C384" t="s">
        <v>74</v>
      </c>
      <c r="D384" t="s">
        <v>74</v>
      </c>
      <c r="E384" t="s">
        <v>74</v>
      </c>
      <c r="F384" t="s">
        <v>7366</v>
      </c>
      <c r="G384" t="s">
        <v>74</v>
      </c>
      <c r="H384" t="s">
        <v>74</v>
      </c>
      <c r="I384" t="s">
        <v>7367</v>
      </c>
      <c r="J384" t="s">
        <v>7368</v>
      </c>
      <c r="K384" t="s">
        <v>74</v>
      </c>
      <c r="L384" t="s">
        <v>74</v>
      </c>
      <c r="M384" t="s">
        <v>78</v>
      </c>
      <c r="N384" t="s">
        <v>79</v>
      </c>
      <c r="O384" t="s">
        <v>74</v>
      </c>
      <c r="P384" t="s">
        <v>74</v>
      </c>
      <c r="Q384" t="s">
        <v>74</v>
      </c>
      <c r="R384" t="s">
        <v>74</v>
      </c>
      <c r="S384" t="s">
        <v>74</v>
      </c>
      <c r="T384" t="s">
        <v>7369</v>
      </c>
      <c r="U384" t="s">
        <v>7370</v>
      </c>
      <c r="V384" t="s">
        <v>7371</v>
      </c>
      <c r="W384" t="s">
        <v>7372</v>
      </c>
      <c r="X384" t="s">
        <v>7373</v>
      </c>
      <c r="Y384" t="s">
        <v>7374</v>
      </c>
      <c r="Z384" t="s">
        <v>7375</v>
      </c>
      <c r="AA384" t="s">
        <v>7376</v>
      </c>
      <c r="AB384" t="s">
        <v>7377</v>
      </c>
      <c r="AC384" t="s">
        <v>7378</v>
      </c>
      <c r="AD384" t="s">
        <v>7379</v>
      </c>
      <c r="AE384" t="s">
        <v>7380</v>
      </c>
      <c r="AF384" t="s">
        <v>74</v>
      </c>
      <c r="AG384">
        <v>44</v>
      </c>
      <c r="AH384">
        <v>34</v>
      </c>
      <c r="AI384">
        <v>44</v>
      </c>
      <c r="AJ384">
        <v>0</v>
      </c>
      <c r="AK384">
        <v>8</v>
      </c>
      <c r="AL384" t="s">
        <v>813</v>
      </c>
      <c r="AM384" t="s">
        <v>814</v>
      </c>
      <c r="AN384" t="s">
        <v>815</v>
      </c>
      <c r="AO384" t="s">
        <v>7381</v>
      </c>
      <c r="AP384" t="s">
        <v>7382</v>
      </c>
      <c r="AQ384" t="s">
        <v>74</v>
      </c>
      <c r="AR384" t="s">
        <v>7383</v>
      </c>
      <c r="AS384" t="s">
        <v>7384</v>
      </c>
      <c r="AT384" t="s">
        <v>5910</v>
      </c>
      <c r="AU384">
        <v>2010</v>
      </c>
      <c r="AV384">
        <v>37</v>
      </c>
      <c r="AW384">
        <v>2</v>
      </c>
      <c r="AX384" t="s">
        <v>74</v>
      </c>
      <c r="AY384" t="s">
        <v>74</v>
      </c>
      <c r="AZ384" t="s">
        <v>74</v>
      </c>
      <c r="BA384" t="s">
        <v>74</v>
      </c>
      <c r="BB384">
        <v>771</v>
      </c>
      <c r="BC384">
        <v>784</v>
      </c>
      <c r="BD384" t="s">
        <v>74</v>
      </c>
      <c r="BE384" t="s">
        <v>7385</v>
      </c>
      <c r="BF384" t="str">
        <f>HYPERLINK("http://dx.doi.org/10.1007/s11033-009-9602-7","http://dx.doi.org/10.1007/s11033-009-9602-7")</f>
        <v>http://dx.doi.org/10.1007/s11033-009-9602-7</v>
      </c>
      <c r="BG384" t="s">
        <v>74</v>
      </c>
      <c r="BH384" t="s">
        <v>74</v>
      </c>
      <c r="BI384">
        <v>14</v>
      </c>
      <c r="BJ384" t="s">
        <v>7136</v>
      </c>
      <c r="BK384" t="s">
        <v>102</v>
      </c>
      <c r="BL384" t="s">
        <v>7136</v>
      </c>
      <c r="BM384" t="s">
        <v>7386</v>
      </c>
      <c r="BN384">
        <v>19578978</v>
      </c>
      <c r="BO384" t="s">
        <v>74</v>
      </c>
      <c r="BP384" t="s">
        <v>74</v>
      </c>
      <c r="BQ384" t="s">
        <v>74</v>
      </c>
      <c r="BR384" t="s">
        <v>105</v>
      </c>
      <c r="BS384" t="s">
        <v>7387</v>
      </c>
      <c r="BT384" t="str">
        <f>HYPERLINK("https%3A%2F%2Fwww.webofscience.com%2Fwos%2Fwoscc%2Ffull-record%2FWOS:000273085800018","View Full Record in Web of Science")</f>
        <v>View Full Record in Web of Science</v>
      </c>
    </row>
    <row r="385" spans="1:72" x14ac:dyDescent="0.15">
      <c r="A385" t="s">
        <v>72</v>
      </c>
      <c r="B385" t="s">
        <v>7388</v>
      </c>
      <c r="C385" t="s">
        <v>74</v>
      </c>
      <c r="D385" t="s">
        <v>74</v>
      </c>
      <c r="E385" t="s">
        <v>74</v>
      </c>
      <c r="F385" t="s">
        <v>7389</v>
      </c>
      <c r="G385" t="s">
        <v>74</v>
      </c>
      <c r="H385" t="s">
        <v>74</v>
      </c>
      <c r="I385" t="s">
        <v>7390</v>
      </c>
      <c r="J385" t="s">
        <v>2404</v>
      </c>
      <c r="K385" t="s">
        <v>74</v>
      </c>
      <c r="L385" t="s">
        <v>74</v>
      </c>
      <c r="M385" t="s">
        <v>78</v>
      </c>
      <c r="N385" t="s">
        <v>79</v>
      </c>
      <c r="O385" t="s">
        <v>74</v>
      </c>
      <c r="P385" t="s">
        <v>74</v>
      </c>
      <c r="Q385" t="s">
        <v>74</v>
      </c>
      <c r="R385" t="s">
        <v>74</v>
      </c>
      <c r="S385" t="s">
        <v>74</v>
      </c>
      <c r="T385" t="s">
        <v>7391</v>
      </c>
      <c r="U385" t="s">
        <v>7392</v>
      </c>
      <c r="V385" t="s">
        <v>7393</v>
      </c>
      <c r="W385" t="s">
        <v>7394</v>
      </c>
      <c r="X385" t="s">
        <v>7395</v>
      </c>
      <c r="Y385" t="s">
        <v>7396</v>
      </c>
      <c r="Z385" t="s">
        <v>7397</v>
      </c>
      <c r="AA385" t="s">
        <v>7398</v>
      </c>
      <c r="AB385" t="s">
        <v>7399</v>
      </c>
      <c r="AC385" t="s">
        <v>7400</v>
      </c>
      <c r="AD385" t="s">
        <v>7401</v>
      </c>
      <c r="AE385" t="s">
        <v>7402</v>
      </c>
      <c r="AF385" t="s">
        <v>74</v>
      </c>
      <c r="AG385">
        <v>89</v>
      </c>
      <c r="AH385">
        <v>27</v>
      </c>
      <c r="AI385">
        <v>30</v>
      </c>
      <c r="AJ385">
        <v>0</v>
      </c>
      <c r="AK385">
        <v>31</v>
      </c>
      <c r="AL385" t="s">
        <v>2417</v>
      </c>
      <c r="AM385" t="s">
        <v>2418</v>
      </c>
      <c r="AN385" t="s">
        <v>2419</v>
      </c>
      <c r="AO385" t="s">
        <v>2420</v>
      </c>
      <c r="AP385" t="s">
        <v>2421</v>
      </c>
      <c r="AQ385" t="s">
        <v>74</v>
      </c>
      <c r="AR385" t="s">
        <v>2422</v>
      </c>
      <c r="AS385" t="s">
        <v>2423</v>
      </c>
      <c r="AT385" t="s">
        <v>5910</v>
      </c>
      <c r="AU385">
        <v>2010</v>
      </c>
      <c r="AV385">
        <v>54</v>
      </c>
      <c r="AW385">
        <v>2</v>
      </c>
      <c r="AX385" t="s">
        <v>74</v>
      </c>
      <c r="AY385" t="s">
        <v>74</v>
      </c>
      <c r="AZ385" t="s">
        <v>74</v>
      </c>
      <c r="BA385" t="s">
        <v>74</v>
      </c>
      <c r="BB385">
        <v>357</v>
      </c>
      <c r="BC385">
        <v>371</v>
      </c>
      <c r="BD385" t="s">
        <v>74</v>
      </c>
      <c r="BE385" t="s">
        <v>7403</v>
      </c>
      <c r="BF385" t="str">
        <f>HYPERLINK("http://dx.doi.org/10.1016/j.ympev.2009.08.011","http://dx.doi.org/10.1016/j.ympev.2009.08.011")</f>
        <v>http://dx.doi.org/10.1016/j.ympev.2009.08.011</v>
      </c>
      <c r="BG385" t="s">
        <v>74</v>
      </c>
      <c r="BH385" t="s">
        <v>74</v>
      </c>
      <c r="BI385">
        <v>15</v>
      </c>
      <c r="BJ385" t="s">
        <v>2425</v>
      </c>
      <c r="BK385" t="s">
        <v>102</v>
      </c>
      <c r="BL385" t="s">
        <v>2425</v>
      </c>
      <c r="BM385" t="s">
        <v>7404</v>
      </c>
      <c r="BN385">
        <v>19686859</v>
      </c>
      <c r="BO385" t="s">
        <v>74</v>
      </c>
      <c r="BP385" t="s">
        <v>74</v>
      </c>
      <c r="BQ385" t="s">
        <v>74</v>
      </c>
      <c r="BR385" t="s">
        <v>105</v>
      </c>
      <c r="BS385" t="s">
        <v>7405</v>
      </c>
      <c r="BT385" t="str">
        <f>HYPERLINK("https%3A%2F%2Fwww.webofscience.com%2Fwos%2Fwoscc%2Ffull-record%2FWOS:000273758200005","View Full Record in Web of Science")</f>
        <v>View Full Record in Web of Science</v>
      </c>
    </row>
    <row r="386" spans="1:72" x14ac:dyDescent="0.15">
      <c r="A386" t="s">
        <v>72</v>
      </c>
      <c r="B386" t="s">
        <v>7406</v>
      </c>
      <c r="C386" t="s">
        <v>74</v>
      </c>
      <c r="D386" t="s">
        <v>74</v>
      </c>
      <c r="E386" t="s">
        <v>74</v>
      </c>
      <c r="F386" t="s">
        <v>7407</v>
      </c>
      <c r="G386" t="s">
        <v>74</v>
      </c>
      <c r="H386" t="s">
        <v>74</v>
      </c>
      <c r="I386" t="s">
        <v>7408</v>
      </c>
      <c r="J386" t="s">
        <v>2404</v>
      </c>
      <c r="K386" t="s">
        <v>74</v>
      </c>
      <c r="L386" t="s">
        <v>74</v>
      </c>
      <c r="M386" t="s">
        <v>78</v>
      </c>
      <c r="N386" t="s">
        <v>600</v>
      </c>
      <c r="O386" t="s">
        <v>74</v>
      </c>
      <c r="P386" t="s">
        <v>74</v>
      </c>
      <c r="Q386" t="s">
        <v>74</v>
      </c>
      <c r="R386" t="s">
        <v>74</v>
      </c>
      <c r="S386" t="s">
        <v>74</v>
      </c>
      <c r="T386" t="s">
        <v>7409</v>
      </c>
      <c r="U386" t="s">
        <v>7410</v>
      </c>
      <c r="V386" t="s">
        <v>7411</v>
      </c>
      <c r="W386" t="s">
        <v>7412</v>
      </c>
      <c r="X386" t="s">
        <v>7413</v>
      </c>
      <c r="Y386" t="s">
        <v>7414</v>
      </c>
      <c r="Z386" t="s">
        <v>7415</v>
      </c>
      <c r="AA386" t="s">
        <v>7416</v>
      </c>
      <c r="AB386" t="s">
        <v>7417</v>
      </c>
      <c r="AC386" t="s">
        <v>7418</v>
      </c>
      <c r="AD386" t="s">
        <v>7419</v>
      </c>
      <c r="AE386" t="s">
        <v>7420</v>
      </c>
      <c r="AF386" t="s">
        <v>74</v>
      </c>
      <c r="AG386">
        <v>102</v>
      </c>
      <c r="AH386">
        <v>34</v>
      </c>
      <c r="AI386">
        <v>37</v>
      </c>
      <c r="AJ386">
        <v>0</v>
      </c>
      <c r="AK386">
        <v>26</v>
      </c>
      <c r="AL386" t="s">
        <v>2417</v>
      </c>
      <c r="AM386" t="s">
        <v>2418</v>
      </c>
      <c r="AN386" t="s">
        <v>2419</v>
      </c>
      <c r="AO386" t="s">
        <v>2420</v>
      </c>
      <c r="AP386" t="s">
        <v>2421</v>
      </c>
      <c r="AQ386" t="s">
        <v>74</v>
      </c>
      <c r="AR386" t="s">
        <v>2422</v>
      </c>
      <c r="AS386" t="s">
        <v>2423</v>
      </c>
      <c r="AT386" t="s">
        <v>5910</v>
      </c>
      <c r="AU386">
        <v>2010</v>
      </c>
      <c r="AV386">
        <v>54</v>
      </c>
      <c r="AW386">
        <v>2</v>
      </c>
      <c r="AX386" t="s">
        <v>74</v>
      </c>
      <c r="AY386" t="s">
        <v>74</v>
      </c>
      <c r="AZ386" t="s">
        <v>74</v>
      </c>
      <c r="BA386" t="s">
        <v>74</v>
      </c>
      <c r="BB386">
        <v>472</v>
      </c>
      <c r="BC386">
        <v>487</v>
      </c>
      <c r="BD386" t="s">
        <v>74</v>
      </c>
      <c r="BE386" t="s">
        <v>7421</v>
      </c>
      <c r="BF386" t="str">
        <f>HYPERLINK("http://dx.doi.org/10.1016/j.ympev.2009.09.005","http://dx.doi.org/10.1016/j.ympev.2009.09.005")</f>
        <v>http://dx.doi.org/10.1016/j.ympev.2009.09.005</v>
      </c>
      <c r="BG386" t="s">
        <v>74</v>
      </c>
      <c r="BH386" t="s">
        <v>74</v>
      </c>
      <c r="BI386">
        <v>16</v>
      </c>
      <c r="BJ386" t="s">
        <v>2425</v>
      </c>
      <c r="BK386" t="s">
        <v>102</v>
      </c>
      <c r="BL386" t="s">
        <v>2425</v>
      </c>
      <c r="BM386" t="s">
        <v>7404</v>
      </c>
      <c r="BN386">
        <v>19755164</v>
      </c>
      <c r="BO386" t="s">
        <v>74</v>
      </c>
      <c r="BP386" t="s">
        <v>74</v>
      </c>
      <c r="BQ386" t="s">
        <v>74</v>
      </c>
      <c r="BR386" t="s">
        <v>105</v>
      </c>
      <c r="BS386" t="s">
        <v>7422</v>
      </c>
      <c r="BT386" t="str">
        <f>HYPERLINK("https%3A%2F%2Fwww.webofscience.com%2Fwos%2Fwoscc%2Ffull-record%2FWOS:000273758200015","View Full Record in Web of Science")</f>
        <v>View Full Record in Web of Science</v>
      </c>
    </row>
    <row r="387" spans="1:72" x14ac:dyDescent="0.15">
      <c r="A387" t="s">
        <v>72</v>
      </c>
      <c r="B387" t="s">
        <v>7423</v>
      </c>
      <c r="C387" t="s">
        <v>74</v>
      </c>
      <c r="D387" t="s">
        <v>74</v>
      </c>
      <c r="E387" t="s">
        <v>74</v>
      </c>
      <c r="F387" t="s">
        <v>7424</v>
      </c>
      <c r="G387" t="s">
        <v>74</v>
      </c>
      <c r="H387" t="s">
        <v>74</v>
      </c>
      <c r="I387" t="s">
        <v>7425</v>
      </c>
      <c r="J387" t="s">
        <v>7426</v>
      </c>
      <c r="K387" t="s">
        <v>74</v>
      </c>
      <c r="L387" t="s">
        <v>74</v>
      </c>
      <c r="M387" t="s">
        <v>78</v>
      </c>
      <c r="N387" t="s">
        <v>600</v>
      </c>
      <c r="O387" t="s">
        <v>74</v>
      </c>
      <c r="P387" t="s">
        <v>74</v>
      </c>
      <c r="Q387" t="s">
        <v>74</v>
      </c>
      <c r="R387" t="s">
        <v>74</v>
      </c>
      <c r="S387" t="s">
        <v>74</v>
      </c>
      <c r="T387" t="s">
        <v>74</v>
      </c>
      <c r="U387" t="s">
        <v>7427</v>
      </c>
      <c r="V387" t="s">
        <v>7428</v>
      </c>
      <c r="W387" t="s">
        <v>7429</v>
      </c>
      <c r="X387" t="s">
        <v>7430</v>
      </c>
      <c r="Y387" t="s">
        <v>7431</v>
      </c>
      <c r="Z387" t="s">
        <v>7432</v>
      </c>
      <c r="AA387" t="s">
        <v>7433</v>
      </c>
      <c r="AB387" t="s">
        <v>7434</v>
      </c>
      <c r="AC387" t="s">
        <v>7435</v>
      </c>
      <c r="AD387" t="s">
        <v>7436</v>
      </c>
      <c r="AE387" t="s">
        <v>7437</v>
      </c>
      <c r="AF387" t="s">
        <v>74</v>
      </c>
      <c r="AG387">
        <v>111</v>
      </c>
      <c r="AH387">
        <v>400</v>
      </c>
      <c r="AI387">
        <v>445</v>
      </c>
      <c r="AJ387">
        <v>10</v>
      </c>
      <c r="AK387">
        <v>213</v>
      </c>
      <c r="AL387" t="s">
        <v>7438</v>
      </c>
      <c r="AM387" t="s">
        <v>6462</v>
      </c>
      <c r="AN387" t="s">
        <v>7439</v>
      </c>
      <c r="AO387" t="s">
        <v>7440</v>
      </c>
      <c r="AP387" t="s">
        <v>7441</v>
      </c>
      <c r="AQ387" t="s">
        <v>74</v>
      </c>
      <c r="AR387" t="s">
        <v>7442</v>
      </c>
      <c r="AS387" t="s">
        <v>7443</v>
      </c>
      <c r="AT387" t="s">
        <v>5910</v>
      </c>
      <c r="AU387">
        <v>2010</v>
      </c>
      <c r="AV387">
        <v>8</v>
      </c>
      <c r="AW387">
        <v>2</v>
      </c>
      <c r="AX387" t="s">
        <v>74</v>
      </c>
      <c r="AY387" t="s">
        <v>74</v>
      </c>
      <c r="AZ387" t="s">
        <v>74</v>
      </c>
      <c r="BA387" t="s">
        <v>74</v>
      </c>
      <c r="BB387">
        <v>129</v>
      </c>
      <c r="BC387">
        <v>138</v>
      </c>
      <c r="BD387" t="s">
        <v>74</v>
      </c>
      <c r="BE387" t="s">
        <v>7444</v>
      </c>
      <c r="BF387" t="str">
        <f>HYPERLINK("http://dx.doi.org/10.1038/nrmicro2281","http://dx.doi.org/10.1038/nrmicro2281")</f>
        <v>http://dx.doi.org/10.1038/nrmicro2281</v>
      </c>
      <c r="BG387" t="s">
        <v>74</v>
      </c>
      <c r="BH387" t="s">
        <v>74</v>
      </c>
      <c r="BI387">
        <v>10</v>
      </c>
      <c r="BJ387" t="s">
        <v>1612</v>
      </c>
      <c r="BK387" t="s">
        <v>102</v>
      </c>
      <c r="BL387" t="s">
        <v>1612</v>
      </c>
      <c r="BM387" t="s">
        <v>7445</v>
      </c>
      <c r="BN387">
        <v>20075927</v>
      </c>
      <c r="BO387" t="s">
        <v>74</v>
      </c>
      <c r="BP387" t="s">
        <v>74</v>
      </c>
      <c r="BQ387" t="s">
        <v>74</v>
      </c>
      <c r="BR387" t="s">
        <v>105</v>
      </c>
      <c r="BS387" t="s">
        <v>7446</v>
      </c>
      <c r="BT387" t="str">
        <f>HYPERLINK("https%3A%2F%2Fwww.webofscience.com%2Fwos%2Fwoscc%2Ffull-record%2FWOS:000273659700012","View Full Record in Web of Science")</f>
        <v>View Full Record in Web of Science</v>
      </c>
    </row>
    <row r="388" spans="1:72" x14ac:dyDescent="0.15">
      <c r="A388" t="s">
        <v>72</v>
      </c>
      <c r="B388" t="s">
        <v>7447</v>
      </c>
      <c r="C388" t="s">
        <v>74</v>
      </c>
      <c r="D388" t="s">
        <v>74</v>
      </c>
      <c r="E388" t="s">
        <v>74</v>
      </c>
      <c r="F388" t="s">
        <v>7448</v>
      </c>
      <c r="G388" t="s">
        <v>74</v>
      </c>
      <c r="H388" t="s">
        <v>74</v>
      </c>
      <c r="I388" t="s">
        <v>7449</v>
      </c>
      <c r="J388" t="s">
        <v>7450</v>
      </c>
      <c r="K388" t="s">
        <v>74</v>
      </c>
      <c r="L388" t="s">
        <v>74</v>
      </c>
      <c r="M388" t="s">
        <v>78</v>
      </c>
      <c r="N388" t="s">
        <v>79</v>
      </c>
      <c r="O388" t="s">
        <v>74</v>
      </c>
      <c r="P388" t="s">
        <v>74</v>
      </c>
      <c r="Q388" t="s">
        <v>74</v>
      </c>
      <c r="R388" t="s">
        <v>74</v>
      </c>
      <c r="S388" t="s">
        <v>74</v>
      </c>
      <c r="T388" t="s">
        <v>7451</v>
      </c>
      <c r="U388" t="s">
        <v>7452</v>
      </c>
      <c r="V388" t="s">
        <v>7453</v>
      </c>
      <c r="W388" t="s">
        <v>7454</v>
      </c>
      <c r="X388" t="s">
        <v>7455</v>
      </c>
      <c r="Y388" t="s">
        <v>7456</v>
      </c>
      <c r="Z388" t="s">
        <v>7457</v>
      </c>
      <c r="AA388" t="s">
        <v>7458</v>
      </c>
      <c r="AB388" t="s">
        <v>7459</v>
      </c>
      <c r="AC388" t="s">
        <v>7460</v>
      </c>
      <c r="AD388" t="s">
        <v>7461</v>
      </c>
      <c r="AE388" t="s">
        <v>7462</v>
      </c>
      <c r="AF388" t="s">
        <v>74</v>
      </c>
      <c r="AG388">
        <v>77</v>
      </c>
      <c r="AH388">
        <v>15</v>
      </c>
      <c r="AI388">
        <v>17</v>
      </c>
      <c r="AJ388">
        <v>1</v>
      </c>
      <c r="AK388">
        <v>6</v>
      </c>
      <c r="AL388" t="s">
        <v>813</v>
      </c>
      <c r="AM388" t="s">
        <v>225</v>
      </c>
      <c r="AN388" t="s">
        <v>907</v>
      </c>
      <c r="AO388" t="s">
        <v>7463</v>
      </c>
      <c r="AP388" t="s">
        <v>7464</v>
      </c>
      <c r="AQ388" t="s">
        <v>74</v>
      </c>
      <c r="AR388" t="s">
        <v>7450</v>
      </c>
      <c r="AS388" t="s">
        <v>7465</v>
      </c>
      <c r="AT388" t="s">
        <v>5910</v>
      </c>
      <c r="AU388">
        <v>2010</v>
      </c>
      <c r="AV388">
        <v>97</v>
      </c>
      <c r="AW388">
        <v>2</v>
      </c>
      <c r="AX388" t="s">
        <v>74</v>
      </c>
      <c r="AY388" t="s">
        <v>74</v>
      </c>
      <c r="AZ388" t="s">
        <v>74</v>
      </c>
      <c r="BA388" t="s">
        <v>74</v>
      </c>
      <c r="BB388">
        <v>161</v>
      </c>
      <c r="BC388">
        <v>172</v>
      </c>
      <c r="BD388" t="s">
        <v>74</v>
      </c>
      <c r="BE388" t="s">
        <v>7466</v>
      </c>
      <c r="BF388" t="str">
        <f>HYPERLINK("http://dx.doi.org/10.1007/s00114-009-0623-9","http://dx.doi.org/10.1007/s00114-009-0623-9")</f>
        <v>http://dx.doi.org/10.1007/s00114-009-0623-9</v>
      </c>
      <c r="BG388" t="s">
        <v>74</v>
      </c>
      <c r="BH388" t="s">
        <v>74</v>
      </c>
      <c r="BI388">
        <v>12</v>
      </c>
      <c r="BJ388" t="s">
        <v>323</v>
      </c>
      <c r="BK388" t="s">
        <v>102</v>
      </c>
      <c r="BL388" t="s">
        <v>324</v>
      </c>
      <c r="BM388" t="s">
        <v>7467</v>
      </c>
      <c r="BN388">
        <v>19936694</v>
      </c>
      <c r="BO388" t="s">
        <v>555</v>
      </c>
      <c r="BP388" t="s">
        <v>74</v>
      </c>
      <c r="BQ388" t="s">
        <v>74</v>
      </c>
      <c r="BR388" t="s">
        <v>105</v>
      </c>
      <c r="BS388" t="s">
        <v>7468</v>
      </c>
      <c r="BT388" t="str">
        <f>HYPERLINK("https%3A%2F%2Fwww.webofscience.com%2Fwos%2Fwoscc%2Ffull-record%2FWOS:000274041100005","View Full Record in Web of Science")</f>
        <v>View Full Record in Web of Science</v>
      </c>
    </row>
    <row r="389" spans="1:72" x14ac:dyDescent="0.15">
      <c r="A389" t="s">
        <v>72</v>
      </c>
      <c r="B389" t="s">
        <v>7469</v>
      </c>
      <c r="C389" t="s">
        <v>74</v>
      </c>
      <c r="D389" t="s">
        <v>74</v>
      </c>
      <c r="E389" t="s">
        <v>74</v>
      </c>
      <c r="F389" t="s">
        <v>7470</v>
      </c>
      <c r="G389" t="s">
        <v>74</v>
      </c>
      <c r="H389" t="s">
        <v>74</v>
      </c>
      <c r="I389" t="s">
        <v>7471</v>
      </c>
      <c r="J389" t="s">
        <v>7450</v>
      </c>
      <c r="K389" t="s">
        <v>74</v>
      </c>
      <c r="L389" t="s">
        <v>74</v>
      </c>
      <c r="M389" t="s">
        <v>78</v>
      </c>
      <c r="N389" t="s">
        <v>79</v>
      </c>
      <c r="O389" t="s">
        <v>74</v>
      </c>
      <c r="P389" t="s">
        <v>74</v>
      </c>
      <c r="Q389" t="s">
        <v>74</v>
      </c>
      <c r="R389" t="s">
        <v>74</v>
      </c>
      <c r="S389" t="s">
        <v>74</v>
      </c>
      <c r="T389" t="s">
        <v>7472</v>
      </c>
      <c r="U389" t="s">
        <v>7473</v>
      </c>
      <c r="V389" t="s">
        <v>7474</v>
      </c>
      <c r="W389" t="s">
        <v>7475</v>
      </c>
      <c r="X389" t="s">
        <v>7476</v>
      </c>
      <c r="Y389" t="s">
        <v>7477</v>
      </c>
      <c r="Z389" t="s">
        <v>7478</v>
      </c>
      <c r="AA389" t="s">
        <v>74</v>
      </c>
      <c r="AB389" t="s">
        <v>74</v>
      </c>
      <c r="AC389" t="s">
        <v>7479</v>
      </c>
      <c r="AD389" t="s">
        <v>7480</v>
      </c>
      <c r="AE389" t="s">
        <v>7481</v>
      </c>
      <c r="AF389" t="s">
        <v>74</v>
      </c>
      <c r="AG389">
        <v>83</v>
      </c>
      <c r="AH389">
        <v>56</v>
      </c>
      <c r="AI389">
        <v>60</v>
      </c>
      <c r="AJ389">
        <v>0</v>
      </c>
      <c r="AK389">
        <v>19</v>
      </c>
      <c r="AL389" t="s">
        <v>813</v>
      </c>
      <c r="AM389" t="s">
        <v>225</v>
      </c>
      <c r="AN389" t="s">
        <v>2228</v>
      </c>
      <c r="AO389" t="s">
        <v>7463</v>
      </c>
      <c r="AP389" t="s">
        <v>7464</v>
      </c>
      <c r="AQ389" t="s">
        <v>74</v>
      </c>
      <c r="AR389" t="s">
        <v>7450</v>
      </c>
      <c r="AS389" t="s">
        <v>7465</v>
      </c>
      <c r="AT389" t="s">
        <v>5910</v>
      </c>
      <c r="AU389">
        <v>2010</v>
      </c>
      <c r="AV389">
        <v>97</v>
      </c>
      <c r="AW389">
        <v>2</v>
      </c>
      <c r="AX389" t="s">
        <v>74</v>
      </c>
      <c r="AY389" t="s">
        <v>74</v>
      </c>
      <c r="AZ389" t="s">
        <v>74</v>
      </c>
      <c r="BA389" t="s">
        <v>74</v>
      </c>
      <c r="BB389">
        <v>187</v>
      </c>
      <c r="BC389">
        <v>196</v>
      </c>
      <c r="BD389" t="s">
        <v>74</v>
      </c>
      <c r="BE389" t="s">
        <v>7482</v>
      </c>
      <c r="BF389" t="str">
        <f>HYPERLINK("http://dx.doi.org/10.1007/s00114-009-0626-6","http://dx.doi.org/10.1007/s00114-009-0626-6")</f>
        <v>http://dx.doi.org/10.1007/s00114-009-0626-6</v>
      </c>
      <c r="BG389" t="s">
        <v>74</v>
      </c>
      <c r="BH389" t="s">
        <v>74</v>
      </c>
      <c r="BI389">
        <v>10</v>
      </c>
      <c r="BJ389" t="s">
        <v>323</v>
      </c>
      <c r="BK389" t="s">
        <v>102</v>
      </c>
      <c r="BL389" t="s">
        <v>324</v>
      </c>
      <c r="BM389" t="s">
        <v>7467</v>
      </c>
      <c r="BN389">
        <v>19956920</v>
      </c>
      <c r="BO389" t="s">
        <v>74</v>
      </c>
      <c r="BP389" t="s">
        <v>74</v>
      </c>
      <c r="BQ389" t="s">
        <v>74</v>
      </c>
      <c r="BR389" t="s">
        <v>105</v>
      </c>
      <c r="BS389" t="s">
        <v>7483</v>
      </c>
      <c r="BT389" t="str">
        <f>HYPERLINK("https%3A%2F%2Fwww.webofscience.com%2Fwos%2Fwoscc%2Ffull-record%2FWOS:000274041100008","View Full Record in Web of Science")</f>
        <v>View Full Record in Web of Science</v>
      </c>
    </row>
    <row r="390" spans="1:72" x14ac:dyDescent="0.15">
      <c r="A390" t="s">
        <v>72</v>
      </c>
      <c r="B390" t="s">
        <v>7484</v>
      </c>
      <c r="C390" t="s">
        <v>74</v>
      </c>
      <c r="D390" t="s">
        <v>74</v>
      </c>
      <c r="E390" t="s">
        <v>74</v>
      </c>
      <c r="F390" t="s">
        <v>7485</v>
      </c>
      <c r="G390" t="s">
        <v>74</v>
      </c>
      <c r="H390" t="s">
        <v>74</v>
      </c>
      <c r="I390" t="s">
        <v>7486</v>
      </c>
      <c r="J390" t="s">
        <v>7487</v>
      </c>
      <c r="K390" t="s">
        <v>74</v>
      </c>
      <c r="L390" t="s">
        <v>74</v>
      </c>
      <c r="M390" t="s">
        <v>78</v>
      </c>
      <c r="N390" t="s">
        <v>79</v>
      </c>
      <c r="O390" t="s">
        <v>74</v>
      </c>
      <c r="P390" t="s">
        <v>74</v>
      </c>
      <c r="Q390" t="s">
        <v>74</v>
      </c>
      <c r="R390" t="s">
        <v>74</v>
      </c>
      <c r="S390" t="s">
        <v>74</v>
      </c>
      <c r="T390" t="s">
        <v>7488</v>
      </c>
      <c r="U390" t="s">
        <v>7489</v>
      </c>
      <c r="V390" t="s">
        <v>7490</v>
      </c>
      <c r="W390" t="s">
        <v>7491</v>
      </c>
      <c r="X390" t="s">
        <v>2278</v>
      </c>
      <c r="Y390" t="s">
        <v>7492</v>
      </c>
      <c r="Z390" t="s">
        <v>7493</v>
      </c>
      <c r="AA390" t="s">
        <v>74</v>
      </c>
      <c r="AB390" t="s">
        <v>7494</v>
      </c>
      <c r="AC390" t="s">
        <v>74</v>
      </c>
      <c r="AD390" t="s">
        <v>74</v>
      </c>
      <c r="AE390" t="s">
        <v>74</v>
      </c>
      <c r="AF390" t="s">
        <v>74</v>
      </c>
      <c r="AG390">
        <v>30</v>
      </c>
      <c r="AH390">
        <v>36</v>
      </c>
      <c r="AI390">
        <v>37</v>
      </c>
      <c r="AJ390">
        <v>0</v>
      </c>
      <c r="AK390">
        <v>18</v>
      </c>
      <c r="AL390" t="s">
        <v>524</v>
      </c>
      <c r="AM390" t="s">
        <v>525</v>
      </c>
      <c r="AN390" t="s">
        <v>526</v>
      </c>
      <c r="AO390" t="s">
        <v>7495</v>
      </c>
      <c r="AP390" t="s">
        <v>74</v>
      </c>
      <c r="AQ390" t="s">
        <v>74</v>
      </c>
      <c r="AR390" t="s">
        <v>7496</v>
      </c>
      <c r="AS390" t="s">
        <v>7497</v>
      </c>
      <c r="AT390" t="s">
        <v>5910</v>
      </c>
      <c r="AU390">
        <v>2010</v>
      </c>
      <c r="AV390">
        <v>60</v>
      </c>
      <c r="AW390">
        <v>1</v>
      </c>
      <c r="AX390" t="s">
        <v>74</v>
      </c>
      <c r="AY390" t="s">
        <v>74</v>
      </c>
      <c r="AZ390" t="s">
        <v>74</v>
      </c>
      <c r="BA390" t="s">
        <v>74</v>
      </c>
      <c r="BB390">
        <v>141</v>
      </c>
      <c r="BC390">
        <v>153</v>
      </c>
      <c r="BD390" t="s">
        <v>74</v>
      </c>
      <c r="BE390" t="s">
        <v>7498</v>
      </c>
      <c r="BF390" t="str">
        <f>HYPERLINK("http://dx.doi.org/10.1007/s10236-009-0252-z","http://dx.doi.org/10.1007/s10236-009-0252-z")</f>
        <v>http://dx.doi.org/10.1007/s10236-009-0252-z</v>
      </c>
      <c r="BG390" t="s">
        <v>74</v>
      </c>
      <c r="BH390" t="s">
        <v>74</v>
      </c>
      <c r="BI390">
        <v>13</v>
      </c>
      <c r="BJ390" t="s">
        <v>101</v>
      </c>
      <c r="BK390" t="s">
        <v>102</v>
      </c>
      <c r="BL390" t="s">
        <v>101</v>
      </c>
      <c r="BM390" t="s">
        <v>7499</v>
      </c>
      <c r="BN390" t="s">
        <v>74</v>
      </c>
      <c r="BO390" t="s">
        <v>555</v>
      </c>
      <c r="BP390" t="s">
        <v>74</v>
      </c>
      <c r="BQ390" t="s">
        <v>74</v>
      </c>
      <c r="BR390" t="s">
        <v>105</v>
      </c>
      <c r="BS390" t="s">
        <v>7500</v>
      </c>
      <c r="BT390" t="str">
        <f>HYPERLINK("https%3A%2F%2Fwww.webofscience.com%2Fwos%2Fwoscc%2Ffull-record%2FWOS:000274041200009","View Full Record in Web of Science")</f>
        <v>View Full Record in Web of Science</v>
      </c>
    </row>
    <row r="391" spans="1:72" x14ac:dyDescent="0.15">
      <c r="A391" t="s">
        <v>72</v>
      </c>
      <c r="B391" t="s">
        <v>7501</v>
      </c>
      <c r="C391" t="s">
        <v>74</v>
      </c>
      <c r="D391" t="s">
        <v>74</v>
      </c>
      <c r="E391" t="s">
        <v>74</v>
      </c>
      <c r="F391" t="s">
        <v>7502</v>
      </c>
      <c r="G391" t="s">
        <v>74</v>
      </c>
      <c r="H391" t="s">
        <v>74</v>
      </c>
      <c r="I391" t="s">
        <v>7503</v>
      </c>
      <c r="J391" t="s">
        <v>7504</v>
      </c>
      <c r="K391" t="s">
        <v>74</v>
      </c>
      <c r="L391" t="s">
        <v>74</v>
      </c>
      <c r="M391" t="s">
        <v>78</v>
      </c>
      <c r="N391" t="s">
        <v>79</v>
      </c>
      <c r="O391" t="s">
        <v>74</v>
      </c>
      <c r="P391" t="s">
        <v>74</v>
      </c>
      <c r="Q391" t="s">
        <v>74</v>
      </c>
      <c r="R391" t="s">
        <v>74</v>
      </c>
      <c r="S391" t="s">
        <v>74</v>
      </c>
      <c r="T391" t="s">
        <v>74</v>
      </c>
      <c r="U391" t="s">
        <v>7505</v>
      </c>
      <c r="V391" t="s">
        <v>7506</v>
      </c>
      <c r="W391" t="s">
        <v>7507</v>
      </c>
      <c r="X391" t="s">
        <v>7508</v>
      </c>
      <c r="Y391" t="s">
        <v>7509</v>
      </c>
      <c r="Z391" t="s">
        <v>7510</v>
      </c>
      <c r="AA391" t="s">
        <v>7511</v>
      </c>
      <c r="AB391" t="s">
        <v>7512</v>
      </c>
      <c r="AC391" t="s">
        <v>7513</v>
      </c>
      <c r="AD391" t="s">
        <v>7514</v>
      </c>
      <c r="AE391" t="s">
        <v>7515</v>
      </c>
      <c r="AF391" t="s">
        <v>74</v>
      </c>
      <c r="AG391">
        <v>28</v>
      </c>
      <c r="AH391">
        <v>7</v>
      </c>
      <c r="AI391">
        <v>7</v>
      </c>
      <c r="AJ391">
        <v>0</v>
      </c>
      <c r="AK391">
        <v>5</v>
      </c>
      <c r="AL391" t="s">
        <v>2913</v>
      </c>
      <c r="AM391" t="s">
        <v>225</v>
      </c>
      <c r="AN391" t="s">
        <v>2914</v>
      </c>
      <c r="AO391" t="s">
        <v>7516</v>
      </c>
      <c r="AP391" t="s">
        <v>74</v>
      </c>
      <c r="AQ391" t="s">
        <v>74</v>
      </c>
      <c r="AR391" t="s">
        <v>7517</v>
      </c>
      <c r="AS391" t="s">
        <v>7518</v>
      </c>
      <c r="AT391" t="s">
        <v>5910</v>
      </c>
      <c r="AU391">
        <v>2010</v>
      </c>
      <c r="AV391">
        <v>50</v>
      </c>
      <c r="AW391">
        <v>1</v>
      </c>
      <c r="AX391" t="s">
        <v>74</v>
      </c>
      <c r="AY391" t="s">
        <v>74</v>
      </c>
      <c r="AZ391" t="s">
        <v>74</v>
      </c>
      <c r="BA391" t="s">
        <v>74</v>
      </c>
      <c r="BB391">
        <v>1</v>
      </c>
      <c r="BC391">
        <v>17</v>
      </c>
      <c r="BD391" t="s">
        <v>74</v>
      </c>
      <c r="BE391" t="s">
        <v>7519</v>
      </c>
      <c r="BF391" t="str">
        <f>HYPERLINK("http://dx.doi.org/10.1134/S0001437010010017","http://dx.doi.org/10.1134/S0001437010010017")</f>
        <v>http://dx.doi.org/10.1134/S0001437010010017</v>
      </c>
      <c r="BG391" t="s">
        <v>74</v>
      </c>
      <c r="BH391" t="s">
        <v>74</v>
      </c>
      <c r="BI391">
        <v>17</v>
      </c>
      <c r="BJ391" t="s">
        <v>101</v>
      </c>
      <c r="BK391" t="s">
        <v>102</v>
      </c>
      <c r="BL391" t="s">
        <v>101</v>
      </c>
      <c r="BM391" t="s">
        <v>7520</v>
      </c>
      <c r="BN391" t="s">
        <v>74</v>
      </c>
      <c r="BO391" t="s">
        <v>74</v>
      </c>
      <c r="BP391" t="s">
        <v>74</v>
      </c>
      <c r="BQ391" t="s">
        <v>74</v>
      </c>
      <c r="BR391" t="s">
        <v>105</v>
      </c>
      <c r="BS391" t="s">
        <v>7521</v>
      </c>
      <c r="BT391" t="str">
        <f>HYPERLINK("https%3A%2F%2Fwww.webofscience.com%2Fwos%2Fwoscc%2Ffull-record%2FWOS:000277203800001","View Full Record in Web of Science")</f>
        <v>View Full Record in Web of Science</v>
      </c>
    </row>
    <row r="392" spans="1:72" x14ac:dyDescent="0.15">
      <c r="A392" t="s">
        <v>72</v>
      </c>
      <c r="B392" t="s">
        <v>7522</v>
      </c>
      <c r="C392" t="s">
        <v>74</v>
      </c>
      <c r="D392" t="s">
        <v>74</v>
      </c>
      <c r="E392" t="s">
        <v>74</v>
      </c>
      <c r="F392" t="s">
        <v>7523</v>
      </c>
      <c r="G392" t="s">
        <v>74</v>
      </c>
      <c r="H392" t="s">
        <v>74</v>
      </c>
      <c r="I392" t="s">
        <v>7524</v>
      </c>
      <c r="J392" t="s">
        <v>4774</v>
      </c>
      <c r="K392" t="s">
        <v>74</v>
      </c>
      <c r="L392" t="s">
        <v>74</v>
      </c>
      <c r="M392" t="s">
        <v>78</v>
      </c>
      <c r="N392" t="s">
        <v>79</v>
      </c>
      <c r="O392" t="s">
        <v>74</v>
      </c>
      <c r="P392" t="s">
        <v>74</v>
      </c>
      <c r="Q392" t="s">
        <v>74</v>
      </c>
      <c r="R392" t="s">
        <v>74</v>
      </c>
      <c r="S392" t="s">
        <v>74</v>
      </c>
      <c r="T392" t="s">
        <v>7525</v>
      </c>
      <c r="U392" t="s">
        <v>7526</v>
      </c>
      <c r="V392" t="s">
        <v>7527</v>
      </c>
      <c r="W392" t="s">
        <v>7528</v>
      </c>
      <c r="X392" t="s">
        <v>7529</v>
      </c>
      <c r="Y392" t="s">
        <v>7530</v>
      </c>
      <c r="Z392" t="s">
        <v>7531</v>
      </c>
      <c r="AA392" t="s">
        <v>74</v>
      </c>
      <c r="AB392" t="s">
        <v>74</v>
      </c>
      <c r="AC392" t="s">
        <v>7532</v>
      </c>
      <c r="AD392" t="s">
        <v>7533</v>
      </c>
      <c r="AE392" t="s">
        <v>7534</v>
      </c>
      <c r="AF392" t="s">
        <v>74</v>
      </c>
      <c r="AG392">
        <v>88</v>
      </c>
      <c r="AH392">
        <v>16</v>
      </c>
      <c r="AI392">
        <v>25</v>
      </c>
      <c r="AJ392">
        <v>2</v>
      </c>
      <c r="AK392">
        <v>14</v>
      </c>
      <c r="AL392" t="s">
        <v>173</v>
      </c>
      <c r="AM392" t="s">
        <v>145</v>
      </c>
      <c r="AN392" t="s">
        <v>174</v>
      </c>
      <c r="AO392" t="s">
        <v>4785</v>
      </c>
      <c r="AP392" t="s">
        <v>74</v>
      </c>
      <c r="AQ392" t="s">
        <v>74</v>
      </c>
      <c r="AR392" t="s">
        <v>4787</v>
      </c>
      <c r="AS392" t="s">
        <v>4788</v>
      </c>
      <c r="AT392" t="s">
        <v>6713</v>
      </c>
      <c r="AU392">
        <v>2010</v>
      </c>
      <c r="AV392">
        <v>286</v>
      </c>
      <c r="AW392" t="s">
        <v>1854</v>
      </c>
      <c r="AX392" t="s">
        <v>74</v>
      </c>
      <c r="AY392" t="s">
        <v>74</v>
      </c>
      <c r="AZ392" t="s">
        <v>74</v>
      </c>
      <c r="BA392" t="s">
        <v>74</v>
      </c>
      <c r="BB392">
        <v>55</v>
      </c>
      <c r="BC392">
        <v>65</v>
      </c>
      <c r="BD392" t="s">
        <v>74</v>
      </c>
      <c r="BE392" t="s">
        <v>7535</v>
      </c>
      <c r="BF392" t="str">
        <f>HYPERLINK("http://dx.doi.org/10.1016/j.palaeo.2009.12.003","http://dx.doi.org/10.1016/j.palaeo.2009.12.003")</f>
        <v>http://dx.doi.org/10.1016/j.palaeo.2009.12.003</v>
      </c>
      <c r="BG392" t="s">
        <v>74</v>
      </c>
      <c r="BH392" t="s">
        <v>74</v>
      </c>
      <c r="BI392">
        <v>11</v>
      </c>
      <c r="BJ392" t="s">
        <v>4790</v>
      </c>
      <c r="BK392" t="s">
        <v>102</v>
      </c>
      <c r="BL392" t="s">
        <v>4791</v>
      </c>
      <c r="BM392" t="s">
        <v>7536</v>
      </c>
      <c r="BN392" t="s">
        <v>74</v>
      </c>
      <c r="BO392" t="s">
        <v>74</v>
      </c>
      <c r="BP392" t="s">
        <v>74</v>
      </c>
      <c r="BQ392" t="s">
        <v>74</v>
      </c>
      <c r="BR392" t="s">
        <v>105</v>
      </c>
      <c r="BS392" t="s">
        <v>7537</v>
      </c>
      <c r="BT392" t="str">
        <f>HYPERLINK("https%3A%2F%2Fwww.webofscience.com%2Fwos%2Fwoscc%2Ffull-record%2FWOS:000274970400005","View Full Record in Web of Science")</f>
        <v>View Full Record in Web of Science</v>
      </c>
    </row>
    <row r="393" spans="1:72" x14ac:dyDescent="0.15">
      <c r="A393" t="s">
        <v>72</v>
      </c>
      <c r="B393" t="s">
        <v>7538</v>
      </c>
      <c r="C393" t="s">
        <v>74</v>
      </c>
      <c r="D393" t="s">
        <v>74</v>
      </c>
      <c r="E393" t="s">
        <v>74</v>
      </c>
      <c r="F393" t="s">
        <v>7539</v>
      </c>
      <c r="G393" t="s">
        <v>74</v>
      </c>
      <c r="H393" t="s">
        <v>74</v>
      </c>
      <c r="I393" t="s">
        <v>7540</v>
      </c>
      <c r="J393" t="s">
        <v>7541</v>
      </c>
      <c r="K393" t="s">
        <v>74</v>
      </c>
      <c r="L393" t="s">
        <v>74</v>
      </c>
      <c r="M393" t="s">
        <v>78</v>
      </c>
      <c r="N393" t="s">
        <v>600</v>
      </c>
      <c r="O393" t="s">
        <v>74</v>
      </c>
      <c r="P393" t="s">
        <v>74</v>
      </c>
      <c r="Q393" t="s">
        <v>74</v>
      </c>
      <c r="R393" t="s">
        <v>74</v>
      </c>
      <c r="S393" t="s">
        <v>74</v>
      </c>
      <c r="T393" t="s">
        <v>7542</v>
      </c>
      <c r="U393" t="s">
        <v>7543</v>
      </c>
      <c r="V393" t="s">
        <v>7544</v>
      </c>
      <c r="W393" t="s">
        <v>7545</v>
      </c>
      <c r="X393" t="s">
        <v>7546</v>
      </c>
      <c r="Y393" t="s">
        <v>7547</v>
      </c>
      <c r="Z393" t="s">
        <v>7548</v>
      </c>
      <c r="AA393" t="s">
        <v>74</v>
      </c>
      <c r="AB393" t="s">
        <v>74</v>
      </c>
      <c r="AC393" t="s">
        <v>7549</v>
      </c>
      <c r="AD393" t="s">
        <v>7550</v>
      </c>
      <c r="AE393" t="s">
        <v>7551</v>
      </c>
      <c r="AF393" t="s">
        <v>74</v>
      </c>
      <c r="AG393">
        <v>143</v>
      </c>
      <c r="AH393">
        <v>54</v>
      </c>
      <c r="AI393">
        <v>55</v>
      </c>
      <c r="AJ393">
        <v>2</v>
      </c>
      <c r="AK393">
        <v>49</v>
      </c>
      <c r="AL393" t="s">
        <v>173</v>
      </c>
      <c r="AM393" t="s">
        <v>145</v>
      </c>
      <c r="AN393" t="s">
        <v>174</v>
      </c>
      <c r="AO393" t="s">
        <v>7552</v>
      </c>
      <c r="AP393" t="s">
        <v>7553</v>
      </c>
      <c r="AQ393" t="s">
        <v>74</v>
      </c>
      <c r="AR393" t="s">
        <v>7554</v>
      </c>
      <c r="AS393" t="s">
        <v>7555</v>
      </c>
      <c r="AT393" t="s">
        <v>5910</v>
      </c>
      <c r="AU393">
        <v>2010</v>
      </c>
      <c r="AV393">
        <v>487</v>
      </c>
      <c r="AW393">
        <v>5</v>
      </c>
      <c r="AX393" t="s">
        <v>74</v>
      </c>
      <c r="AY393" t="s">
        <v>74</v>
      </c>
      <c r="AZ393" t="s">
        <v>74</v>
      </c>
      <c r="BA393" t="s">
        <v>74</v>
      </c>
      <c r="BB393">
        <v>141</v>
      </c>
      <c r="BC393">
        <v>167</v>
      </c>
      <c r="BD393" t="s">
        <v>74</v>
      </c>
      <c r="BE393" t="s">
        <v>7556</v>
      </c>
      <c r="BF393" t="str">
        <f>HYPERLINK("http://dx.doi.org/10.1016/j.physrep.2009.12.002","http://dx.doi.org/10.1016/j.physrep.2009.12.002")</f>
        <v>http://dx.doi.org/10.1016/j.physrep.2009.12.002</v>
      </c>
      <c r="BG393" t="s">
        <v>74</v>
      </c>
      <c r="BH393" t="s">
        <v>74</v>
      </c>
      <c r="BI393">
        <v>27</v>
      </c>
      <c r="BJ393" t="s">
        <v>4833</v>
      </c>
      <c r="BK393" t="s">
        <v>102</v>
      </c>
      <c r="BL393" t="s">
        <v>4834</v>
      </c>
      <c r="BM393" t="s">
        <v>7557</v>
      </c>
      <c r="BN393" t="s">
        <v>74</v>
      </c>
      <c r="BO393" t="s">
        <v>555</v>
      </c>
      <c r="BP393" t="s">
        <v>74</v>
      </c>
      <c r="BQ393" t="s">
        <v>74</v>
      </c>
      <c r="BR393" t="s">
        <v>105</v>
      </c>
      <c r="BS393" t="s">
        <v>7558</v>
      </c>
      <c r="BT393" t="str">
        <f>HYPERLINK("https%3A%2F%2Fwww.webofscience.com%2Fwos%2Fwoscc%2Ffull-record%2FWOS:000275403900001","View Full Record in Web of Science")</f>
        <v>View Full Record in Web of Science</v>
      </c>
    </row>
    <row r="394" spans="1:72" x14ac:dyDescent="0.15">
      <c r="A394" t="s">
        <v>72</v>
      </c>
      <c r="B394" t="s">
        <v>7559</v>
      </c>
      <c r="C394" t="s">
        <v>74</v>
      </c>
      <c r="D394" t="s">
        <v>74</v>
      </c>
      <c r="E394" t="s">
        <v>74</v>
      </c>
      <c r="F394" t="s">
        <v>7560</v>
      </c>
      <c r="G394" t="s">
        <v>74</v>
      </c>
      <c r="H394" t="s">
        <v>74</v>
      </c>
      <c r="I394" t="s">
        <v>7561</v>
      </c>
      <c r="J394" t="s">
        <v>2634</v>
      </c>
      <c r="K394" t="s">
        <v>74</v>
      </c>
      <c r="L394" t="s">
        <v>74</v>
      </c>
      <c r="M394" t="s">
        <v>78</v>
      </c>
      <c r="N394" t="s">
        <v>79</v>
      </c>
      <c r="O394" t="s">
        <v>74</v>
      </c>
      <c r="P394" t="s">
        <v>74</v>
      </c>
      <c r="Q394" t="s">
        <v>74</v>
      </c>
      <c r="R394" t="s">
        <v>74</v>
      </c>
      <c r="S394" t="s">
        <v>74</v>
      </c>
      <c r="T394" t="s">
        <v>7562</v>
      </c>
      <c r="U394" t="s">
        <v>7563</v>
      </c>
      <c r="V394" t="s">
        <v>7564</v>
      </c>
      <c r="W394" t="s">
        <v>7565</v>
      </c>
      <c r="X394" t="s">
        <v>7566</v>
      </c>
      <c r="Y394" t="s">
        <v>7567</v>
      </c>
      <c r="Z394" t="s">
        <v>7568</v>
      </c>
      <c r="AA394" t="s">
        <v>7569</v>
      </c>
      <c r="AB394" t="s">
        <v>7570</v>
      </c>
      <c r="AC394" t="s">
        <v>7571</v>
      </c>
      <c r="AD394" t="s">
        <v>7572</v>
      </c>
      <c r="AE394" t="s">
        <v>7573</v>
      </c>
      <c r="AF394" t="s">
        <v>74</v>
      </c>
      <c r="AG394">
        <v>53</v>
      </c>
      <c r="AH394">
        <v>24</v>
      </c>
      <c r="AI394">
        <v>27</v>
      </c>
      <c r="AJ394">
        <v>0</v>
      </c>
      <c r="AK394">
        <v>14</v>
      </c>
      <c r="AL394" t="s">
        <v>813</v>
      </c>
      <c r="AM394" t="s">
        <v>225</v>
      </c>
      <c r="AN394" t="s">
        <v>907</v>
      </c>
      <c r="AO394" t="s">
        <v>2646</v>
      </c>
      <c r="AP394" t="s">
        <v>2647</v>
      </c>
      <c r="AQ394" t="s">
        <v>74</v>
      </c>
      <c r="AR394" t="s">
        <v>2648</v>
      </c>
      <c r="AS394" t="s">
        <v>2649</v>
      </c>
      <c r="AT394" t="s">
        <v>5910</v>
      </c>
      <c r="AU394">
        <v>2010</v>
      </c>
      <c r="AV394">
        <v>33</v>
      </c>
      <c r="AW394">
        <v>2</v>
      </c>
      <c r="AX394" t="s">
        <v>74</v>
      </c>
      <c r="AY394" t="s">
        <v>74</v>
      </c>
      <c r="AZ394" t="s">
        <v>74</v>
      </c>
      <c r="BA394" t="s">
        <v>74</v>
      </c>
      <c r="BB394">
        <v>141</v>
      </c>
      <c r="BC394">
        <v>151</v>
      </c>
      <c r="BD394" t="s">
        <v>74</v>
      </c>
      <c r="BE394" t="s">
        <v>7574</v>
      </c>
      <c r="BF394" t="str">
        <f>HYPERLINK("http://dx.doi.org/10.1007/s00300-009-0692-4","http://dx.doi.org/10.1007/s00300-009-0692-4")</f>
        <v>http://dx.doi.org/10.1007/s00300-009-0692-4</v>
      </c>
      <c r="BG394" t="s">
        <v>74</v>
      </c>
      <c r="BH394" t="s">
        <v>74</v>
      </c>
      <c r="BI394">
        <v>11</v>
      </c>
      <c r="BJ394" t="s">
        <v>843</v>
      </c>
      <c r="BK394" t="s">
        <v>102</v>
      </c>
      <c r="BL394" t="s">
        <v>844</v>
      </c>
      <c r="BM394" t="s">
        <v>7575</v>
      </c>
      <c r="BN394" t="s">
        <v>74</v>
      </c>
      <c r="BO394" t="s">
        <v>74</v>
      </c>
      <c r="BP394" t="s">
        <v>74</v>
      </c>
      <c r="BQ394" t="s">
        <v>74</v>
      </c>
      <c r="BR394" t="s">
        <v>105</v>
      </c>
      <c r="BS394" t="s">
        <v>7576</v>
      </c>
      <c r="BT394" t="str">
        <f>HYPERLINK("https%3A%2F%2Fwww.webofscience.com%2Fwos%2Fwoscc%2Ffull-record%2FWOS:000273594300002","View Full Record in Web of Science")</f>
        <v>View Full Record in Web of Science</v>
      </c>
    </row>
    <row r="395" spans="1:72" x14ac:dyDescent="0.15">
      <c r="A395" t="s">
        <v>72</v>
      </c>
      <c r="B395" t="s">
        <v>7577</v>
      </c>
      <c r="C395" t="s">
        <v>74</v>
      </c>
      <c r="D395" t="s">
        <v>74</v>
      </c>
      <c r="E395" t="s">
        <v>74</v>
      </c>
      <c r="F395" t="s">
        <v>7578</v>
      </c>
      <c r="G395" t="s">
        <v>74</v>
      </c>
      <c r="H395" t="s">
        <v>74</v>
      </c>
      <c r="I395" t="s">
        <v>7579</v>
      </c>
      <c r="J395" t="s">
        <v>2634</v>
      </c>
      <c r="K395" t="s">
        <v>74</v>
      </c>
      <c r="L395" t="s">
        <v>74</v>
      </c>
      <c r="M395" t="s">
        <v>78</v>
      </c>
      <c r="N395" t="s">
        <v>79</v>
      </c>
      <c r="O395" t="s">
        <v>74</v>
      </c>
      <c r="P395" t="s">
        <v>74</v>
      </c>
      <c r="Q395" t="s">
        <v>74</v>
      </c>
      <c r="R395" t="s">
        <v>74</v>
      </c>
      <c r="S395" t="s">
        <v>74</v>
      </c>
      <c r="T395" t="s">
        <v>7580</v>
      </c>
      <c r="U395" t="s">
        <v>7581</v>
      </c>
      <c r="V395" t="s">
        <v>7582</v>
      </c>
      <c r="W395" t="s">
        <v>7583</v>
      </c>
      <c r="X395" t="s">
        <v>7584</v>
      </c>
      <c r="Y395" t="s">
        <v>7585</v>
      </c>
      <c r="Z395" t="s">
        <v>7586</v>
      </c>
      <c r="AA395" t="s">
        <v>7587</v>
      </c>
      <c r="AB395" t="s">
        <v>7588</v>
      </c>
      <c r="AC395" t="s">
        <v>7589</v>
      </c>
      <c r="AD395" t="s">
        <v>7590</v>
      </c>
      <c r="AE395" t="s">
        <v>7591</v>
      </c>
      <c r="AF395" t="s">
        <v>74</v>
      </c>
      <c r="AG395">
        <v>57</v>
      </c>
      <c r="AH395">
        <v>39</v>
      </c>
      <c r="AI395">
        <v>43</v>
      </c>
      <c r="AJ395">
        <v>0</v>
      </c>
      <c r="AK395">
        <v>16</v>
      </c>
      <c r="AL395" t="s">
        <v>813</v>
      </c>
      <c r="AM395" t="s">
        <v>225</v>
      </c>
      <c r="AN395" t="s">
        <v>907</v>
      </c>
      <c r="AO395" t="s">
        <v>2646</v>
      </c>
      <c r="AP395" t="s">
        <v>2647</v>
      </c>
      <c r="AQ395" t="s">
        <v>74</v>
      </c>
      <c r="AR395" t="s">
        <v>2648</v>
      </c>
      <c r="AS395" t="s">
        <v>2649</v>
      </c>
      <c r="AT395" t="s">
        <v>5910</v>
      </c>
      <c r="AU395">
        <v>2010</v>
      </c>
      <c r="AV395">
        <v>33</v>
      </c>
      <c r="AW395">
        <v>2</v>
      </c>
      <c r="AX395" t="s">
        <v>74</v>
      </c>
      <c r="AY395" t="s">
        <v>74</v>
      </c>
      <c r="AZ395" t="s">
        <v>74</v>
      </c>
      <c r="BA395" t="s">
        <v>74</v>
      </c>
      <c r="BB395">
        <v>193</v>
      </c>
      <c r="BC395">
        <v>202</v>
      </c>
      <c r="BD395" t="s">
        <v>74</v>
      </c>
      <c r="BE395" t="s">
        <v>7592</v>
      </c>
      <c r="BF395" t="str">
        <f>HYPERLINK("http://dx.doi.org/10.1007/s00300-009-0696-0","http://dx.doi.org/10.1007/s00300-009-0696-0")</f>
        <v>http://dx.doi.org/10.1007/s00300-009-0696-0</v>
      </c>
      <c r="BG395" t="s">
        <v>74</v>
      </c>
      <c r="BH395" t="s">
        <v>74</v>
      </c>
      <c r="BI395">
        <v>10</v>
      </c>
      <c r="BJ395" t="s">
        <v>843</v>
      </c>
      <c r="BK395" t="s">
        <v>102</v>
      </c>
      <c r="BL395" t="s">
        <v>844</v>
      </c>
      <c r="BM395" t="s">
        <v>7575</v>
      </c>
      <c r="BN395" t="s">
        <v>74</v>
      </c>
      <c r="BO395" t="s">
        <v>74</v>
      </c>
      <c r="BP395" t="s">
        <v>74</v>
      </c>
      <c r="BQ395" t="s">
        <v>74</v>
      </c>
      <c r="BR395" t="s">
        <v>105</v>
      </c>
      <c r="BS395" t="s">
        <v>7593</v>
      </c>
      <c r="BT395" t="str">
        <f>HYPERLINK("https%3A%2F%2Fwww.webofscience.com%2Fwos%2Fwoscc%2Ffull-record%2FWOS:000273594300006","View Full Record in Web of Science")</f>
        <v>View Full Record in Web of Science</v>
      </c>
    </row>
    <row r="396" spans="1:72" x14ac:dyDescent="0.15">
      <c r="A396" t="s">
        <v>72</v>
      </c>
      <c r="B396" t="s">
        <v>7594</v>
      </c>
      <c r="C396" t="s">
        <v>74</v>
      </c>
      <c r="D396" t="s">
        <v>74</v>
      </c>
      <c r="E396" t="s">
        <v>74</v>
      </c>
      <c r="F396" t="s">
        <v>7595</v>
      </c>
      <c r="G396" t="s">
        <v>74</v>
      </c>
      <c r="H396" t="s">
        <v>74</v>
      </c>
      <c r="I396" t="s">
        <v>7596</v>
      </c>
      <c r="J396" t="s">
        <v>2634</v>
      </c>
      <c r="K396" t="s">
        <v>74</v>
      </c>
      <c r="L396" t="s">
        <v>74</v>
      </c>
      <c r="M396" t="s">
        <v>78</v>
      </c>
      <c r="N396" t="s">
        <v>79</v>
      </c>
      <c r="O396" t="s">
        <v>74</v>
      </c>
      <c r="P396" t="s">
        <v>74</v>
      </c>
      <c r="Q396" t="s">
        <v>74</v>
      </c>
      <c r="R396" t="s">
        <v>74</v>
      </c>
      <c r="S396" t="s">
        <v>74</v>
      </c>
      <c r="T396" t="s">
        <v>7597</v>
      </c>
      <c r="U396" t="s">
        <v>7598</v>
      </c>
      <c r="V396" t="s">
        <v>7599</v>
      </c>
      <c r="W396" t="s">
        <v>7600</v>
      </c>
      <c r="X396" t="s">
        <v>7601</v>
      </c>
      <c r="Y396" t="s">
        <v>7602</v>
      </c>
      <c r="Z396" t="s">
        <v>7603</v>
      </c>
      <c r="AA396" t="s">
        <v>74</v>
      </c>
      <c r="AB396" t="s">
        <v>74</v>
      </c>
      <c r="AC396" t="s">
        <v>7604</v>
      </c>
      <c r="AD396" t="s">
        <v>7605</v>
      </c>
      <c r="AE396" t="s">
        <v>7606</v>
      </c>
      <c r="AF396" t="s">
        <v>74</v>
      </c>
      <c r="AG396">
        <v>46</v>
      </c>
      <c r="AH396">
        <v>16</v>
      </c>
      <c r="AI396">
        <v>17</v>
      </c>
      <c r="AJ396">
        <v>3</v>
      </c>
      <c r="AK396">
        <v>73</v>
      </c>
      <c r="AL396" t="s">
        <v>813</v>
      </c>
      <c r="AM396" t="s">
        <v>225</v>
      </c>
      <c r="AN396" t="s">
        <v>2228</v>
      </c>
      <c r="AO396" t="s">
        <v>2646</v>
      </c>
      <c r="AP396" t="s">
        <v>2647</v>
      </c>
      <c r="AQ396" t="s">
        <v>74</v>
      </c>
      <c r="AR396" t="s">
        <v>2648</v>
      </c>
      <c r="AS396" t="s">
        <v>2649</v>
      </c>
      <c r="AT396" t="s">
        <v>5910</v>
      </c>
      <c r="AU396">
        <v>2010</v>
      </c>
      <c r="AV396">
        <v>33</v>
      </c>
      <c r="AW396">
        <v>2</v>
      </c>
      <c r="AX396" t="s">
        <v>74</v>
      </c>
      <c r="AY396" t="s">
        <v>74</v>
      </c>
      <c r="AZ396" t="s">
        <v>74</v>
      </c>
      <c r="BA396" t="s">
        <v>74</v>
      </c>
      <c r="BB396">
        <v>203</v>
      </c>
      <c r="BC396">
        <v>213</v>
      </c>
      <c r="BD396" t="s">
        <v>74</v>
      </c>
      <c r="BE396" t="s">
        <v>7607</v>
      </c>
      <c r="BF396" t="str">
        <f>HYPERLINK("http://dx.doi.org/10.1007/s00300-009-0697-z","http://dx.doi.org/10.1007/s00300-009-0697-z")</f>
        <v>http://dx.doi.org/10.1007/s00300-009-0697-z</v>
      </c>
      <c r="BG396" t="s">
        <v>74</v>
      </c>
      <c r="BH396" t="s">
        <v>74</v>
      </c>
      <c r="BI396">
        <v>11</v>
      </c>
      <c r="BJ396" t="s">
        <v>843</v>
      </c>
      <c r="BK396" t="s">
        <v>102</v>
      </c>
      <c r="BL396" t="s">
        <v>844</v>
      </c>
      <c r="BM396" t="s">
        <v>7575</v>
      </c>
      <c r="BN396" t="s">
        <v>74</v>
      </c>
      <c r="BO396" t="s">
        <v>74</v>
      </c>
      <c r="BP396" t="s">
        <v>74</v>
      </c>
      <c r="BQ396" t="s">
        <v>74</v>
      </c>
      <c r="BR396" t="s">
        <v>105</v>
      </c>
      <c r="BS396" t="s">
        <v>7608</v>
      </c>
      <c r="BT396" t="str">
        <f>HYPERLINK("https%3A%2F%2Fwww.webofscience.com%2Fwos%2Fwoscc%2Ffull-record%2FWOS:000273594300007","View Full Record in Web of Science")</f>
        <v>View Full Record in Web of Science</v>
      </c>
    </row>
    <row r="397" spans="1:72" x14ac:dyDescent="0.15">
      <c r="A397" t="s">
        <v>72</v>
      </c>
      <c r="B397" t="s">
        <v>7609</v>
      </c>
      <c r="C397" t="s">
        <v>74</v>
      </c>
      <c r="D397" t="s">
        <v>74</v>
      </c>
      <c r="E397" t="s">
        <v>74</v>
      </c>
      <c r="F397" t="s">
        <v>7610</v>
      </c>
      <c r="G397" t="s">
        <v>74</v>
      </c>
      <c r="H397" t="s">
        <v>74</v>
      </c>
      <c r="I397" t="s">
        <v>7611</v>
      </c>
      <c r="J397" t="s">
        <v>2634</v>
      </c>
      <c r="K397" t="s">
        <v>74</v>
      </c>
      <c r="L397" t="s">
        <v>74</v>
      </c>
      <c r="M397" t="s">
        <v>78</v>
      </c>
      <c r="N397" t="s">
        <v>79</v>
      </c>
      <c r="O397" t="s">
        <v>74</v>
      </c>
      <c r="P397" t="s">
        <v>74</v>
      </c>
      <c r="Q397" t="s">
        <v>74</v>
      </c>
      <c r="R397" t="s">
        <v>74</v>
      </c>
      <c r="S397" t="s">
        <v>74</v>
      </c>
      <c r="T397" t="s">
        <v>7612</v>
      </c>
      <c r="U397" t="s">
        <v>7613</v>
      </c>
      <c r="V397" t="s">
        <v>7614</v>
      </c>
      <c r="W397" t="s">
        <v>7615</v>
      </c>
      <c r="X397" t="s">
        <v>7616</v>
      </c>
      <c r="Y397" t="s">
        <v>7617</v>
      </c>
      <c r="Z397" t="s">
        <v>7618</v>
      </c>
      <c r="AA397" t="s">
        <v>74</v>
      </c>
      <c r="AB397" t="s">
        <v>74</v>
      </c>
      <c r="AC397" t="s">
        <v>74</v>
      </c>
      <c r="AD397" t="s">
        <v>74</v>
      </c>
      <c r="AE397" t="s">
        <v>74</v>
      </c>
      <c r="AF397" t="s">
        <v>74</v>
      </c>
      <c r="AG397">
        <v>52</v>
      </c>
      <c r="AH397">
        <v>13</v>
      </c>
      <c r="AI397">
        <v>17</v>
      </c>
      <c r="AJ397">
        <v>0</v>
      </c>
      <c r="AK397">
        <v>6</v>
      </c>
      <c r="AL397" t="s">
        <v>813</v>
      </c>
      <c r="AM397" t="s">
        <v>225</v>
      </c>
      <c r="AN397" t="s">
        <v>2228</v>
      </c>
      <c r="AO397" t="s">
        <v>2646</v>
      </c>
      <c r="AP397" t="s">
        <v>2647</v>
      </c>
      <c r="AQ397" t="s">
        <v>74</v>
      </c>
      <c r="AR397" t="s">
        <v>2648</v>
      </c>
      <c r="AS397" t="s">
        <v>2649</v>
      </c>
      <c r="AT397" t="s">
        <v>5910</v>
      </c>
      <c r="AU397">
        <v>2010</v>
      </c>
      <c r="AV397">
        <v>33</v>
      </c>
      <c r="AW397">
        <v>2</v>
      </c>
      <c r="AX397" t="s">
        <v>74</v>
      </c>
      <c r="AY397" t="s">
        <v>74</v>
      </c>
      <c r="AZ397" t="s">
        <v>74</v>
      </c>
      <c r="BA397" t="s">
        <v>74</v>
      </c>
      <c r="BB397">
        <v>241</v>
      </c>
      <c r="BC397">
        <v>255</v>
      </c>
      <c r="BD397" t="s">
        <v>74</v>
      </c>
      <c r="BE397" t="s">
        <v>7619</v>
      </c>
      <c r="BF397" t="str">
        <f>HYPERLINK("http://dx.doi.org/10.1007/s00300-009-0700-8","http://dx.doi.org/10.1007/s00300-009-0700-8")</f>
        <v>http://dx.doi.org/10.1007/s00300-009-0700-8</v>
      </c>
      <c r="BG397" t="s">
        <v>74</v>
      </c>
      <c r="BH397" t="s">
        <v>74</v>
      </c>
      <c r="BI397">
        <v>15</v>
      </c>
      <c r="BJ397" t="s">
        <v>843</v>
      </c>
      <c r="BK397" t="s">
        <v>102</v>
      </c>
      <c r="BL397" t="s">
        <v>844</v>
      </c>
      <c r="BM397" t="s">
        <v>7575</v>
      </c>
      <c r="BN397" t="s">
        <v>74</v>
      </c>
      <c r="BO397" t="s">
        <v>74</v>
      </c>
      <c r="BP397" t="s">
        <v>74</v>
      </c>
      <c r="BQ397" t="s">
        <v>74</v>
      </c>
      <c r="BR397" t="s">
        <v>105</v>
      </c>
      <c r="BS397" t="s">
        <v>7620</v>
      </c>
      <c r="BT397" t="str">
        <f>HYPERLINK("https%3A%2F%2Fwww.webofscience.com%2Fwos%2Fwoscc%2Ffull-record%2FWOS:000273594300010","View Full Record in Web of Science")</f>
        <v>View Full Record in Web of Science</v>
      </c>
    </row>
    <row r="398" spans="1:72" x14ac:dyDescent="0.15">
      <c r="A398" t="s">
        <v>72</v>
      </c>
      <c r="B398" t="s">
        <v>7621</v>
      </c>
      <c r="C398" t="s">
        <v>74</v>
      </c>
      <c r="D398" t="s">
        <v>74</v>
      </c>
      <c r="E398" t="s">
        <v>74</v>
      </c>
      <c r="F398" t="s">
        <v>7622</v>
      </c>
      <c r="G398" t="s">
        <v>74</v>
      </c>
      <c r="H398" t="s">
        <v>74</v>
      </c>
      <c r="I398" t="s">
        <v>7623</v>
      </c>
      <c r="J398" t="s">
        <v>7624</v>
      </c>
      <c r="K398" t="s">
        <v>74</v>
      </c>
      <c r="L398" t="s">
        <v>74</v>
      </c>
      <c r="M398" t="s">
        <v>78</v>
      </c>
      <c r="N398" t="s">
        <v>79</v>
      </c>
      <c r="O398" t="s">
        <v>74</v>
      </c>
      <c r="P398" t="s">
        <v>74</v>
      </c>
      <c r="Q398" t="s">
        <v>74</v>
      </c>
      <c r="R398" t="s">
        <v>74</v>
      </c>
      <c r="S398" t="s">
        <v>74</v>
      </c>
      <c r="T398" t="s">
        <v>74</v>
      </c>
      <c r="U398" t="s">
        <v>7625</v>
      </c>
      <c r="V398" t="s">
        <v>7626</v>
      </c>
      <c r="W398" t="s">
        <v>7627</v>
      </c>
      <c r="X398" t="s">
        <v>7628</v>
      </c>
      <c r="Y398" t="s">
        <v>7629</v>
      </c>
      <c r="Z398" t="s">
        <v>7630</v>
      </c>
      <c r="AA398" t="s">
        <v>7631</v>
      </c>
      <c r="AB398" t="s">
        <v>7632</v>
      </c>
      <c r="AC398" t="s">
        <v>7633</v>
      </c>
      <c r="AD398" t="s">
        <v>7634</v>
      </c>
      <c r="AE398" t="s">
        <v>7635</v>
      </c>
      <c r="AF398" t="s">
        <v>74</v>
      </c>
      <c r="AG398">
        <v>49</v>
      </c>
      <c r="AH398">
        <v>161</v>
      </c>
      <c r="AI398">
        <v>169</v>
      </c>
      <c r="AJ398">
        <v>0</v>
      </c>
      <c r="AK398">
        <v>28</v>
      </c>
      <c r="AL398" t="s">
        <v>1508</v>
      </c>
      <c r="AM398" t="s">
        <v>1064</v>
      </c>
      <c r="AN398" t="s">
        <v>1509</v>
      </c>
      <c r="AO398" t="s">
        <v>7636</v>
      </c>
      <c r="AP398" t="s">
        <v>7637</v>
      </c>
      <c r="AQ398" t="s">
        <v>74</v>
      </c>
      <c r="AR398" t="s">
        <v>7638</v>
      </c>
      <c r="AS398" t="s">
        <v>7639</v>
      </c>
      <c r="AT398" t="s">
        <v>5910</v>
      </c>
      <c r="AU398">
        <v>2010</v>
      </c>
      <c r="AV398">
        <v>63</v>
      </c>
      <c r="AW398">
        <v>1</v>
      </c>
      <c r="AX398" t="s">
        <v>74</v>
      </c>
      <c r="AY398" t="s">
        <v>74</v>
      </c>
      <c r="AZ398" t="s">
        <v>74</v>
      </c>
      <c r="BA398" t="s">
        <v>74</v>
      </c>
      <c r="BB398">
        <v>73</v>
      </c>
      <c r="BC398">
        <v>114</v>
      </c>
      <c r="BD398" t="s">
        <v>74</v>
      </c>
      <c r="BE398" t="s">
        <v>7640</v>
      </c>
      <c r="BF398" t="str">
        <f>HYPERLINK("http://dx.doi.org/10.1093/qjmam/hbp025","http://dx.doi.org/10.1093/qjmam/hbp025")</f>
        <v>http://dx.doi.org/10.1093/qjmam/hbp025</v>
      </c>
      <c r="BG398" t="s">
        <v>74</v>
      </c>
      <c r="BH398" t="s">
        <v>74</v>
      </c>
      <c r="BI398">
        <v>42</v>
      </c>
      <c r="BJ398" t="s">
        <v>7641</v>
      </c>
      <c r="BK398" t="s">
        <v>102</v>
      </c>
      <c r="BL398" t="s">
        <v>7642</v>
      </c>
      <c r="BM398" t="s">
        <v>7643</v>
      </c>
      <c r="BN398" t="s">
        <v>74</v>
      </c>
      <c r="BO398" t="s">
        <v>104</v>
      </c>
      <c r="BP398" t="s">
        <v>74</v>
      </c>
      <c r="BQ398" t="s">
        <v>74</v>
      </c>
      <c r="BR398" t="s">
        <v>105</v>
      </c>
      <c r="BS398" t="s">
        <v>7644</v>
      </c>
      <c r="BT398" t="str">
        <f>HYPERLINK("https%3A%2F%2Fwww.webofscience.com%2Fwos%2Fwoscc%2Ffull-record%2FWOS:000274346500005","View Full Record in Web of Science")</f>
        <v>View Full Record in Web of Science</v>
      </c>
    </row>
    <row r="399" spans="1:72" x14ac:dyDescent="0.15">
      <c r="A399" t="s">
        <v>72</v>
      </c>
      <c r="B399" t="s">
        <v>7645</v>
      </c>
      <c r="C399" t="s">
        <v>74</v>
      </c>
      <c r="D399" t="s">
        <v>74</v>
      </c>
      <c r="E399" t="s">
        <v>74</v>
      </c>
      <c r="F399" t="s">
        <v>7646</v>
      </c>
      <c r="G399" t="s">
        <v>74</v>
      </c>
      <c r="H399" t="s">
        <v>74</v>
      </c>
      <c r="I399" t="s">
        <v>7647</v>
      </c>
      <c r="J399" t="s">
        <v>2887</v>
      </c>
      <c r="K399" t="s">
        <v>74</v>
      </c>
      <c r="L399" t="s">
        <v>74</v>
      </c>
      <c r="M399" t="s">
        <v>78</v>
      </c>
      <c r="N399" t="s">
        <v>79</v>
      </c>
      <c r="O399" t="s">
        <v>74</v>
      </c>
      <c r="P399" t="s">
        <v>74</v>
      </c>
      <c r="Q399" t="s">
        <v>74</v>
      </c>
      <c r="R399" t="s">
        <v>74</v>
      </c>
      <c r="S399" t="s">
        <v>74</v>
      </c>
      <c r="T399" t="s">
        <v>74</v>
      </c>
      <c r="U399" t="s">
        <v>7648</v>
      </c>
      <c r="V399" t="s">
        <v>7649</v>
      </c>
      <c r="W399" t="s">
        <v>7650</v>
      </c>
      <c r="X399" t="s">
        <v>7651</v>
      </c>
      <c r="Y399" t="s">
        <v>7652</v>
      </c>
      <c r="Z399" t="s">
        <v>7653</v>
      </c>
      <c r="AA399" t="s">
        <v>74</v>
      </c>
      <c r="AB399" t="s">
        <v>7654</v>
      </c>
      <c r="AC399" t="s">
        <v>7655</v>
      </c>
      <c r="AD399" t="s">
        <v>989</v>
      </c>
      <c r="AE399" t="s">
        <v>7656</v>
      </c>
      <c r="AF399" t="s">
        <v>74</v>
      </c>
      <c r="AG399">
        <v>48</v>
      </c>
      <c r="AH399">
        <v>38</v>
      </c>
      <c r="AI399">
        <v>48</v>
      </c>
      <c r="AJ399">
        <v>0</v>
      </c>
      <c r="AK399">
        <v>9</v>
      </c>
      <c r="AL399" t="s">
        <v>1063</v>
      </c>
      <c r="AM399" t="s">
        <v>1064</v>
      </c>
      <c r="AN399" t="s">
        <v>1065</v>
      </c>
      <c r="AO399" t="s">
        <v>2897</v>
      </c>
      <c r="AP399" t="s">
        <v>74</v>
      </c>
      <c r="AQ399" t="s">
        <v>74</v>
      </c>
      <c r="AR399" t="s">
        <v>2898</v>
      </c>
      <c r="AS399" t="s">
        <v>2899</v>
      </c>
      <c r="AT399" t="s">
        <v>5910</v>
      </c>
      <c r="AU399">
        <v>2010</v>
      </c>
      <c r="AV399">
        <v>29</v>
      </c>
      <c r="AW399" t="s">
        <v>971</v>
      </c>
      <c r="AX399" t="s">
        <v>74</v>
      </c>
      <c r="AY399" t="s">
        <v>74</v>
      </c>
      <c r="AZ399" t="s">
        <v>74</v>
      </c>
      <c r="BA399" t="s">
        <v>74</v>
      </c>
      <c r="BB399">
        <v>384</v>
      </c>
      <c r="BC399">
        <v>398</v>
      </c>
      <c r="BD399" t="s">
        <v>74</v>
      </c>
      <c r="BE399" t="s">
        <v>7657</v>
      </c>
      <c r="BF399" t="str">
        <f>HYPERLINK("http://dx.doi.org/10.1016/j.quascirev.2009.07.001","http://dx.doi.org/10.1016/j.quascirev.2009.07.001")</f>
        <v>http://dx.doi.org/10.1016/j.quascirev.2009.07.001</v>
      </c>
      <c r="BG399" t="s">
        <v>74</v>
      </c>
      <c r="BH399" t="s">
        <v>74</v>
      </c>
      <c r="BI399">
        <v>15</v>
      </c>
      <c r="BJ399" t="s">
        <v>2881</v>
      </c>
      <c r="BK399" t="s">
        <v>102</v>
      </c>
      <c r="BL399" t="s">
        <v>2628</v>
      </c>
      <c r="BM399" t="s">
        <v>7658</v>
      </c>
      <c r="BN399" t="s">
        <v>74</v>
      </c>
      <c r="BO399" t="s">
        <v>555</v>
      </c>
      <c r="BP399" t="s">
        <v>74</v>
      </c>
      <c r="BQ399" t="s">
        <v>74</v>
      </c>
      <c r="BR399" t="s">
        <v>105</v>
      </c>
      <c r="BS399" t="s">
        <v>7659</v>
      </c>
      <c r="BT399" t="str">
        <f>HYPERLINK("https%3A%2F%2Fwww.webofscience.com%2Fwos%2Fwoscc%2Ffull-record%2FWOS:000274960100002","View Full Record in Web of Science")</f>
        <v>View Full Record in Web of Science</v>
      </c>
    </row>
    <row r="400" spans="1:72" x14ac:dyDescent="0.15">
      <c r="A400" t="s">
        <v>72</v>
      </c>
      <c r="B400" t="s">
        <v>7660</v>
      </c>
      <c r="C400" t="s">
        <v>74</v>
      </c>
      <c r="D400" t="s">
        <v>74</v>
      </c>
      <c r="E400" t="s">
        <v>74</v>
      </c>
      <c r="F400" t="s">
        <v>7661</v>
      </c>
      <c r="G400" t="s">
        <v>74</v>
      </c>
      <c r="H400" t="s">
        <v>74</v>
      </c>
      <c r="I400" t="s">
        <v>7662</v>
      </c>
      <c r="J400" t="s">
        <v>2887</v>
      </c>
      <c r="K400" t="s">
        <v>74</v>
      </c>
      <c r="L400" t="s">
        <v>74</v>
      </c>
      <c r="M400" t="s">
        <v>78</v>
      </c>
      <c r="N400" t="s">
        <v>79</v>
      </c>
      <c r="O400" t="s">
        <v>74</v>
      </c>
      <c r="P400" t="s">
        <v>74</v>
      </c>
      <c r="Q400" t="s">
        <v>74</v>
      </c>
      <c r="R400" t="s">
        <v>74</v>
      </c>
      <c r="S400" t="s">
        <v>74</v>
      </c>
      <c r="T400" t="s">
        <v>74</v>
      </c>
      <c r="U400" t="s">
        <v>7663</v>
      </c>
      <c r="V400" t="s">
        <v>7664</v>
      </c>
      <c r="W400" t="s">
        <v>7665</v>
      </c>
      <c r="X400" t="s">
        <v>7666</v>
      </c>
      <c r="Y400" t="s">
        <v>7667</v>
      </c>
      <c r="Z400" t="s">
        <v>7668</v>
      </c>
      <c r="AA400" t="s">
        <v>7669</v>
      </c>
      <c r="AB400" t="s">
        <v>7670</v>
      </c>
      <c r="AC400" t="s">
        <v>7671</v>
      </c>
      <c r="AD400" t="s">
        <v>7672</v>
      </c>
      <c r="AE400" t="s">
        <v>7673</v>
      </c>
      <c r="AF400" t="s">
        <v>74</v>
      </c>
      <c r="AG400">
        <v>52</v>
      </c>
      <c r="AH400">
        <v>27</v>
      </c>
      <c r="AI400">
        <v>28</v>
      </c>
      <c r="AJ400">
        <v>0</v>
      </c>
      <c r="AK400">
        <v>22</v>
      </c>
      <c r="AL400" t="s">
        <v>1063</v>
      </c>
      <c r="AM400" t="s">
        <v>1064</v>
      </c>
      <c r="AN400" t="s">
        <v>1065</v>
      </c>
      <c r="AO400" t="s">
        <v>2897</v>
      </c>
      <c r="AP400" t="s">
        <v>74</v>
      </c>
      <c r="AQ400" t="s">
        <v>74</v>
      </c>
      <c r="AR400" t="s">
        <v>2898</v>
      </c>
      <c r="AS400" t="s">
        <v>2899</v>
      </c>
      <c r="AT400" t="s">
        <v>5910</v>
      </c>
      <c r="AU400">
        <v>2010</v>
      </c>
      <c r="AV400">
        <v>29</v>
      </c>
      <c r="AW400" t="s">
        <v>971</v>
      </c>
      <c r="AX400" t="s">
        <v>74</v>
      </c>
      <c r="AY400" t="s">
        <v>74</v>
      </c>
      <c r="AZ400" t="s">
        <v>74</v>
      </c>
      <c r="BA400" t="s">
        <v>74</v>
      </c>
      <c r="BB400">
        <v>399</v>
      </c>
      <c r="BC400">
        <v>409</v>
      </c>
      <c r="BD400" t="s">
        <v>74</v>
      </c>
      <c r="BE400" t="s">
        <v>7674</v>
      </c>
      <c r="BF400" t="str">
        <f>HYPERLINK("http://dx.doi.org/10.1016/j.quascirev.2009.09.021","http://dx.doi.org/10.1016/j.quascirev.2009.09.021")</f>
        <v>http://dx.doi.org/10.1016/j.quascirev.2009.09.021</v>
      </c>
      <c r="BG400" t="s">
        <v>74</v>
      </c>
      <c r="BH400" t="s">
        <v>74</v>
      </c>
      <c r="BI400">
        <v>11</v>
      </c>
      <c r="BJ400" t="s">
        <v>2881</v>
      </c>
      <c r="BK400" t="s">
        <v>102</v>
      </c>
      <c r="BL400" t="s">
        <v>2628</v>
      </c>
      <c r="BM400" t="s">
        <v>7658</v>
      </c>
      <c r="BN400" t="s">
        <v>74</v>
      </c>
      <c r="BO400" t="s">
        <v>74</v>
      </c>
      <c r="BP400" t="s">
        <v>74</v>
      </c>
      <c r="BQ400" t="s">
        <v>74</v>
      </c>
      <c r="BR400" t="s">
        <v>105</v>
      </c>
      <c r="BS400" t="s">
        <v>7675</v>
      </c>
      <c r="BT400" t="str">
        <f>HYPERLINK("https%3A%2F%2Fwww.webofscience.com%2Fwos%2Fwoscc%2Ffull-record%2FWOS:000274960100003","View Full Record in Web of Science")</f>
        <v>View Full Record in Web of Science</v>
      </c>
    </row>
    <row r="401" spans="1:72" x14ac:dyDescent="0.15">
      <c r="A401" t="s">
        <v>72</v>
      </c>
      <c r="B401" t="s">
        <v>7676</v>
      </c>
      <c r="C401" t="s">
        <v>74</v>
      </c>
      <c r="D401" t="s">
        <v>74</v>
      </c>
      <c r="E401" t="s">
        <v>74</v>
      </c>
      <c r="F401" t="s">
        <v>7677</v>
      </c>
      <c r="G401" t="s">
        <v>74</v>
      </c>
      <c r="H401" t="s">
        <v>74</v>
      </c>
      <c r="I401" t="s">
        <v>7678</v>
      </c>
      <c r="J401" t="s">
        <v>2887</v>
      </c>
      <c r="K401" t="s">
        <v>74</v>
      </c>
      <c r="L401" t="s">
        <v>74</v>
      </c>
      <c r="M401" t="s">
        <v>78</v>
      </c>
      <c r="N401" t="s">
        <v>79</v>
      </c>
      <c r="O401" t="s">
        <v>74</v>
      </c>
      <c r="P401" t="s">
        <v>74</v>
      </c>
      <c r="Q401" t="s">
        <v>74</v>
      </c>
      <c r="R401" t="s">
        <v>74</v>
      </c>
      <c r="S401" t="s">
        <v>74</v>
      </c>
      <c r="T401" t="s">
        <v>74</v>
      </c>
      <c r="U401" t="s">
        <v>7679</v>
      </c>
      <c r="V401" t="s">
        <v>7680</v>
      </c>
      <c r="W401" t="s">
        <v>7681</v>
      </c>
      <c r="X401" t="s">
        <v>7682</v>
      </c>
      <c r="Y401" t="s">
        <v>7683</v>
      </c>
      <c r="Z401" t="s">
        <v>7684</v>
      </c>
      <c r="AA401" t="s">
        <v>7685</v>
      </c>
      <c r="AB401" t="s">
        <v>7686</v>
      </c>
      <c r="AC401" t="s">
        <v>7687</v>
      </c>
      <c r="AD401" t="s">
        <v>7687</v>
      </c>
      <c r="AE401" t="s">
        <v>7688</v>
      </c>
      <c r="AF401" t="s">
        <v>74</v>
      </c>
      <c r="AG401">
        <v>102</v>
      </c>
      <c r="AH401">
        <v>29</v>
      </c>
      <c r="AI401">
        <v>31</v>
      </c>
      <c r="AJ401">
        <v>1</v>
      </c>
      <c r="AK401">
        <v>22</v>
      </c>
      <c r="AL401" t="s">
        <v>1063</v>
      </c>
      <c r="AM401" t="s">
        <v>1064</v>
      </c>
      <c r="AN401" t="s">
        <v>1065</v>
      </c>
      <c r="AO401" t="s">
        <v>2897</v>
      </c>
      <c r="AP401" t="s">
        <v>74</v>
      </c>
      <c r="AQ401" t="s">
        <v>74</v>
      </c>
      <c r="AR401" t="s">
        <v>2898</v>
      </c>
      <c r="AS401" t="s">
        <v>2899</v>
      </c>
      <c r="AT401" t="s">
        <v>5910</v>
      </c>
      <c r="AU401">
        <v>2010</v>
      </c>
      <c r="AV401">
        <v>29</v>
      </c>
      <c r="AW401" t="s">
        <v>971</v>
      </c>
      <c r="AX401" t="s">
        <v>74</v>
      </c>
      <c r="AY401" t="s">
        <v>74</v>
      </c>
      <c r="AZ401" t="s">
        <v>74</v>
      </c>
      <c r="BA401" t="s">
        <v>74</v>
      </c>
      <c r="BB401">
        <v>410</v>
      </c>
      <c r="BC401">
        <v>423</v>
      </c>
      <c r="BD401" t="s">
        <v>74</v>
      </c>
      <c r="BE401" t="s">
        <v>7689</v>
      </c>
      <c r="BF401" t="str">
        <f>HYPERLINK("http://dx.doi.org/10.1016/j.quascirev.2009.11.007","http://dx.doi.org/10.1016/j.quascirev.2009.11.007")</f>
        <v>http://dx.doi.org/10.1016/j.quascirev.2009.11.007</v>
      </c>
      <c r="BG401" t="s">
        <v>74</v>
      </c>
      <c r="BH401" t="s">
        <v>74</v>
      </c>
      <c r="BI401">
        <v>14</v>
      </c>
      <c r="BJ401" t="s">
        <v>2881</v>
      </c>
      <c r="BK401" t="s">
        <v>102</v>
      </c>
      <c r="BL401" t="s">
        <v>2628</v>
      </c>
      <c r="BM401" t="s">
        <v>7658</v>
      </c>
      <c r="BN401" t="s">
        <v>74</v>
      </c>
      <c r="BO401" t="s">
        <v>74</v>
      </c>
      <c r="BP401" t="s">
        <v>74</v>
      </c>
      <c r="BQ401" t="s">
        <v>74</v>
      </c>
      <c r="BR401" t="s">
        <v>105</v>
      </c>
      <c r="BS401" t="s">
        <v>7690</v>
      </c>
      <c r="BT401" t="str">
        <f>HYPERLINK("https%3A%2F%2Fwww.webofscience.com%2Fwos%2Fwoscc%2Ffull-record%2FWOS:000274960100004","View Full Record in Web of Science")</f>
        <v>View Full Record in Web of Science</v>
      </c>
    </row>
    <row r="402" spans="1:72" x14ac:dyDescent="0.15">
      <c r="A402" t="s">
        <v>72</v>
      </c>
      <c r="B402" t="s">
        <v>7691</v>
      </c>
      <c r="C402" t="s">
        <v>74</v>
      </c>
      <c r="D402" t="s">
        <v>74</v>
      </c>
      <c r="E402" t="s">
        <v>74</v>
      </c>
      <c r="F402" t="s">
        <v>7692</v>
      </c>
      <c r="G402" t="s">
        <v>74</v>
      </c>
      <c r="H402" t="s">
        <v>74</v>
      </c>
      <c r="I402" t="s">
        <v>7693</v>
      </c>
      <c r="J402" t="s">
        <v>2887</v>
      </c>
      <c r="K402" t="s">
        <v>74</v>
      </c>
      <c r="L402" t="s">
        <v>74</v>
      </c>
      <c r="M402" t="s">
        <v>78</v>
      </c>
      <c r="N402" t="s">
        <v>79</v>
      </c>
      <c r="O402" t="s">
        <v>74</v>
      </c>
      <c r="P402" t="s">
        <v>74</v>
      </c>
      <c r="Q402" t="s">
        <v>74</v>
      </c>
      <c r="R402" t="s">
        <v>74</v>
      </c>
      <c r="S402" t="s">
        <v>74</v>
      </c>
      <c r="T402" t="s">
        <v>74</v>
      </c>
      <c r="U402" t="s">
        <v>7694</v>
      </c>
      <c r="V402" t="s">
        <v>7695</v>
      </c>
      <c r="W402" t="s">
        <v>7696</v>
      </c>
      <c r="X402" t="s">
        <v>7697</v>
      </c>
      <c r="Y402" t="s">
        <v>7698</v>
      </c>
      <c r="Z402" t="s">
        <v>7699</v>
      </c>
      <c r="AA402" t="s">
        <v>74</v>
      </c>
      <c r="AB402" t="s">
        <v>7700</v>
      </c>
      <c r="AC402" t="s">
        <v>7701</v>
      </c>
      <c r="AD402" t="s">
        <v>7702</v>
      </c>
      <c r="AE402" t="s">
        <v>7703</v>
      </c>
      <c r="AF402" t="s">
        <v>74</v>
      </c>
      <c r="AG402">
        <v>98</v>
      </c>
      <c r="AH402">
        <v>143</v>
      </c>
      <c r="AI402">
        <v>149</v>
      </c>
      <c r="AJ402">
        <v>0</v>
      </c>
      <c r="AK402">
        <v>28</v>
      </c>
      <c r="AL402" t="s">
        <v>1063</v>
      </c>
      <c r="AM402" t="s">
        <v>1064</v>
      </c>
      <c r="AN402" t="s">
        <v>1065</v>
      </c>
      <c r="AO402" t="s">
        <v>2897</v>
      </c>
      <c r="AP402" t="s">
        <v>74</v>
      </c>
      <c r="AQ402" t="s">
        <v>74</v>
      </c>
      <c r="AR402" t="s">
        <v>2898</v>
      </c>
      <c r="AS402" t="s">
        <v>2899</v>
      </c>
      <c r="AT402" t="s">
        <v>5910</v>
      </c>
      <c r="AU402">
        <v>2010</v>
      </c>
      <c r="AV402">
        <v>29</v>
      </c>
      <c r="AW402" t="s">
        <v>971</v>
      </c>
      <c r="AX402" t="s">
        <v>74</v>
      </c>
      <c r="AY402" t="s">
        <v>74</v>
      </c>
      <c r="AZ402" t="s">
        <v>74</v>
      </c>
      <c r="BA402" t="s">
        <v>74</v>
      </c>
      <c r="BB402">
        <v>424</v>
      </c>
      <c r="BC402">
        <v>442</v>
      </c>
      <c r="BD402" t="s">
        <v>74</v>
      </c>
      <c r="BE402" t="s">
        <v>7704</v>
      </c>
      <c r="BF402" t="str">
        <f>HYPERLINK("http://dx.doi.org/10.1016/j.quascirev.2009.10.001","http://dx.doi.org/10.1016/j.quascirev.2009.10.001")</f>
        <v>http://dx.doi.org/10.1016/j.quascirev.2009.10.001</v>
      </c>
      <c r="BG402" t="s">
        <v>74</v>
      </c>
      <c r="BH402" t="s">
        <v>74</v>
      </c>
      <c r="BI402">
        <v>19</v>
      </c>
      <c r="BJ402" t="s">
        <v>2881</v>
      </c>
      <c r="BK402" t="s">
        <v>102</v>
      </c>
      <c r="BL402" t="s">
        <v>2628</v>
      </c>
      <c r="BM402" t="s">
        <v>7658</v>
      </c>
      <c r="BN402" t="s">
        <v>74</v>
      </c>
      <c r="BO402" t="s">
        <v>74</v>
      </c>
      <c r="BP402" t="s">
        <v>74</v>
      </c>
      <c r="BQ402" t="s">
        <v>74</v>
      </c>
      <c r="BR402" t="s">
        <v>105</v>
      </c>
      <c r="BS402" t="s">
        <v>7705</v>
      </c>
      <c r="BT402" t="str">
        <f>HYPERLINK("https%3A%2F%2Fwww.webofscience.com%2Fwos%2Fwoscc%2Ffull-record%2FWOS:000274960100005","View Full Record in Web of Science")</f>
        <v>View Full Record in Web of Science</v>
      </c>
    </row>
    <row r="403" spans="1:72" x14ac:dyDescent="0.15">
      <c r="A403" t="s">
        <v>72</v>
      </c>
      <c r="B403" t="s">
        <v>7706</v>
      </c>
      <c r="C403" t="s">
        <v>74</v>
      </c>
      <c r="D403" t="s">
        <v>74</v>
      </c>
      <c r="E403" t="s">
        <v>74</v>
      </c>
      <c r="F403" t="s">
        <v>7707</v>
      </c>
      <c r="G403" t="s">
        <v>74</v>
      </c>
      <c r="H403" t="s">
        <v>74</v>
      </c>
      <c r="I403" t="s">
        <v>7708</v>
      </c>
      <c r="J403" t="s">
        <v>2887</v>
      </c>
      <c r="K403" t="s">
        <v>74</v>
      </c>
      <c r="L403" t="s">
        <v>74</v>
      </c>
      <c r="M403" t="s">
        <v>78</v>
      </c>
      <c r="N403" t="s">
        <v>79</v>
      </c>
      <c r="O403" t="s">
        <v>74</v>
      </c>
      <c r="P403" t="s">
        <v>74</v>
      </c>
      <c r="Q403" t="s">
        <v>74</v>
      </c>
      <c r="R403" t="s">
        <v>74</v>
      </c>
      <c r="S403" t="s">
        <v>74</v>
      </c>
      <c r="T403" t="s">
        <v>74</v>
      </c>
      <c r="U403" t="s">
        <v>7709</v>
      </c>
      <c r="V403" t="s">
        <v>7710</v>
      </c>
      <c r="W403" t="s">
        <v>7711</v>
      </c>
      <c r="X403" t="s">
        <v>7712</v>
      </c>
      <c r="Y403" t="s">
        <v>7713</v>
      </c>
      <c r="Z403" t="s">
        <v>7714</v>
      </c>
      <c r="AA403" t="s">
        <v>7715</v>
      </c>
      <c r="AB403" t="s">
        <v>7716</v>
      </c>
      <c r="AC403" t="s">
        <v>7717</v>
      </c>
      <c r="AD403" t="s">
        <v>7718</v>
      </c>
      <c r="AE403" t="s">
        <v>7719</v>
      </c>
      <c r="AF403" t="s">
        <v>74</v>
      </c>
      <c r="AG403">
        <v>66</v>
      </c>
      <c r="AH403">
        <v>28</v>
      </c>
      <c r="AI403">
        <v>29</v>
      </c>
      <c r="AJ403">
        <v>0</v>
      </c>
      <c r="AK403">
        <v>19</v>
      </c>
      <c r="AL403" t="s">
        <v>1063</v>
      </c>
      <c r="AM403" t="s">
        <v>1064</v>
      </c>
      <c r="AN403" t="s">
        <v>1065</v>
      </c>
      <c r="AO403" t="s">
        <v>2897</v>
      </c>
      <c r="AP403" t="s">
        <v>74</v>
      </c>
      <c r="AQ403" t="s">
        <v>74</v>
      </c>
      <c r="AR403" t="s">
        <v>2898</v>
      </c>
      <c r="AS403" t="s">
        <v>2899</v>
      </c>
      <c r="AT403" t="s">
        <v>5910</v>
      </c>
      <c r="AU403">
        <v>2010</v>
      </c>
      <c r="AV403">
        <v>29</v>
      </c>
      <c r="AW403" t="s">
        <v>971</v>
      </c>
      <c r="AX403" t="s">
        <v>74</v>
      </c>
      <c r="AY403" t="s">
        <v>74</v>
      </c>
      <c r="AZ403" t="s">
        <v>74</v>
      </c>
      <c r="BA403" t="s">
        <v>74</v>
      </c>
      <c r="BB403">
        <v>443</v>
      </c>
      <c r="BC403">
        <v>454</v>
      </c>
      <c r="BD403" t="s">
        <v>74</v>
      </c>
      <c r="BE403" t="s">
        <v>7720</v>
      </c>
      <c r="BF403" t="str">
        <f>HYPERLINK("http://dx.doi.org/10.1016/j.quascirev.2009.10.003","http://dx.doi.org/10.1016/j.quascirev.2009.10.003")</f>
        <v>http://dx.doi.org/10.1016/j.quascirev.2009.10.003</v>
      </c>
      <c r="BG403" t="s">
        <v>74</v>
      </c>
      <c r="BH403" t="s">
        <v>74</v>
      </c>
      <c r="BI403">
        <v>12</v>
      </c>
      <c r="BJ403" t="s">
        <v>2881</v>
      </c>
      <c r="BK403" t="s">
        <v>102</v>
      </c>
      <c r="BL403" t="s">
        <v>2628</v>
      </c>
      <c r="BM403" t="s">
        <v>7658</v>
      </c>
      <c r="BN403" t="s">
        <v>74</v>
      </c>
      <c r="BO403" t="s">
        <v>74</v>
      </c>
      <c r="BP403" t="s">
        <v>74</v>
      </c>
      <c r="BQ403" t="s">
        <v>74</v>
      </c>
      <c r="BR403" t="s">
        <v>105</v>
      </c>
      <c r="BS403" t="s">
        <v>7721</v>
      </c>
      <c r="BT403" t="str">
        <f>HYPERLINK("https%3A%2F%2Fwww.webofscience.com%2Fwos%2Fwoscc%2Ffull-record%2FWOS:000274960100006","View Full Record in Web of Science")</f>
        <v>View Full Record in Web of Science</v>
      </c>
    </row>
    <row r="404" spans="1:72" x14ac:dyDescent="0.15">
      <c r="A404" t="s">
        <v>72</v>
      </c>
      <c r="B404" t="s">
        <v>7722</v>
      </c>
      <c r="C404" t="s">
        <v>74</v>
      </c>
      <c r="D404" t="s">
        <v>74</v>
      </c>
      <c r="E404" t="s">
        <v>74</v>
      </c>
      <c r="F404" t="s">
        <v>7723</v>
      </c>
      <c r="G404" t="s">
        <v>74</v>
      </c>
      <c r="H404" t="s">
        <v>74</v>
      </c>
      <c r="I404" t="s">
        <v>7724</v>
      </c>
      <c r="J404" t="s">
        <v>7725</v>
      </c>
      <c r="K404" t="s">
        <v>74</v>
      </c>
      <c r="L404" t="s">
        <v>74</v>
      </c>
      <c r="M404" t="s">
        <v>78</v>
      </c>
      <c r="N404" t="s">
        <v>600</v>
      </c>
      <c r="O404" t="s">
        <v>74</v>
      </c>
      <c r="P404" t="s">
        <v>74</v>
      </c>
      <c r="Q404" t="s">
        <v>74</v>
      </c>
      <c r="R404" t="s">
        <v>74</v>
      </c>
      <c r="S404" t="s">
        <v>74</v>
      </c>
      <c r="T404" t="s">
        <v>74</v>
      </c>
      <c r="U404" t="s">
        <v>74</v>
      </c>
      <c r="V404" t="s">
        <v>7726</v>
      </c>
      <c r="W404" t="s">
        <v>7727</v>
      </c>
      <c r="X404" t="s">
        <v>7728</v>
      </c>
      <c r="Y404" t="s">
        <v>7729</v>
      </c>
      <c r="Z404" t="s">
        <v>74</v>
      </c>
      <c r="AA404" t="s">
        <v>7730</v>
      </c>
      <c r="AB404" t="s">
        <v>74</v>
      </c>
      <c r="AC404" t="s">
        <v>7731</v>
      </c>
      <c r="AD404" t="s">
        <v>1718</v>
      </c>
      <c r="AE404" t="s">
        <v>7732</v>
      </c>
      <c r="AF404" t="s">
        <v>74</v>
      </c>
      <c r="AG404">
        <v>5</v>
      </c>
      <c r="AH404">
        <v>0</v>
      </c>
      <c r="AI404">
        <v>0</v>
      </c>
      <c r="AJ404">
        <v>0</v>
      </c>
      <c r="AK404">
        <v>1</v>
      </c>
      <c r="AL404" t="s">
        <v>4045</v>
      </c>
      <c r="AM404" t="s">
        <v>4046</v>
      </c>
      <c r="AN404" t="s">
        <v>4047</v>
      </c>
      <c r="AO404" t="s">
        <v>7733</v>
      </c>
      <c r="AP404" t="s">
        <v>7734</v>
      </c>
      <c r="AQ404" t="s">
        <v>74</v>
      </c>
      <c r="AR404" t="s">
        <v>7735</v>
      </c>
      <c r="AS404" t="s">
        <v>7736</v>
      </c>
      <c r="AT404" t="s">
        <v>5910</v>
      </c>
      <c r="AU404">
        <v>2010</v>
      </c>
      <c r="AV404">
        <v>35</v>
      </c>
      <c r="AW404">
        <v>2</v>
      </c>
      <c r="AX404" t="s">
        <v>74</v>
      </c>
      <c r="AY404" t="s">
        <v>74</v>
      </c>
      <c r="AZ404" t="s">
        <v>74</v>
      </c>
      <c r="BA404" t="s">
        <v>74</v>
      </c>
      <c r="BB404">
        <v>152</v>
      </c>
      <c r="BC404">
        <v>157</v>
      </c>
      <c r="BD404" t="s">
        <v>74</v>
      </c>
      <c r="BE404" t="s">
        <v>7737</v>
      </c>
      <c r="BF404" t="str">
        <f>HYPERLINK("http://dx.doi.org/10.3103/S1068373910020111","http://dx.doi.org/10.3103/S1068373910020111")</f>
        <v>http://dx.doi.org/10.3103/S1068373910020111</v>
      </c>
      <c r="BG404" t="s">
        <v>74</v>
      </c>
      <c r="BH404" t="s">
        <v>74</v>
      </c>
      <c r="BI404">
        <v>6</v>
      </c>
      <c r="BJ404" t="s">
        <v>258</v>
      </c>
      <c r="BK404" t="s">
        <v>102</v>
      </c>
      <c r="BL404" t="s">
        <v>258</v>
      </c>
      <c r="BM404" t="s">
        <v>7738</v>
      </c>
      <c r="BN404" t="s">
        <v>74</v>
      </c>
      <c r="BO404" t="s">
        <v>74</v>
      </c>
      <c r="BP404" t="s">
        <v>74</v>
      </c>
      <c r="BQ404" t="s">
        <v>74</v>
      </c>
      <c r="BR404" t="s">
        <v>105</v>
      </c>
      <c r="BS404" t="s">
        <v>7739</v>
      </c>
      <c r="BT404" t="str">
        <f>HYPERLINK("https%3A%2F%2Fwww.webofscience.com%2Fwos%2Fwoscc%2Ffull-record%2FWOS:000278472500011","View Full Record in Web of Science")</f>
        <v>View Full Record in Web of Science</v>
      </c>
    </row>
    <row r="405" spans="1:72" x14ac:dyDescent="0.15">
      <c r="A405" t="s">
        <v>72</v>
      </c>
      <c r="B405" t="s">
        <v>7740</v>
      </c>
      <c r="C405" t="s">
        <v>74</v>
      </c>
      <c r="D405" t="s">
        <v>74</v>
      </c>
      <c r="E405" t="s">
        <v>74</v>
      </c>
      <c r="F405" t="s">
        <v>7741</v>
      </c>
      <c r="G405" t="s">
        <v>74</v>
      </c>
      <c r="H405" t="s">
        <v>74</v>
      </c>
      <c r="I405" t="s">
        <v>7742</v>
      </c>
      <c r="J405" t="s">
        <v>7743</v>
      </c>
      <c r="K405" t="s">
        <v>74</v>
      </c>
      <c r="L405" t="s">
        <v>74</v>
      </c>
      <c r="M405" t="s">
        <v>7744</v>
      </c>
      <c r="N405" t="s">
        <v>79</v>
      </c>
      <c r="O405" t="s">
        <v>74</v>
      </c>
      <c r="P405" t="s">
        <v>74</v>
      </c>
      <c r="Q405" t="s">
        <v>74</v>
      </c>
      <c r="R405" t="s">
        <v>74</v>
      </c>
      <c r="S405" t="s">
        <v>74</v>
      </c>
      <c r="T405" t="s">
        <v>74</v>
      </c>
      <c r="U405" t="s">
        <v>74</v>
      </c>
      <c r="V405" t="s">
        <v>7745</v>
      </c>
      <c r="W405" t="s">
        <v>7746</v>
      </c>
      <c r="X405" t="s">
        <v>7747</v>
      </c>
      <c r="Y405" t="s">
        <v>7748</v>
      </c>
      <c r="Z405" t="s">
        <v>7749</v>
      </c>
      <c r="AA405" t="s">
        <v>74</v>
      </c>
      <c r="AB405" t="s">
        <v>74</v>
      </c>
      <c r="AC405" t="s">
        <v>74</v>
      </c>
      <c r="AD405" t="s">
        <v>74</v>
      </c>
      <c r="AE405" t="s">
        <v>74</v>
      </c>
      <c r="AF405" t="s">
        <v>74</v>
      </c>
      <c r="AG405">
        <v>11</v>
      </c>
      <c r="AH405">
        <v>0</v>
      </c>
      <c r="AI405">
        <v>0</v>
      </c>
      <c r="AJ405">
        <v>0</v>
      </c>
      <c r="AK405">
        <v>1</v>
      </c>
      <c r="AL405" t="s">
        <v>7750</v>
      </c>
      <c r="AM405" t="s">
        <v>4046</v>
      </c>
      <c r="AN405" t="s">
        <v>7751</v>
      </c>
      <c r="AO405" t="s">
        <v>7752</v>
      </c>
      <c r="AP405" t="s">
        <v>74</v>
      </c>
      <c r="AQ405" t="s">
        <v>74</v>
      </c>
      <c r="AR405" t="s">
        <v>7753</v>
      </c>
      <c r="AS405" t="s">
        <v>7754</v>
      </c>
      <c r="AT405" t="s">
        <v>5910</v>
      </c>
      <c r="AU405">
        <v>2010</v>
      </c>
      <c r="AV405">
        <v>89</v>
      </c>
      <c r="AW405">
        <v>2</v>
      </c>
      <c r="AX405" t="s">
        <v>74</v>
      </c>
      <c r="AY405" t="s">
        <v>74</v>
      </c>
      <c r="AZ405" t="s">
        <v>74</v>
      </c>
      <c r="BA405" t="s">
        <v>74</v>
      </c>
      <c r="BB405">
        <v>140</v>
      </c>
      <c r="BC405">
        <v>150</v>
      </c>
      <c r="BD405" t="s">
        <v>74</v>
      </c>
      <c r="BE405" t="s">
        <v>74</v>
      </c>
      <c r="BF405" t="s">
        <v>74</v>
      </c>
      <c r="BG405" t="s">
        <v>74</v>
      </c>
      <c r="BH405" t="s">
        <v>74</v>
      </c>
      <c r="BI405">
        <v>11</v>
      </c>
      <c r="BJ405" t="s">
        <v>281</v>
      </c>
      <c r="BK405" t="s">
        <v>102</v>
      </c>
      <c r="BL405" t="s">
        <v>281</v>
      </c>
      <c r="BM405" t="s">
        <v>7755</v>
      </c>
      <c r="BN405" t="s">
        <v>74</v>
      </c>
      <c r="BO405" t="s">
        <v>74</v>
      </c>
      <c r="BP405" t="s">
        <v>74</v>
      </c>
      <c r="BQ405" t="s">
        <v>74</v>
      </c>
      <c r="BR405" t="s">
        <v>105</v>
      </c>
      <c r="BS405" t="s">
        <v>7756</v>
      </c>
      <c r="BT405" t="str">
        <f>HYPERLINK("https%3A%2F%2Fwww.webofscience.com%2Fwos%2Fwoscc%2Ffull-record%2FWOS:000278518100002","View Full Record in Web of Science")</f>
        <v>View Full Record in Web of Science</v>
      </c>
    </row>
    <row r="406" spans="1:72" x14ac:dyDescent="0.15">
      <c r="A406" t="s">
        <v>72</v>
      </c>
      <c r="B406" t="s">
        <v>7757</v>
      </c>
      <c r="C406" t="s">
        <v>74</v>
      </c>
      <c r="D406" t="s">
        <v>74</v>
      </c>
      <c r="E406" t="s">
        <v>74</v>
      </c>
      <c r="F406" t="s">
        <v>7758</v>
      </c>
      <c r="G406" t="s">
        <v>74</v>
      </c>
      <c r="H406" t="s">
        <v>74</v>
      </c>
      <c r="I406" t="s">
        <v>7759</v>
      </c>
      <c r="J406" t="s">
        <v>1290</v>
      </c>
      <c r="K406" t="s">
        <v>74</v>
      </c>
      <c r="L406" t="s">
        <v>74</v>
      </c>
      <c r="M406" t="s">
        <v>78</v>
      </c>
      <c r="N406" t="s">
        <v>79</v>
      </c>
      <c r="O406" t="s">
        <v>74</v>
      </c>
      <c r="P406" t="s">
        <v>74</v>
      </c>
      <c r="Q406" t="s">
        <v>74</v>
      </c>
      <c r="R406" t="s">
        <v>74</v>
      </c>
      <c r="S406" t="s">
        <v>74</v>
      </c>
      <c r="T406" t="s">
        <v>7760</v>
      </c>
      <c r="U406" t="s">
        <v>7761</v>
      </c>
      <c r="V406" t="s">
        <v>7762</v>
      </c>
      <c r="W406" t="s">
        <v>7763</v>
      </c>
      <c r="X406" t="s">
        <v>7764</v>
      </c>
      <c r="Y406" t="s">
        <v>7765</v>
      </c>
      <c r="Z406" t="s">
        <v>7766</v>
      </c>
      <c r="AA406" t="s">
        <v>7767</v>
      </c>
      <c r="AB406" t="s">
        <v>74</v>
      </c>
      <c r="AC406" t="s">
        <v>7768</v>
      </c>
      <c r="AD406" t="s">
        <v>7769</v>
      </c>
      <c r="AE406" t="s">
        <v>7770</v>
      </c>
      <c r="AF406" t="s">
        <v>74</v>
      </c>
      <c r="AG406">
        <v>95</v>
      </c>
      <c r="AH406">
        <v>145</v>
      </c>
      <c r="AI406">
        <v>174</v>
      </c>
      <c r="AJ406">
        <v>4</v>
      </c>
      <c r="AK406">
        <v>57</v>
      </c>
      <c r="AL406" t="s">
        <v>173</v>
      </c>
      <c r="AM406" t="s">
        <v>145</v>
      </c>
      <c r="AN406" t="s">
        <v>174</v>
      </c>
      <c r="AO406" t="s">
        <v>1303</v>
      </c>
      <c r="AP406" t="s">
        <v>1325</v>
      </c>
      <c r="AQ406" t="s">
        <v>74</v>
      </c>
      <c r="AR406" t="s">
        <v>1304</v>
      </c>
      <c r="AS406" t="s">
        <v>1305</v>
      </c>
      <c r="AT406" t="s">
        <v>7771</v>
      </c>
      <c r="AU406">
        <v>2010</v>
      </c>
      <c r="AV406">
        <v>289</v>
      </c>
      <c r="AW406" t="s">
        <v>971</v>
      </c>
      <c r="AX406" t="s">
        <v>74</v>
      </c>
      <c r="AY406" t="s">
        <v>74</v>
      </c>
      <c r="AZ406" t="s">
        <v>74</v>
      </c>
      <c r="BA406" t="s">
        <v>74</v>
      </c>
      <c r="BB406">
        <v>457</v>
      </c>
      <c r="BC406">
        <v>466</v>
      </c>
      <c r="BD406" t="s">
        <v>74</v>
      </c>
      <c r="BE406" t="s">
        <v>7772</v>
      </c>
      <c r="BF406" t="str">
        <f>HYPERLINK("http://dx.doi.org/10.1016/j.epsl.2009.11.035","http://dx.doi.org/10.1016/j.epsl.2009.11.035")</f>
        <v>http://dx.doi.org/10.1016/j.epsl.2009.11.035</v>
      </c>
      <c r="BG406" t="s">
        <v>74</v>
      </c>
      <c r="BH406" t="s">
        <v>74</v>
      </c>
      <c r="BI406">
        <v>10</v>
      </c>
      <c r="BJ406" t="s">
        <v>507</v>
      </c>
      <c r="BK406" t="s">
        <v>102</v>
      </c>
      <c r="BL406" t="s">
        <v>507</v>
      </c>
      <c r="BM406" t="s">
        <v>7773</v>
      </c>
      <c r="BN406" t="s">
        <v>74</v>
      </c>
      <c r="BO406" t="s">
        <v>74</v>
      </c>
      <c r="BP406" t="s">
        <v>74</v>
      </c>
      <c r="BQ406" t="s">
        <v>74</v>
      </c>
      <c r="BR406" t="s">
        <v>105</v>
      </c>
      <c r="BS406" t="s">
        <v>7774</v>
      </c>
      <c r="BT406" t="str">
        <f>HYPERLINK("https%3A%2F%2Fwww.webofscience.com%2Fwos%2Fwoscc%2Ffull-record%2FWOS:000274351000013","View Full Record in Web of Science")</f>
        <v>View Full Record in Web of Science</v>
      </c>
    </row>
    <row r="407" spans="1:72" x14ac:dyDescent="0.15">
      <c r="A407" t="s">
        <v>72</v>
      </c>
      <c r="B407" t="s">
        <v>7775</v>
      </c>
      <c r="C407" t="s">
        <v>74</v>
      </c>
      <c r="D407" t="s">
        <v>74</v>
      </c>
      <c r="E407" t="s">
        <v>74</v>
      </c>
      <c r="F407" t="s">
        <v>7776</v>
      </c>
      <c r="G407" t="s">
        <v>74</v>
      </c>
      <c r="H407" t="s">
        <v>74</v>
      </c>
      <c r="I407" t="s">
        <v>7777</v>
      </c>
      <c r="J407" t="s">
        <v>3659</v>
      </c>
      <c r="K407" t="s">
        <v>74</v>
      </c>
      <c r="L407" t="s">
        <v>74</v>
      </c>
      <c r="M407" t="s">
        <v>78</v>
      </c>
      <c r="N407" t="s">
        <v>79</v>
      </c>
      <c r="O407" t="s">
        <v>74</v>
      </c>
      <c r="P407" t="s">
        <v>74</v>
      </c>
      <c r="Q407" t="s">
        <v>74</v>
      </c>
      <c r="R407" t="s">
        <v>74</v>
      </c>
      <c r="S407" t="s">
        <v>74</v>
      </c>
      <c r="T407" t="s">
        <v>74</v>
      </c>
      <c r="U407" t="s">
        <v>7778</v>
      </c>
      <c r="V407" t="s">
        <v>7779</v>
      </c>
      <c r="W407" t="s">
        <v>7780</v>
      </c>
      <c r="X407" t="s">
        <v>7781</v>
      </c>
      <c r="Y407" t="s">
        <v>7782</v>
      </c>
      <c r="Z407" t="s">
        <v>7783</v>
      </c>
      <c r="AA407" t="s">
        <v>7784</v>
      </c>
      <c r="AB407" t="s">
        <v>7785</v>
      </c>
      <c r="AC407" t="s">
        <v>7786</v>
      </c>
      <c r="AD407" t="s">
        <v>7787</v>
      </c>
      <c r="AE407" t="s">
        <v>7788</v>
      </c>
      <c r="AF407" t="s">
        <v>74</v>
      </c>
      <c r="AG407">
        <v>19</v>
      </c>
      <c r="AH407">
        <v>78</v>
      </c>
      <c r="AI407">
        <v>86</v>
      </c>
      <c r="AJ407">
        <v>1</v>
      </c>
      <c r="AK407">
        <v>15</v>
      </c>
      <c r="AL407" t="s">
        <v>91</v>
      </c>
      <c r="AM407" t="s">
        <v>92</v>
      </c>
      <c r="AN407" t="s">
        <v>93</v>
      </c>
      <c r="AO407" t="s">
        <v>3671</v>
      </c>
      <c r="AP407" t="s">
        <v>74</v>
      </c>
      <c r="AQ407" t="s">
        <v>74</v>
      </c>
      <c r="AR407" t="s">
        <v>3672</v>
      </c>
      <c r="AS407" t="s">
        <v>3673</v>
      </c>
      <c r="AT407" t="s">
        <v>7789</v>
      </c>
      <c r="AU407">
        <v>2010</v>
      </c>
      <c r="AV407">
        <v>37</v>
      </c>
      <c r="AW407" t="s">
        <v>74</v>
      </c>
      <c r="AX407" t="s">
        <v>74</v>
      </c>
      <c r="AY407" t="s">
        <v>74</v>
      </c>
      <c r="AZ407" t="s">
        <v>74</v>
      </c>
      <c r="BA407" t="s">
        <v>74</v>
      </c>
      <c r="BB407" t="s">
        <v>74</v>
      </c>
      <c r="BC407" t="s">
        <v>74</v>
      </c>
      <c r="BD407" t="s">
        <v>7790</v>
      </c>
      <c r="BE407" t="s">
        <v>7791</v>
      </c>
      <c r="BF407" t="str">
        <f>HYPERLINK("http://dx.doi.org/10.1029/2009GL041488","http://dx.doi.org/10.1029/2009GL041488")</f>
        <v>http://dx.doi.org/10.1029/2009GL041488</v>
      </c>
      <c r="BG407" t="s">
        <v>74</v>
      </c>
      <c r="BH407" t="s">
        <v>74</v>
      </c>
      <c r="BI407">
        <v>6</v>
      </c>
      <c r="BJ407" t="s">
        <v>913</v>
      </c>
      <c r="BK407" t="s">
        <v>102</v>
      </c>
      <c r="BL407" t="s">
        <v>914</v>
      </c>
      <c r="BM407" t="s">
        <v>7792</v>
      </c>
      <c r="BN407" t="s">
        <v>74</v>
      </c>
      <c r="BO407" t="s">
        <v>260</v>
      </c>
      <c r="BP407" t="s">
        <v>74</v>
      </c>
      <c r="BQ407" t="s">
        <v>74</v>
      </c>
      <c r="BR407" t="s">
        <v>105</v>
      </c>
      <c r="BS407" t="s">
        <v>7793</v>
      </c>
      <c r="BT407" t="str">
        <f>HYPERLINK("https%3A%2F%2Fwww.webofscience.com%2Fwos%2Fwoscc%2Ffull-record%2FWOS:000274126300005","View Full Record in Web of Science")</f>
        <v>View Full Record in Web of Science</v>
      </c>
    </row>
    <row r="408" spans="1:72" x14ac:dyDescent="0.15">
      <c r="A408" t="s">
        <v>72</v>
      </c>
      <c r="B408" t="s">
        <v>7794</v>
      </c>
      <c r="C408" t="s">
        <v>74</v>
      </c>
      <c r="D408" t="s">
        <v>74</v>
      </c>
      <c r="E408" t="s">
        <v>74</v>
      </c>
      <c r="F408" t="s">
        <v>7795</v>
      </c>
      <c r="G408" t="s">
        <v>74</v>
      </c>
      <c r="H408" t="s">
        <v>74</v>
      </c>
      <c r="I408" t="s">
        <v>7796</v>
      </c>
      <c r="J408" t="s">
        <v>3216</v>
      </c>
      <c r="K408" t="s">
        <v>74</v>
      </c>
      <c r="L408" t="s">
        <v>74</v>
      </c>
      <c r="M408" t="s">
        <v>78</v>
      </c>
      <c r="N408" t="s">
        <v>79</v>
      </c>
      <c r="O408" t="s">
        <v>74</v>
      </c>
      <c r="P408" t="s">
        <v>74</v>
      </c>
      <c r="Q408" t="s">
        <v>74</v>
      </c>
      <c r="R408" t="s">
        <v>74</v>
      </c>
      <c r="S408" t="s">
        <v>74</v>
      </c>
      <c r="T408" t="s">
        <v>74</v>
      </c>
      <c r="U408" t="s">
        <v>7797</v>
      </c>
      <c r="V408" t="s">
        <v>7798</v>
      </c>
      <c r="W408" t="s">
        <v>7799</v>
      </c>
      <c r="X408" t="s">
        <v>7800</v>
      </c>
      <c r="Y408" t="s">
        <v>7801</v>
      </c>
      <c r="Z408" t="s">
        <v>7802</v>
      </c>
      <c r="AA408" t="s">
        <v>7803</v>
      </c>
      <c r="AB408" t="s">
        <v>7804</v>
      </c>
      <c r="AC408" t="s">
        <v>7805</v>
      </c>
      <c r="AD408" t="s">
        <v>7806</v>
      </c>
      <c r="AE408" t="s">
        <v>7807</v>
      </c>
      <c r="AF408" t="s">
        <v>74</v>
      </c>
      <c r="AG408">
        <v>46</v>
      </c>
      <c r="AH408">
        <v>207</v>
      </c>
      <c r="AI408">
        <v>221</v>
      </c>
      <c r="AJ408">
        <v>3</v>
      </c>
      <c r="AK408">
        <v>146</v>
      </c>
      <c r="AL408" t="s">
        <v>2459</v>
      </c>
      <c r="AM408" t="s">
        <v>407</v>
      </c>
      <c r="AN408" t="s">
        <v>3217</v>
      </c>
      <c r="AO408" t="s">
        <v>3218</v>
      </c>
      <c r="AP408" t="s">
        <v>7808</v>
      </c>
      <c r="AQ408" t="s">
        <v>74</v>
      </c>
      <c r="AR408" t="s">
        <v>3216</v>
      </c>
      <c r="AS408" t="s">
        <v>3219</v>
      </c>
      <c r="AT408" t="s">
        <v>7809</v>
      </c>
      <c r="AU408">
        <v>2010</v>
      </c>
      <c r="AV408">
        <v>463</v>
      </c>
      <c r="AW408">
        <v>7280</v>
      </c>
      <c r="AX408" t="s">
        <v>74</v>
      </c>
      <c r="AY408" t="s">
        <v>74</v>
      </c>
      <c r="AZ408" t="s">
        <v>74</v>
      </c>
      <c r="BA408" t="s">
        <v>74</v>
      </c>
      <c r="BB408">
        <v>527</v>
      </c>
      <c r="BC408" t="s">
        <v>7810</v>
      </c>
      <c r="BD408" t="s">
        <v>74</v>
      </c>
      <c r="BE408" t="s">
        <v>7811</v>
      </c>
      <c r="BF408" t="str">
        <f>HYPERLINK("http://dx.doi.org/10.1038/nature08769","http://dx.doi.org/10.1038/nature08769")</f>
        <v>http://dx.doi.org/10.1038/nature08769</v>
      </c>
      <c r="BG408" t="s">
        <v>74</v>
      </c>
      <c r="BH408" t="s">
        <v>74</v>
      </c>
      <c r="BI408">
        <v>6</v>
      </c>
      <c r="BJ408" t="s">
        <v>323</v>
      </c>
      <c r="BK408" t="s">
        <v>102</v>
      </c>
      <c r="BL408" t="s">
        <v>324</v>
      </c>
      <c r="BM408" t="s">
        <v>7812</v>
      </c>
      <c r="BN408">
        <v>20110999</v>
      </c>
      <c r="BO408" t="s">
        <v>74</v>
      </c>
      <c r="BP408" t="s">
        <v>74</v>
      </c>
      <c r="BQ408" t="s">
        <v>74</v>
      </c>
      <c r="BR408" t="s">
        <v>105</v>
      </c>
      <c r="BS408" t="s">
        <v>7813</v>
      </c>
      <c r="BT408" t="str">
        <f>HYPERLINK("https%3A%2F%2Fwww.webofscience.com%2Fwos%2Fwoscc%2Ffull-record%2FWOS:000273981100048","View Full Record in Web of Science")</f>
        <v>View Full Record in Web of Science</v>
      </c>
    </row>
    <row r="409" spans="1:72" x14ac:dyDescent="0.15">
      <c r="A409" t="s">
        <v>72</v>
      </c>
      <c r="B409" t="s">
        <v>7814</v>
      </c>
      <c r="C409" t="s">
        <v>74</v>
      </c>
      <c r="D409" t="s">
        <v>74</v>
      </c>
      <c r="E409" t="s">
        <v>74</v>
      </c>
      <c r="F409" t="s">
        <v>7815</v>
      </c>
      <c r="G409" t="s">
        <v>74</v>
      </c>
      <c r="H409" t="s">
        <v>74</v>
      </c>
      <c r="I409" t="s">
        <v>7816</v>
      </c>
      <c r="J409" t="s">
        <v>7817</v>
      </c>
      <c r="K409" t="s">
        <v>74</v>
      </c>
      <c r="L409" t="s">
        <v>74</v>
      </c>
      <c r="M409" t="s">
        <v>78</v>
      </c>
      <c r="N409" t="s">
        <v>600</v>
      </c>
      <c r="O409" t="s">
        <v>74</v>
      </c>
      <c r="P409" t="s">
        <v>74</v>
      </c>
      <c r="Q409" t="s">
        <v>74</v>
      </c>
      <c r="R409" t="s">
        <v>74</v>
      </c>
      <c r="S409" t="s">
        <v>74</v>
      </c>
      <c r="T409" t="s">
        <v>74</v>
      </c>
      <c r="U409" t="s">
        <v>7818</v>
      </c>
      <c r="V409" t="s">
        <v>7819</v>
      </c>
      <c r="W409" t="s">
        <v>7820</v>
      </c>
      <c r="X409" t="s">
        <v>7821</v>
      </c>
      <c r="Y409" t="s">
        <v>7822</v>
      </c>
      <c r="Z409" t="s">
        <v>7823</v>
      </c>
      <c r="AA409" t="s">
        <v>74</v>
      </c>
      <c r="AB409" t="s">
        <v>74</v>
      </c>
      <c r="AC409" t="s">
        <v>7824</v>
      </c>
      <c r="AD409" t="s">
        <v>5054</v>
      </c>
      <c r="AE409" t="s">
        <v>7825</v>
      </c>
      <c r="AF409" t="s">
        <v>74</v>
      </c>
      <c r="AG409">
        <v>145</v>
      </c>
      <c r="AH409">
        <v>33</v>
      </c>
      <c r="AI409">
        <v>35</v>
      </c>
      <c r="AJ409">
        <v>0</v>
      </c>
      <c r="AK409">
        <v>9</v>
      </c>
      <c r="AL409" t="s">
        <v>91</v>
      </c>
      <c r="AM409" t="s">
        <v>92</v>
      </c>
      <c r="AN409" t="s">
        <v>93</v>
      </c>
      <c r="AO409" t="s">
        <v>7826</v>
      </c>
      <c r="AP409" t="s">
        <v>7827</v>
      </c>
      <c r="AQ409" t="s">
        <v>74</v>
      </c>
      <c r="AR409" t="s">
        <v>7817</v>
      </c>
      <c r="AS409" t="s">
        <v>7828</v>
      </c>
      <c r="AT409" t="s">
        <v>7809</v>
      </c>
      <c r="AU409">
        <v>2010</v>
      </c>
      <c r="AV409">
        <v>29</v>
      </c>
      <c r="AW409" t="s">
        <v>74</v>
      </c>
      <c r="AX409" t="s">
        <v>74</v>
      </c>
      <c r="AY409" t="s">
        <v>74</v>
      </c>
      <c r="AZ409" t="s">
        <v>74</v>
      </c>
      <c r="BA409" t="s">
        <v>74</v>
      </c>
      <c r="BB409" t="s">
        <v>74</v>
      </c>
      <c r="BC409" t="s">
        <v>74</v>
      </c>
      <c r="BD409" t="s">
        <v>7829</v>
      </c>
      <c r="BE409" t="s">
        <v>7830</v>
      </c>
      <c r="BF409" t="str">
        <f>HYPERLINK("http://dx.doi.org/10.1029/2009TC002457","http://dx.doi.org/10.1029/2009TC002457")</f>
        <v>http://dx.doi.org/10.1029/2009TC002457</v>
      </c>
      <c r="BG409" t="s">
        <v>74</v>
      </c>
      <c r="BH409" t="s">
        <v>74</v>
      </c>
      <c r="BI409">
        <v>21</v>
      </c>
      <c r="BJ409" t="s">
        <v>507</v>
      </c>
      <c r="BK409" t="s">
        <v>102</v>
      </c>
      <c r="BL409" t="s">
        <v>507</v>
      </c>
      <c r="BM409" t="s">
        <v>7831</v>
      </c>
      <c r="BN409" t="s">
        <v>74</v>
      </c>
      <c r="BO409" t="s">
        <v>74</v>
      </c>
      <c r="BP409" t="s">
        <v>74</v>
      </c>
      <c r="BQ409" t="s">
        <v>74</v>
      </c>
      <c r="BR409" t="s">
        <v>105</v>
      </c>
      <c r="BS409" t="s">
        <v>7832</v>
      </c>
      <c r="BT409" t="str">
        <f>HYPERLINK("https%3A%2F%2Fwww.webofscience.com%2Fwos%2Fwoscc%2Ffull-record%2FWOS:000274133700001","View Full Record in Web of Science")</f>
        <v>View Full Record in Web of Science</v>
      </c>
    </row>
    <row r="410" spans="1:72" x14ac:dyDescent="0.15">
      <c r="A410" t="s">
        <v>72</v>
      </c>
      <c r="B410" t="s">
        <v>7833</v>
      </c>
      <c r="C410" t="s">
        <v>74</v>
      </c>
      <c r="D410" t="s">
        <v>74</v>
      </c>
      <c r="E410" t="s">
        <v>74</v>
      </c>
      <c r="F410" t="s">
        <v>7834</v>
      </c>
      <c r="G410" t="s">
        <v>74</v>
      </c>
      <c r="H410" t="s">
        <v>74</v>
      </c>
      <c r="I410" t="s">
        <v>7835</v>
      </c>
      <c r="J410" t="s">
        <v>3659</v>
      </c>
      <c r="K410" t="s">
        <v>74</v>
      </c>
      <c r="L410" t="s">
        <v>74</v>
      </c>
      <c r="M410" t="s">
        <v>78</v>
      </c>
      <c r="N410" t="s">
        <v>79</v>
      </c>
      <c r="O410" t="s">
        <v>74</v>
      </c>
      <c r="P410" t="s">
        <v>74</v>
      </c>
      <c r="Q410" t="s">
        <v>74</v>
      </c>
      <c r="R410" t="s">
        <v>74</v>
      </c>
      <c r="S410" t="s">
        <v>74</v>
      </c>
      <c r="T410" t="s">
        <v>74</v>
      </c>
      <c r="U410" t="s">
        <v>7836</v>
      </c>
      <c r="V410" t="s">
        <v>7837</v>
      </c>
      <c r="W410" t="s">
        <v>7838</v>
      </c>
      <c r="X410" t="s">
        <v>7839</v>
      </c>
      <c r="Y410" t="s">
        <v>7840</v>
      </c>
      <c r="Z410" t="s">
        <v>7841</v>
      </c>
      <c r="AA410" t="s">
        <v>7842</v>
      </c>
      <c r="AB410" t="s">
        <v>7843</v>
      </c>
      <c r="AC410" t="s">
        <v>7844</v>
      </c>
      <c r="AD410" t="s">
        <v>7845</v>
      </c>
      <c r="AE410" t="s">
        <v>7846</v>
      </c>
      <c r="AF410" t="s">
        <v>74</v>
      </c>
      <c r="AG410">
        <v>24</v>
      </c>
      <c r="AH410">
        <v>58</v>
      </c>
      <c r="AI410">
        <v>61</v>
      </c>
      <c r="AJ410">
        <v>1</v>
      </c>
      <c r="AK410">
        <v>22</v>
      </c>
      <c r="AL410" t="s">
        <v>91</v>
      </c>
      <c r="AM410" t="s">
        <v>92</v>
      </c>
      <c r="AN410" t="s">
        <v>93</v>
      </c>
      <c r="AO410" t="s">
        <v>3671</v>
      </c>
      <c r="AP410" t="s">
        <v>5532</v>
      </c>
      <c r="AQ410" t="s">
        <v>74</v>
      </c>
      <c r="AR410" t="s">
        <v>3672</v>
      </c>
      <c r="AS410" t="s">
        <v>3673</v>
      </c>
      <c r="AT410" t="s">
        <v>7847</v>
      </c>
      <c r="AU410">
        <v>2010</v>
      </c>
      <c r="AV410">
        <v>37</v>
      </c>
      <c r="AW410" t="s">
        <v>74</v>
      </c>
      <c r="AX410" t="s">
        <v>74</v>
      </c>
      <c r="AY410" t="s">
        <v>74</v>
      </c>
      <c r="AZ410" t="s">
        <v>74</v>
      </c>
      <c r="BA410" t="s">
        <v>74</v>
      </c>
      <c r="BB410" t="s">
        <v>74</v>
      </c>
      <c r="BC410" t="s">
        <v>74</v>
      </c>
      <c r="BD410" t="s">
        <v>7848</v>
      </c>
      <c r="BE410" t="s">
        <v>7849</v>
      </c>
      <c r="BF410" t="str">
        <f>HYPERLINK("http://dx.doi.org/10.1029/2009GL041320","http://dx.doi.org/10.1029/2009GL041320")</f>
        <v>http://dx.doi.org/10.1029/2009GL041320</v>
      </c>
      <c r="BG410" t="s">
        <v>74</v>
      </c>
      <c r="BH410" t="s">
        <v>74</v>
      </c>
      <c r="BI410">
        <v>6</v>
      </c>
      <c r="BJ410" t="s">
        <v>913</v>
      </c>
      <c r="BK410" t="s">
        <v>102</v>
      </c>
      <c r="BL410" t="s">
        <v>914</v>
      </c>
      <c r="BM410" t="s">
        <v>7850</v>
      </c>
      <c r="BN410" t="s">
        <v>74</v>
      </c>
      <c r="BO410" t="s">
        <v>5889</v>
      </c>
      <c r="BP410" t="s">
        <v>74</v>
      </c>
      <c r="BQ410" t="s">
        <v>74</v>
      </c>
      <c r="BR410" t="s">
        <v>105</v>
      </c>
      <c r="BS410" t="s">
        <v>7851</v>
      </c>
      <c r="BT410" t="str">
        <f>HYPERLINK("https%3A%2F%2Fwww.webofscience.com%2Fwos%2Fwoscc%2Ffull-record%2FWOS:000274125700001","View Full Record in Web of Science")</f>
        <v>View Full Record in Web of Science</v>
      </c>
    </row>
    <row r="411" spans="1:72" x14ac:dyDescent="0.15">
      <c r="A411" t="s">
        <v>72</v>
      </c>
      <c r="B411" t="s">
        <v>7852</v>
      </c>
      <c r="C411" t="s">
        <v>74</v>
      </c>
      <c r="D411" t="s">
        <v>74</v>
      </c>
      <c r="E411" t="s">
        <v>74</v>
      </c>
      <c r="F411" t="s">
        <v>7853</v>
      </c>
      <c r="G411" t="s">
        <v>74</v>
      </c>
      <c r="H411" t="s">
        <v>74</v>
      </c>
      <c r="I411" t="s">
        <v>7854</v>
      </c>
      <c r="J411" t="s">
        <v>77</v>
      </c>
      <c r="K411" t="s">
        <v>74</v>
      </c>
      <c r="L411" t="s">
        <v>74</v>
      </c>
      <c r="M411" t="s">
        <v>78</v>
      </c>
      <c r="N411" t="s">
        <v>79</v>
      </c>
      <c r="O411" t="s">
        <v>74</v>
      </c>
      <c r="P411" t="s">
        <v>74</v>
      </c>
      <c r="Q411" t="s">
        <v>74</v>
      </c>
      <c r="R411" t="s">
        <v>74</v>
      </c>
      <c r="S411" t="s">
        <v>74</v>
      </c>
      <c r="T411" t="s">
        <v>74</v>
      </c>
      <c r="U411" t="s">
        <v>7855</v>
      </c>
      <c r="V411" t="s">
        <v>7856</v>
      </c>
      <c r="W411" t="s">
        <v>7857</v>
      </c>
      <c r="X411" t="s">
        <v>7858</v>
      </c>
      <c r="Y411" t="s">
        <v>7859</v>
      </c>
      <c r="Z411" t="s">
        <v>7860</v>
      </c>
      <c r="AA411" t="s">
        <v>7861</v>
      </c>
      <c r="AB411" t="s">
        <v>7862</v>
      </c>
      <c r="AC411" t="s">
        <v>7863</v>
      </c>
      <c r="AD411" t="s">
        <v>7863</v>
      </c>
      <c r="AE411" t="s">
        <v>7864</v>
      </c>
      <c r="AF411" t="s">
        <v>74</v>
      </c>
      <c r="AG411">
        <v>57</v>
      </c>
      <c r="AH411">
        <v>55</v>
      </c>
      <c r="AI411">
        <v>55</v>
      </c>
      <c r="AJ411">
        <v>0</v>
      </c>
      <c r="AK411">
        <v>12</v>
      </c>
      <c r="AL411" t="s">
        <v>91</v>
      </c>
      <c r="AM411" t="s">
        <v>92</v>
      </c>
      <c r="AN411" t="s">
        <v>93</v>
      </c>
      <c r="AO411" t="s">
        <v>94</v>
      </c>
      <c r="AP411" t="s">
        <v>95</v>
      </c>
      <c r="AQ411" t="s">
        <v>74</v>
      </c>
      <c r="AR411" t="s">
        <v>96</v>
      </c>
      <c r="AS411" t="s">
        <v>97</v>
      </c>
      <c r="AT411" t="s">
        <v>7865</v>
      </c>
      <c r="AU411">
        <v>2010</v>
      </c>
      <c r="AV411">
        <v>115</v>
      </c>
      <c r="AW411" t="s">
        <v>74</v>
      </c>
      <c r="AX411" t="s">
        <v>74</v>
      </c>
      <c r="AY411" t="s">
        <v>74</v>
      </c>
      <c r="AZ411" t="s">
        <v>74</v>
      </c>
      <c r="BA411" t="s">
        <v>74</v>
      </c>
      <c r="BB411" t="s">
        <v>74</v>
      </c>
      <c r="BC411" t="s">
        <v>74</v>
      </c>
      <c r="BD411" t="s">
        <v>7866</v>
      </c>
      <c r="BE411" t="s">
        <v>7867</v>
      </c>
      <c r="BF411" t="str">
        <f>HYPERLINK("http://dx.doi.org/10.1029/2008JC005264","http://dx.doi.org/10.1029/2008JC005264")</f>
        <v>http://dx.doi.org/10.1029/2008JC005264</v>
      </c>
      <c r="BG411" t="s">
        <v>74</v>
      </c>
      <c r="BH411" t="s">
        <v>74</v>
      </c>
      <c r="BI411">
        <v>16</v>
      </c>
      <c r="BJ411" t="s">
        <v>101</v>
      </c>
      <c r="BK411" t="s">
        <v>102</v>
      </c>
      <c r="BL411" t="s">
        <v>101</v>
      </c>
      <c r="BM411" t="s">
        <v>7868</v>
      </c>
      <c r="BN411" t="s">
        <v>74</v>
      </c>
      <c r="BO411" t="s">
        <v>104</v>
      </c>
      <c r="BP411" t="s">
        <v>74</v>
      </c>
      <c r="BQ411" t="s">
        <v>74</v>
      </c>
      <c r="BR411" t="s">
        <v>105</v>
      </c>
      <c r="BS411" t="s">
        <v>7869</v>
      </c>
      <c r="BT411" t="str">
        <f>HYPERLINK("https%3A%2F%2Fwww.webofscience.com%2Fwos%2Fwoscc%2Ffull-record%2FWOS:000274128000001","View Full Record in Web of Science")</f>
        <v>View Full Record in Web of Science</v>
      </c>
    </row>
    <row r="412" spans="1:72" x14ac:dyDescent="0.15">
      <c r="A412" t="s">
        <v>72</v>
      </c>
      <c r="B412" t="s">
        <v>7870</v>
      </c>
      <c r="C412" t="s">
        <v>74</v>
      </c>
      <c r="D412" t="s">
        <v>74</v>
      </c>
      <c r="E412" t="s">
        <v>74</v>
      </c>
      <c r="F412" t="s">
        <v>7871</v>
      </c>
      <c r="G412" t="s">
        <v>74</v>
      </c>
      <c r="H412" t="s">
        <v>74</v>
      </c>
      <c r="I412" t="s">
        <v>7872</v>
      </c>
      <c r="J412" t="s">
        <v>239</v>
      </c>
      <c r="K412" t="s">
        <v>74</v>
      </c>
      <c r="L412" t="s">
        <v>74</v>
      </c>
      <c r="M412" t="s">
        <v>78</v>
      </c>
      <c r="N412" t="s">
        <v>79</v>
      </c>
      <c r="O412" t="s">
        <v>74</v>
      </c>
      <c r="P412" t="s">
        <v>74</v>
      </c>
      <c r="Q412" t="s">
        <v>74</v>
      </c>
      <c r="R412" t="s">
        <v>74</v>
      </c>
      <c r="S412" t="s">
        <v>74</v>
      </c>
      <c r="T412" t="s">
        <v>74</v>
      </c>
      <c r="U412" t="s">
        <v>7873</v>
      </c>
      <c r="V412" t="s">
        <v>7874</v>
      </c>
      <c r="W412" t="s">
        <v>7875</v>
      </c>
      <c r="X412" t="s">
        <v>7876</v>
      </c>
      <c r="Y412" t="s">
        <v>7877</v>
      </c>
      <c r="Z412" t="s">
        <v>7878</v>
      </c>
      <c r="AA412" t="s">
        <v>7879</v>
      </c>
      <c r="AB412" t="s">
        <v>7880</v>
      </c>
      <c r="AC412" t="s">
        <v>7881</v>
      </c>
      <c r="AD412" t="s">
        <v>7881</v>
      </c>
      <c r="AE412" t="s">
        <v>7882</v>
      </c>
      <c r="AF412" t="s">
        <v>74</v>
      </c>
      <c r="AG412">
        <v>60</v>
      </c>
      <c r="AH412">
        <v>74</v>
      </c>
      <c r="AI412">
        <v>76</v>
      </c>
      <c r="AJ412">
        <v>3</v>
      </c>
      <c r="AK412">
        <v>67</v>
      </c>
      <c r="AL412" t="s">
        <v>91</v>
      </c>
      <c r="AM412" t="s">
        <v>92</v>
      </c>
      <c r="AN412" t="s">
        <v>93</v>
      </c>
      <c r="AO412" t="s">
        <v>251</v>
      </c>
      <c r="AP412" t="s">
        <v>252</v>
      </c>
      <c r="AQ412" t="s">
        <v>74</v>
      </c>
      <c r="AR412" t="s">
        <v>253</v>
      </c>
      <c r="AS412" t="s">
        <v>254</v>
      </c>
      <c r="AT412" t="s">
        <v>7883</v>
      </c>
      <c r="AU412">
        <v>2010</v>
      </c>
      <c r="AV412">
        <v>115</v>
      </c>
      <c r="AW412" t="s">
        <v>74</v>
      </c>
      <c r="AX412" t="s">
        <v>74</v>
      </c>
      <c r="AY412" t="s">
        <v>74</v>
      </c>
      <c r="AZ412" t="s">
        <v>74</v>
      </c>
      <c r="BA412" t="s">
        <v>74</v>
      </c>
      <c r="BB412" t="s">
        <v>74</v>
      </c>
      <c r="BC412" t="s">
        <v>74</v>
      </c>
      <c r="BD412" t="s">
        <v>7884</v>
      </c>
      <c r="BE412" t="s">
        <v>7885</v>
      </c>
      <c r="BF412" t="str">
        <f>HYPERLINK("http://dx.doi.org/10.1029/2009JD012536","http://dx.doi.org/10.1029/2009JD012536")</f>
        <v>http://dx.doi.org/10.1029/2009JD012536</v>
      </c>
      <c r="BG412" t="s">
        <v>74</v>
      </c>
      <c r="BH412" t="s">
        <v>74</v>
      </c>
      <c r="BI412">
        <v>16</v>
      </c>
      <c r="BJ412" t="s">
        <v>258</v>
      </c>
      <c r="BK412" t="s">
        <v>102</v>
      </c>
      <c r="BL412" t="s">
        <v>258</v>
      </c>
      <c r="BM412" t="s">
        <v>7886</v>
      </c>
      <c r="BN412" t="s">
        <v>74</v>
      </c>
      <c r="BO412" t="s">
        <v>74</v>
      </c>
      <c r="BP412" t="s">
        <v>74</v>
      </c>
      <c r="BQ412" t="s">
        <v>74</v>
      </c>
      <c r="BR412" t="s">
        <v>105</v>
      </c>
      <c r="BS412" t="s">
        <v>7887</v>
      </c>
      <c r="BT412" t="str">
        <f>HYPERLINK("https%3A%2F%2Fwww.webofscience.com%2Fwos%2Fwoscc%2Ffull-record%2FWOS:000273900300003","View Full Record in Web of Science")</f>
        <v>View Full Record in Web of Science</v>
      </c>
    </row>
    <row r="413" spans="1:72" x14ac:dyDescent="0.15">
      <c r="A413" t="s">
        <v>72</v>
      </c>
      <c r="B413" t="s">
        <v>7888</v>
      </c>
      <c r="C413" t="s">
        <v>74</v>
      </c>
      <c r="D413" t="s">
        <v>74</v>
      </c>
      <c r="E413" t="s">
        <v>74</v>
      </c>
      <c r="F413" t="s">
        <v>7889</v>
      </c>
      <c r="G413" t="s">
        <v>74</v>
      </c>
      <c r="H413" t="s">
        <v>74</v>
      </c>
      <c r="I413" t="s">
        <v>7890</v>
      </c>
      <c r="J413" t="s">
        <v>3336</v>
      </c>
      <c r="K413" t="s">
        <v>74</v>
      </c>
      <c r="L413" t="s">
        <v>74</v>
      </c>
      <c r="M413" t="s">
        <v>78</v>
      </c>
      <c r="N413" t="s">
        <v>79</v>
      </c>
      <c r="O413" t="s">
        <v>74</v>
      </c>
      <c r="P413" t="s">
        <v>74</v>
      </c>
      <c r="Q413" t="s">
        <v>74</v>
      </c>
      <c r="R413" t="s">
        <v>74</v>
      </c>
      <c r="S413" t="s">
        <v>74</v>
      </c>
      <c r="T413" t="s">
        <v>74</v>
      </c>
      <c r="U413" t="s">
        <v>7891</v>
      </c>
      <c r="V413" t="s">
        <v>7892</v>
      </c>
      <c r="W413" t="s">
        <v>7893</v>
      </c>
      <c r="X413" t="s">
        <v>7894</v>
      </c>
      <c r="Y413" t="s">
        <v>7895</v>
      </c>
      <c r="Z413" t="s">
        <v>7896</v>
      </c>
      <c r="AA413" t="s">
        <v>74</v>
      </c>
      <c r="AB413" t="s">
        <v>7897</v>
      </c>
      <c r="AC413" t="s">
        <v>3794</v>
      </c>
      <c r="AD413" t="s">
        <v>3795</v>
      </c>
      <c r="AE413" t="s">
        <v>7898</v>
      </c>
      <c r="AF413" t="s">
        <v>74</v>
      </c>
      <c r="AG413">
        <v>57</v>
      </c>
      <c r="AH413">
        <v>18</v>
      </c>
      <c r="AI413">
        <v>20</v>
      </c>
      <c r="AJ413">
        <v>1</v>
      </c>
      <c r="AK413">
        <v>8</v>
      </c>
      <c r="AL413" t="s">
        <v>91</v>
      </c>
      <c r="AM413" t="s">
        <v>92</v>
      </c>
      <c r="AN413" t="s">
        <v>93</v>
      </c>
      <c r="AO413" t="s">
        <v>3347</v>
      </c>
      <c r="AP413" t="s">
        <v>3514</v>
      </c>
      <c r="AQ413" t="s">
        <v>74</v>
      </c>
      <c r="AR413" t="s">
        <v>3336</v>
      </c>
      <c r="AS413" t="s">
        <v>3348</v>
      </c>
      <c r="AT413" t="s">
        <v>7883</v>
      </c>
      <c r="AU413">
        <v>2010</v>
      </c>
      <c r="AV413">
        <v>25</v>
      </c>
      <c r="AW413" t="s">
        <v>74</v>
      </c>
      <c r="AX413" t="s">
        <v>74</v>
      </c>
      <c r="AY413" t="s">
        <v>74</v>
      </c>
      <c r="AZ413" t="s">
        <v>74</v>
      </c>
      <c r="BA413" t="s">
        <v>74</v>
      </c>
      <c r="BB413" t="s">
        <v>74</v>
      </c>
      <c r="BC413" t="s">
        <v>74</v>
      </c>
      <c r="BD413" t="s">
        <v>7899</v>
      </c>
      <c r="BE413" t="s">
        <v>7900</v>
      </c>
      <c r="BF413" t="str">
        <f>HYPERLINK("http://dx.doi.org/10.1029/2008PA001691","http://dx.doi.org/10.1029/2008PA001691")</f>
        <v>http://dx.doi.org/10.1029/2008PA001691</v>
      </c>
      <c r="BG413" t="s">
        <v>74</v>
      </c>
      <c r="BH413" t="s">
        <v>74</v>
      </c>
      <c r="BI413">
        <v>18</v>
      </c>
      <c r="BJ413" t="s">
        <v>3352</v>
      </c>
      <c r="BK413" t="s">
        <v>102</v>
      </c>
      <c r="BL413" t="s">
        <v>3353</v>
      </c>
      <c r="BM413" t="s">
        <v>7901</v>
      </c>
      <c r="BN413" t="s">
        <v>74</v>
      </c>
      <c r="BO413" t="s">
        <v>104</v>
      </c>
      <c r="BP413" t="s">
        <v>74</v>
      </c>
      <c r="BQ413" t="s">
        <v>74</v>
      </c>
      <c r="BR413" t="s">
        <v>105</v>
      </c>
      <c r="BS413" t="s">
        <v>7902</v>
      </c>
      <c r="BT413" t="str">
        <f>HYPERLINK("https%3A%2F%2Fwww.webofscience.com%2Fwos%2Fwoscc%2Ffull-record%2FWOS:000273907400001","View Full Record in Web of Science")</f>
        <v>View Full Record in Web of Science</v>
      </c>
    </row>
    <row r="414" spans="1:72" x14ac:dyDescent="0.15">
      <c r="A414" t="s">
        <v>72</v>
      </c>
      <c r="B414" t="s">
        <v>7903</v>
      </c>
      <c r="C414" t="s">
        <v>74</v>
      </c>
      <c r="D414" t="s">
        <v>74</v>
      </c>
      <c r="E414" t="s">
        <v>74</v>
      </c>
      <c r="F414" t="s">
        <v>7904</v>
      </c>
      <c r="G414" t="s">
        <v>74</v>
      </c>
      <c r="H414" t="s">
        <v>74</v>
      </c>
      <c r="I414" t="s">
        <v>7905</v>
      </c>
      <c r="J414" t="s">
        <v>7906</v>
      </c>
      <c r="K414" t="s">
        <v>74</v>
      </c>
      <c r="L414" t="s">
        <v>74</v>
      </c>
      <c r="M414" t="s">
        <v>78</v>
      </c>
      <c r="N414" t="s">
        <v>79</v>
      </c>
      <c r="O414" t="s">
        <v>74</v>
      </c>
      <c r="P414" t="s">
        <v>74</v>
      </c>
      <c r="Q414" t="s">
        <v>74</v>
      </c>
      <c r="R414" t="s">
        <v>74</v>
      </c>
      <c r="S414" t="s">
        <v>74</v>
      </c>
      <c r="T414" t="s">
        <v>74</v>
      </c>
      <c r="U414" t="s">
        <v>7907</v>
      </c>
      <c r="V414" t="s">
        <v>7908</v>
      </c>
      <c r="W414" t="s">
        <v>7909</v>
      </c>
      <c r="X414" t="s">
        <v>7910</v>
      </c>
      <c r="Y414" t="s">
        <v>7911</v>
      </c>
      <c r="Z414" t="s">
        <v>74</v>
      </c>
      <c r="AA414" t="s">
        <v>7912</v>
      </c>
      <c r="AB414" t="s">
        <v>7913</v>
      </c>
      <c r="AC414" t="s">
        <v>7914</v>
      </c>
      <c r="AD414" t="s">
        <v>7915</v>
      </c>
      <c r="AE414" t="s">
        <v>7916</v>
      </c>
      <c r="AF414" t="s">
        <v>74</v>
      </c>
      <c r="AG414">
        <v>37</v>
      </c>
      <c r="AH414">
        <v>27</v>
      </c>
      <c r="AI414">
        <v>29</v>
      </c>
      <c r="AJ414">
        <v>2</v>
      </c>
      <c r="AK414">
        <v>8</v>
      </c>
      <c r="AL414" t="s">
        <v>91</v>
      </c>
      <c r="AM414" t="s">
        <v>92</v>
      </c>
      <c r="AN414" t="s">
        <v>93</v>
      </c>
      <c r="AO414" t="s">
        <v>7917</v>
      </c>
      <c r="AP414" t="s">
        <v>7918</v>
      </c>
      <c r="AQ414" t="s">
        <v>74</v>
      </c>
      <c r="AR414" t="s">
        <v>7919</v>
      </c>
      <c r="AS414" t="s">
        <v>7920</v>
      </c>
      <c r="AT414" t="s">
        <v>7921</v>
      </c>
      <c r="AU414">
        <v>2010</v>
      </c>
      <c r="AV414">
        <v>115</v>
      </c>
      <c r="AW414" t="s">
        <v>74</v>
      </c>
      <c r="AX414" t="s">
        <v>74</v>
      </c>
      <c r="AY414" t="s">
        <v>74</v>
      </c>
      <c r="AZ414" t="s">
        <v>74</v>
      </c>
      <c r="BA414" t="s">
        <v>74</v>
      </c>
      <c r="BB414" t="s">
        <v>74</v>
      </c>
      <c r="BC414" t="s">
        <v>74</v>
      </c>
      <c r="BD414" t="s">
        <v>7922</v>
      </c>
      <c r="BE414" t="s">
        <v>7923</v>
      </c>
      <c r="BF414" t="str">
        <f>HYPERLINK("http://dx.doi.org/10.1029/2009JB006295","http://dx.doi.org/10.1029/2009JB006295")</f>
        <v>http://dx.doi.org/10.1029/2009JB006295</v>
      </c>
      <c r="BG414" t="s">
        <v>74</v>
      </c>
      <c r="BH414" t="s">
        <v>74</v>
      </c>
      <c r="BI414">
        <v>14</v>
      </c>
      <c r="BJ414" t="s">
        <v>507</v>
      </c>
      <c r="BK414" t="s">
        <v>102</v>
      </c>
      <c r="BL414" t="s">
        <v>507</v>
      </c>
      <c r="BM414" t="s">
        <v>7924</v>
      </c>
      <c r="BN414" t="s">
        <v>74</v>
      </c>
      <c r="BO414" t="s">
        <v>104</v>
      </c>
      <c r="BP414" t="s">
        <v>74</v>
      </c>
      <c r="BQ414" t="s">
        <v>74</v>
      </c>
      <c r="BR414" t="s">
        <v>105</v>
      </c>
      <c r="BS414" t="s">
        <v>7925</v>
      </c>
      <c r="BT414" t="str">
        <f>HYPERLINK("https%3A%2F%2Fwww.webofscience.com%2Fwos%2Fwoscc%2Ffull-record%2FWOS:000273905400002","View Full Record in Web of Science")</f>
        <v>View Full Record in Web of Science</v>
      </c>
    </row>
    <row r="415" spans="1:72" x14ac:dyDescent="0.15">
      <c r="A415" t="s">
        <v>72</v>
      </c>
      <c r="B415" t="s">
        <v>7926</v>
      </c>
      <c r="C415" t="s">
        <v>74</v>
      </c>
      <c r="D415" t="s">
        <v>74</v>
      </c>
      <c r="E415" t="s">
        <v>74</v>
      </c>
      <c r="F415" t="s">
        <v>7927</v>
      </c>
      <c r="G415" t="s">
        <v>74</v>
      </c>
      <c r="H415" t="s">
        <v>74</v>
      </c>
      <c r="I415" t="s">
        <v>7928</v>
      </c>
      <c r="J415" t="s">
        <v>3613</v>
      </c>
      <c r="K415" t="s">
        <v>74</v>
      </c>
      <c r="L415" t="s">
        <v>74</v>
      </c>
      <c r="M415" t="s">
        <v>78</v>
      </c>
      <c r="N415" t="s">
        <v>3202</v>
      </c>
      <c r="O415" t="s">
        <v>74</v>
      </c>
      <c r="P415" t="s">
        <v>74</v>
      </c>
      <c r="Q415" t="s">
        <v>74</v>
      </c>
      <c r="R415" t="s">
        <v>74</v>
      </c>
      <c r="S415" t="s">
        <v>74</v>
      </c>
      <c r="T415" t="s">
        <v>74</v>
      </c>
      <c r="U415" t="s">
        <v>74</v>
      </c>
      <c r="V415" t="s">
        <v>74</v>
      </c>
      <c r="W415" t="s">
        <v>74</v>
      </c>
      <c r="X415" t="s">
        <v>74</v>
      </c>
      <c r="Y415" t="s">
        <v>74</v>
      </c>
      <c r="Z415" t="s">
        <v>74</v>
      </c>
      <c r="AA415" t="s">
        <v>74</v>
      </c>
      <c r="AB415" t="s">
        <v>74</v>
      </c>
      <c r="AC415" t="s">
        <v>74</v>
      </c>
      <c r="AD415" t="s">
        <v>74</v>
      </c>
      <c r="AE415" t="s">
        <v>74</v>
      </c>
      <c r="AF415" t="s">
        <v>74</v>
      </c>
      <c r="AG415">
        <v>0</v>
      </c>
      <c r="AH415">
        <v>0</v>
      </c>
      <c r="AI415">
        <v>0</v>
      </c>
      <c r="AJ415">
        <v>0</v>
      </c>
      <c r="AK415">
        <v>0</v>
      </c>
      <c r="AL415" t="s">
        <v>3625</v>
      </c>
      <c r="AM415" t="s">
        <v>92</v>
      </c>
      <c r="AN415" t="s">
        <v>3626</v>
      </c>
      <c r="AO415" t="s">
        <v>3627</v>
      </c>
      <c r="AP415" t="s">
        <v>74</v>
      </c>
      <c r="AQ415" t="s">
        <v>74</v>
      </c>
      <c r="AR415" t="s">
        <v>3613</v>
      </c>
      <c r="AS415" t="s">
        <v>3629</v>
      </c>
      <c r="AT415" t="s">
        <v>7921</v>
      </c>
      <c r="AU415">
        <v>2010</v>
      </c>
      <c r="AV415">
        <v>327</v>
      </c>
      <c r="AW415">
        <v>5964</v>
      </c>
      <c r="AX415" t="s">
        <v>74</v>
      </c>
      <c r="AY415" t="s">
        <v>74</v>
      </c>
      <c r="AZ415" t="s">
        <v>74</v>
      </c>
      <c r="BA415" t="s">
        <v>74</v>
      </c>
      <c r="BB415">
        <v>409</v>
      </c>
      <c r="BC415">
        <v>409</v>
      </c>
      <c r="BD415" t="s">
        <v>74</v>
      </c>
      <c r="BE415" t="s">
        <v>74</v>
      </c>
      <c r="BF415" t="s">
        <v>74</v>
      </c>
      <c r="BG415" t="s">
        <v>74</v>
      </c>
      <c r="BH415" t="s">
        <v>74</v>
      </c>
      <c r="BI415">
        <v>1</v>
      </c>
      <c r="BJ415" t="s">
        <v>323</v>
      </c>
      <c r="BK415" t="s">
        <v>102</v>
      </c>
      <c r="BL415" t="s">
        <v>324</v>
      </c>
      <c r="BM415" t="s">
        <v>7929</v>
      </c>
      <c r="BN415" t="s">
        <v>74</v>
      </c>
      <c r="BO415" t="s">
        <v>74</v>
      </c>
      <c r="BP415" t="s">
        <v>74</v>
      </c>
      <c r="BQ415" t="s">
        <v>74</v>
      </c>
      <c r="BR415" t="s">
        <v>105</v>
      </c>
      <c r="BS415" t="s">
        <v>7930</v>
      </c>
      <c r="BT415" t="str">
        <f>HYPERLINK("https%3A%2F%2Fwww.webofscience.com%2Fwos%2Fwoscc%2Ffull-record%2FWOS:000273783100012","View Full Record in Web of Science")</f>
        <v>View Full Record in Web of Science</v>
      </c>
    </row>
    <row r="416" spans="1:72" x14ac:dyDescent="0.15">
      <c r="A416" t="s">
        <v>72</v>
      </c>
      <c r="B416" t="s">
        <v>7931</v>
      </c>
      <c r="C416" t="s">
        <v>74</v>
      </c>
      <c r="D416" t="s">
        <v>74</v>
      </c>
      <c r="E416" t="s">
        <v>74</v>
      </c>
      <c r="F416" t="s">
        <v>7932</v>
      </c>
      <c r="G416" t="s">
        <v>74</v>
      </c>
      <c r="H416" t="s">
        <v>74</v>
      </c>
      <c r="I416" t="s">
        <v>7933</v>
      </c>
      <c r="J416" t="s">
        <v>239</v>
      </c>
      <c r="K416" t="s">
        <v>74</v>
      </c>
      <c r="L416" t="s">
        <v>74</v>
      </c>
      <c r="M416" t="s">
        <v>78</v>
      </c>
      <c r="N416" t="s">
        <v>600</v>
      </c>
      <c r="O416" t="s">
        <v>74</v>
      </c>
      <c r="P416" t="s">
        <v>74</v>
      </c>
      <c r="Q416" t="s">
        <v>74</v>
      </c>
      <c r="R416" t="s">
        <v>74</v>
      </c>
      <c r="S416" t="s">
        <v>74</v>
      </c>
      <c r="T416" t="s">
        <v>74</v>
      </c>
      <c r="U416" t="s">
        <v>7934</v>
      </c>
      <c r="V416" t="s">
        <v>7935</v>
      </c>
      <c r="W416" t="s">
        <v>7936</v>
      </c>
      <c r="X416" t="s">
        <v>7937</v>
      </c>
      <c r="Y416" t="s">
        <v>7938</v>
      </c>
      <c r="Z416" t="s">
        <v>7939</v>
      </c>
      <c r="AA416" t="s">
        <v>7940</v>
      </c>
      <c r="AB416" t="s">
        <v>7941</v>
      </c>
      <c r="AC416" t="s">
        <v>7942</v>
      </c>
      <c r="AD416" t="s">
        <v>7942</v>
      </c>
      <c r="AE416" t="s">
        <v>7943</v>
      </c>
      <c r="AF416" t="s">
        <v>74</v>
      </c>
      <c r="AG416">
        <v>107</v>
      </c>
      <c r="AH416">
        <v>13</v>
      </c>
      <c r="AI416">
        <v>14</v>
      </c>
      <c r="AJ416">
        <v>0</v>
      </c>
      <c r="AK416">
        <v>15</v>
      </c>
      <c r="AL416" t="s">
        <v>91</v>
      </c>
      <c r="AM416" t="s">
        <v>92</v>
      </c>
      <c r="AN416" t="s">
        <v>93</v>
      </c>
      <c r="AO416" t="s">
        <v>251</v>
      </c>
      <c r="AP416" t="s">
        <v>252</v>
      </c>
      <c r="AQ416" t="s">
        <v>74</v>
      </c>
      <c r="AR416" t="s">
        <v>253</v>
      </c>
      <c r="AS416" t="s">
        <v>254</v>
      </c>
      <c r="AT416" t="s">
        <v>7944</v>
      </c>
      <c r="AU416">
        <v>2010</v>
      </c>
      <c r="AV416">
        <v>115</v>
      </c>
      <c r="AW416" t="s">
        <v>74</v>
      </c>
      <c r="AX416" t="s">
        <v>74</v>
      </c>
      <c r="AY416" t="s">
        <v>74</v>
      </c>
      <c r="AZ416" t="s">
        <v>74</v>
      </c>
      <c r="BA416" t="s">
        <v>74</v>
      </c>
      <c r="BB416" t="s">
        <v>74</v>
      </c>
      <c r="BC416" t="s">
        <v>74</v>
      </c>
      <c r="BD416" t="s">
        <v>7945</v>
      </c>
      <c r="BE416" t="s">
        <v>7946</v>
      </c>
      <c r="BF416" t="str">
        <f>HYPERLINK("http://dx.doi.org/10.1029/2009JD012852","http://dx.doi.org/10.1029/2009JD012852")</f>
        <v>http://dx.doi.org/10.1029/2009JD012852</v>
      </c>
      <c r="BG416" t="s">
        <v>74</v>
      </c>
      <c r="BH416" t="s">
        <v>74</v>
      </c>
      <c r="BI416">
        <v>25</v>
      </c>
      <c r="BJ416" t="s">
        <v>258</v>
      </c>
      <c r="BK416" t="s">
        <v>102</v>
      </c>
      <c r="BL416" t="s">
        <v>258</v>
      </c>
      <c r="BM416" t="s">
        <v>7947</v>
      </c>
      <c r="BN416" t="s">
        <v>74</v>
      </c>
      <c r="BO416" t="s">
        <v>260</v>
      </c>
      <c r="BP416" t="s">
        <v>74</v>
      </c>
      <c r="BQ416" t="s">
        <v>74</v>
      </c>
      <c r="BR416" t="s">
        <v>105</v>
      </c>
      <c r="BS416" t="s">
        <v>7948</v>
      </c>
      <c r="BT416" t="str">
        <f>HYPERLINK("https%3A%2F%2Fwww.webofscience.com%2Fwos%2Fwoscc%2Ffull-record%2FWOS:000273899900004","View Full Record in Web of Science")</f>
        <v>View Full Record in Web of Science</v>
      </c>
    </row>
    <row r="417" spans="1:72" x14ac:dyDescent="0.15">
      <c r="A417" t="s">
        <v>72</v>
      </c>
      <c r="B417" t="s">
        <v>7949</v>
      </c>
      <c r="C417" t="s">
        <v>74</v>
      </c>
      <c r="D417" t="s">
        <v>74</v>
      </c>
      <c r="E417" t="s">
        <v>74</v>
      </c>
      <c r="F417" t="s">
        <v>7950</v>
      </c>
      <c r="G417" t="s">
        <v>74</v>
      </c>
      <c r="H417" t="s">
        <v>74</v>
      </c>
      <c r="I417" t="s">
        <v>7951</v>
      </c>
      <c r="J417" t="s">
        <v>7952</v>
      </c>
      <c r="K417" t="s">
        <v>74</v>
      </c>
      <c r="L417" t="s">
        <v>74</v>
      </c>
      <c r="M417" t="s">
        <v>78</v>
      </c>
      <c r="N417" t="s">
        <v>79</v>
      </c>
      <c r="O417" t="s">
        <v>74</v>
      </c>
      <c r="P417" t="s">
        <v>74</v>
      </c>
      <c r="Q417" t="s">
        <v>74</v>
      </c>
      <c r="R417" t="s">
        <v>74</v>
      </c>
      <c r="S417" t="s">
        <v>74</v>
      </c>
      <c r="T417" t="s">
        <v>74</v>
      </c>
      <c r="U417" t="s">
        <v>74</v>
      </c>
      <c r="V417" t="s">
        <v>7953</v>
      </c>
      <c r="W417" t="s">
        <v>7954</v>
      </c>
      <c r="X417" t="s">
        <v>7955</v>
      </c>
      <c r="Y417" t="s">
        <v>7956</v>
      </c>
      <c r="Z417" t="s">
        <v>74</v>
      </c>
      <c r="AA417" t="s">
        <v>74</v>
      </c>
      <c r="AB417" t="s">
        <v>74</v>
      </c>
      <c r="AC417" t="s">
        <v>7957</v>
      </c>
      <c r="AD417" t="s">
        <v>7957</v>
      </c>
      <c r="AE417" t="s">
        <v>7958</v>
      </c>
      <c r="AF417" t="s">
        <v>74</v>
      </c>
      <c r="AG417">
        <v>11</v>
      </c>
      <c r="AH417">
        <v>14</v>
      </c>
      <c r="AI417">
        <v>14</v>
      </c>
      <c r="AJ417">
        <v>0</v>
      </c>
      <c r="AK417">
        <v>11</v>
      </c>
      <c r="AL417" t="s">
        <v>91</v>
      </c>
      <c r="AM417" t="s">
        <v>92</v>
      </c>
      <c r="AN417" t="s">
        <v>93</v>
      </c>
      <c r="AO417" t="s">
        <v>7959</v>
      </c>
      <c r="AP417" t="s">
        <v>74</v>
      </c>
      <c r="AQ417" t="s">
        <v>74</v>
      </c>
      <c r="AR417" t="s">
        <v>7960</v>
      </c>
      <c r="AS417" t="s">
        <v>7961</v>
      </c>
      <c r="AT417" t="s">
        <v>7944</v>
      </c>
      <c r="AU417">
        <v>2010</v>
      </c>
      <c r="AV417">
        <v>8</v>
      </c>
      <c r="AW417" t="s">
        <v>74</v>
      </c>
      <c r="AX417" t="s">
        <v>74</v>
      </c>
      <c r="AY417" t="s">
        <v>74</v>
      </c>
      <c r="AZ417" t="s">
        <v>74</v>
      </c>
      <c r="BA417" t="s">
        <v>74</v>
      </c>
      <c r="BB417" t="s">
        <v>74</v>
      </c>
      <c r="BC417" t="s">
        <v>74</v>
      </c>
      <c r="BD417" t="s">
        <v>7962</v>
      </c>
      <c r="BE417" t="s">
        <v>7963</v>
      </c>
      <c r="BF417" t="str">
        <f>HYPERLINK("http://dx.doi.org/10.1029/2009SW000492","http://dx.doi.org/10.1029/2009SW000492")</f>
        <v>http://dx.doi.org/10.1029/2009SW000492</v>
      </c>
      <c r="BG417" t="s">
        <v>74</v>
      </c>
      <c r="BH417" t="s">
        <v>74</v>
      </c>
      <c r="BI417">
        <v>6</v>
      </c>
      <c r="BJ417" t="s">
        <v>7964</v>
      </c>
      <c r="BK417" t="s">
        <v>102</v>
      </c>
      <c r="BL417" t="s">
        <v>7964</v>
      </c>
      <c r="BM417" t="s">
        <v>7965</v>
      </c>
      <c r="BN417" t="s">
        <v>74</v>
      </c>
      <c r="BO417" t="s">
        <v>104</v>
      </c>
      <c r="BP417" t="s">
        <v>74</v>
      </c>
      <c r="BQ417" t="s">
        <v>74</v>
      </c>
      <c r="BR417" t="s">
        <v>105</v>
      </c>
      <c r="BS417" t="s">
        <v>7966</v>
      </c>
      <c r="BT417" t="str">
        <f>HYPERLINK("https%3A%2F%2Fwww.webofscience.com%2Fwos%2Fwoscc%2Ffull-record%2FWOS:000273908600001","View Full Record in Web of Science")</f>
        <v>View Full Record in Web of Science</v>
      </c>
    </row>
    <row r="418" spans="1:72" x14ac:dyDescent="0.15">
      <c r="A418" t="s">
        <v>72</v>
      </c>
      <c r="B418" t="s">
        <v>7967</v>
      </c>
      <c r="C418" t="s">
        <v>74</v>
      </c>
      <c r="D418" t="s">
        <v>74</v>
      </c>
      <c r="E418" t="s">
        <v>74</v>
      </c>
      <c r="F418" t="s">
        <v>7968</v>
      </c>
      <c r="G418" t="s">
        <v>74</v>
      </c>
      <c r="H418" t="s">
        <v>74</v>
      </c>
      <c r="I418" t="s">
        <v>7969</v>
      </c>
      <c r="J418" t="s">
        <v>1290</v>
      </c>
      <c r="K418" t="s">
        <v>74</v>
      </c>
      <c r="L418" t="s">
        <v>74</v>
      </c>
      <c r="M418" t="s">
        <v>78</v>
      </c>
      <c r="N418" t="s">
        <v>79</v>
      </c>
      <c r="O418" t="s">
        <v>74</v>
      </c>
      <c r="P418" t="s">
        <v>74</v>
      </c>
      <c r="Q418" t="s">
        <v>74</v>
      </c>
      <c r="R418" t="s">
        <v>74</v>
      </c>
      <c r="S418" t="s">
        <v>74</v>
      </c>
      <c r="T418" t="s">
        <v>7970</v>
      </c>
      <c r="U418" t="s">
        <v>7971</v>
      </c>
      <c r="V418" t="s">
        <v>7972</v>
      </c>
      <c r="W418" t="s">
        <v>7973</v>
      </c>
      <c r="X418" t="s">
        <v>7974</v>
      </c>
      <c r="Y418" t="s">
        <v>7975</v>
      </c>
      <c r="Z418" t="s">
        <v>7976</v>
      </c>
      <c r="AA418" t="s">
        <v>7977</v>
      </c>
      <c r="AB418" t="s">
        <v>74</v>
      </c>
      <c r="AC418" t="s">
        <v>7978</v>
      </c>
      <c r="AD418" t="s">
        <v>7979</v>
      </c>
      <c r="AE418" t="s">
        <v>7980</v>
      </c>
      <c r="AF418" t="s">
        <v>74</v>
      </c>
      <c r="AG418">
        <v>48</v>
      </c>
      <c r="AH418">
        <v>70</v>
      </c>
      <c r="AI418">
        <v>76</v>
      </c>
      <c r="AJ418">
        <v>0</v>
      </c>
      <c r="AK418">
        <v>21</v>
      </c>
      <c r="AL418" t="s">
        <v>173</v>
      </c>
      <c r="AM418" t="s">
        <v>145</v>
      </c>
      <c r="AN418" t="s">
        <v>174</v>
      </c>
      <c r="AO418" t="s">
        <v>1303</v>
      </c>
      <c r="AP418" t="s">
        <v>1325</v>
      </c>
      <c r="AQ418" t="s">
        <v>74</v>
      </c>
      <c r="AR418" t="s">
        <v>1304</v>
      </c>
      <c r="AS418" t="s">
        <v>1305</v>
      </c>
      <c r="AT418" t="s">
        <v>7981</v>
      </c>
      <c r="AU418">
        <v>2010</v>
      </c>
      <c r="AV418">
        <v>289</v>
      </c>
      <c r="AW418" t="s">
        <v>1854</v>
      </c>
      <c r="AX418" t="s">
        <v>74</v>
      </c>
      <c r="AY418" t="s">
        <v>74</v>
      </c>
      <c r="AZ418" t="s">
        <v>74</v>
      </c>
      <c r="BA418" t="s">
        <v>74</v>
      </c>
      <c r="BB418">
        <v>22</v>
      </c>
      <c r="BC418">
        <v>29</v>
      </c>
      <c r="BD418" t="s">
        <v>74</v>
      </c>
      <c r="BE418" t="s">
        <v>7982</v>
      </c>
      <c r="BF418" t="str">
        <f>HYPERLINK("http://dx.doi.org/10.1016/j.epsl.2009.10.021","http://dx.doi.org/10.1016/j.epsl.2009.10.021")</f>
        <v>http://dx.doi.org/10.1016/j.epsl.2009.10.021</v>
      </c>
      <c r="BG418" t="s">
        <v>74</v>
      </c>
      <c r="BH418" t="s">
        <v>74</v>
      </c>
      <c r="BI418">
        <v>8</v>
      </c>
      <c r="BJ418" t="s">
        <v>507</v>
      </c>
      <c r="BK418" t="s">
        <v>102</v>
      </c>
      <c r="BL418" t="s">
        <v>507</v>
      </c>
      <c r="BM418" t="s">
        <v>7983</v>
      </c>
      <c r="BN418" t="s">
        <v>74</v>
      </c>
      <c r="BO418" t="s">
        <v>74</v>
      </c>
      <c r="BP418" t="s">
        <v>74</v>
      </c>
      <c r="BQ418" t="s">
        <v>74</v>
      </c>
      <c r="BR418" t="s">
        <v>105</v>
      </c>
      <c r="BS418" t="s">
        <v>7984</v>
      </c>
      <c r="BT418" t="str">
        <f>HYPERLINK("https%3A%2F%2Fwww.webofscience.com%2Fwos%2Fwoscc%2Ffull-record%2FWOS:000274178000003","View Full Record in Web of Science")</f>
        <v>View Full Record in Web of Science</v>
      </c>
    </row>
    <row r="419" spans="1:72" x14ac:dyDescent="0.15">
      <c r="A419" t="s">
        <v>72</v>
      </c>
      <c r="B419" t="s">
        <v>7985</v>
      </c>
      <c r="C419" t="s">
        <v>74</v>
      </c>
      <c r="D419" t="s">
        <v>74</v>
      </c>
      <c r="E419" t="s">
        <v>74</v>
      </c>
      <c r="F419" t="s">
        <v>7986</v>
      </c>
      <c r="G419" t="s">
        <v>74</v>
      </c>
      <c r="H419" t="s">
        <v>74</v>
      </c>
      <c r="I419" t="s">
        <v>7987</v>
      </c>
      <c r="J419" t="s">
        <v>1290</v>
      </c>
      <c r="K419" t="s">
        <v>74</v>
      </c>
      <c r="L419" t="s">
        <v>74</v>
      </c>
      <c r="M419" t="s">
        <v>78</v>
      </c>
      <c r="N419" t="s">
        <v>79</v>
      </c>
      <c r="O419" t="s">
        <v>74</v>
      </c>
      <c r="P419" t="s">
        <v>74</v>
      </c>
      <c r="Q419" t="s">
        <v>74</v>
      </c>
      <c r="R419" t="s">
        <v>74</v>
      </c>
      <c r="S419" t="s">
        <v>74</v>
      </c>
      <c r="T419" t="s">
        <v>7988</v>
      </c>
      <c r="U419" t="s">
        <v>7989</v>
      </c>
      <c r="V419" t="s">
        <v>7990</v>
      </c>
      <c r="W419" t="s">
        <v>7991</v>
      </c>
      <c r="X419" t="s">
        <v>7992</v>
      </c>
      <c r="Y419" t="s">
        <v>7993</v>
      </c>
      <c r="Z419" t="s">
        <v>7994</v>
      </c>
      <c r="AA419" t="s">
        <v>7995</v>
      </c>
      <c r="AB419" t="s">
        <v>7996</v>
      </c>
      <c r="AC419" t="s">
        <v>7997</v>
      </c>
      <c r="AD419" t="s">
        <v>7998</v>
      </c>
      <c r="AE419" t="s">
        <v>7999</v>
      </c>
      <c r="AF419" t="s">
        <v>74</v>
      </c>
      <c r="AG419">
        <v>50</v>
      </c>
      <c r="AH419">
        <v>18</v>
      </c>
      <c r="AI419">
        <v>18</v>
      </c>
      <c r="AJ419">
        <v>0</v>
      </c>
      <c r="AK419">
        <v>14</v>
      </c>
      <c r="AL419" t="s">
        <v>173</v>
      </c>
      <c r="AM419" t="s">
        <v>145</v>
      </c>
      <c r="AN419" t="s">
        <v>174</v>
      </c>
      <c r="AO419" t="s">
        <v>1303</v>
      </c>
      <c r="AP419" t="s">
        <v>74</v>
      </c>
      <c r="AQ419" t="s">
        <v>74</v>
      </c>
      <c r="AR419" t="s">
        <v>1304</v>
      </c>
      <c r="AS419" t="s">
        <v>1305</v>
      </c>
      <c r="AT419" t="s">
        <v>7981</v>
      </c>
      <c r="AU419">
        <v>2010</v>
      </c>
      <c r="AV419">
        <v>289</v>
      </c>
      <c r="AW419" t="s">
        <v>1854</v>
      </c>
      <c r="AX419" t="s">
        <v>74</v>
      </c>
      <c r="AY419" t="s">
        <v>74</v>
      </c>
      <c r="AZ419" t="s">
        <v>74</v>
      </c>
      <c r="BA419" t="s">
        <v>74</v>
      </c>
      <c r="BB419">
        <v>287</v>
      </c>
      <c r="BC419">
        <v>297</v>
      </c>
      <c r="BD419" t="s">
        <v>74</v>
      </c>
      <c r="BE419" t="s">
        <v>8000</v>
      </c>
      <c r="BF419" t="str">
        <f>HYPERLINK("http://dx.doi.org/10.1016/j.epsl.2009.11.016","http://dx.doi.org/10.1016/j.epsl.2009.11.016")</f>
        <v>http://dx.doi.org/10.1016/j.epsl.2009.11.016</v>
      </c>
      <c r="BG419" t="s">
        <v>74</v>
      </c>
      <c r="BH419" t="s">
        <v>74</v>
      </c>
      <c r="BI419">
        <v>11</v>
      </c>
      <c r="BJ419" t="s">
        <v>507</v>
      </c>
      <c r="BK419" t="s">
        <v>102</v>
      </c>
      <c r="BL419" t="s">
        <v>507</v>
      </c>
      <c r="BM419" t="s">
        <v>7983</v>
      </c>
      <c r="BN419" t="s">
        <v>74</v>
      </c>
      <c r="BO419" t="s">
        <v>74</v>
      </c>
      <c r="BP419" t="s">
        <v>74</v>
      </c>
      <c r="BQ419" t="s">
        <v>74</v>
      </c>
      <c r="BR419" t="s">
        <v>105</v>
      </c>
      <c r="BS419" t="s">
        <v>8001</v>
      </c>
      <c r="BT419" t="str">
        <f>HYPERLINK("https%3A%2F%2Fwww.webofscience.com%2Fwos%2Fwoscc%2Ffull-record%2FWOS:000274178000027","View Full Record in Web of Science")</f>
        <v>View Full Record in Web of Science</v>
      </c>
    </row>
    <row r="420" spans="1:72" x14ac:dyDescent="0.15">
      <c r="A420" t="s">
        <v>72</v>
      </c>
      <c r="B420" t="s">
        <v>8002</v>
      </c>
      <c r="C420" t="s">
        <v>74</v>
      </c>
      <c r="D420" t="s">
        <v>74</v>
      </c>
      <c r="E420" t="s">
        <v>74</v>
      </c>
      <c r="F420" t="s">
        <v>8003</v>
      </c>
      <c r="G420" t="s">
        <v>74</v>
      </c>
      <c r="H420" t="s">
        <v>74</v>
      </c>
      <c r="I420" t="s">
        <v>8004</v>
      </c>
      <c r="J420" t="s">
        <v>239</v>
      </c>
      <c r="K420" t="s">
        <v>74</v>
      </c>
      <c r="L420" t="s">
        <v>74</v>
      </c>
      <c r="M420" t="s">
        <v>78</v>
      </c>
      <c r="N420" t="s">
        <v>79</v>
      </c>
      <c r="O420" t="s">
        <v>74</v>
      </c>
      <c r="P420" t="s">
        <v>74</v>
      </c>
      <c r="Q420" t="s">
        <v>74</v>
      </c>
      <c r="R420" t="s">
        <v>74</v>
      </c>
      <c r="S420" t="s">
        <v>74</v>
      </c>
      <c r="T420" t="s">
        <v>74</v>
      </c>
      <c r="U420" t="s">
        <v>8005</v>
      </c>
      <c r="V420" t="s">
        <v>8006</v>
      </c>
      <c r="W420" t="s">
        <v>8007</v>
      </c>
      <c r="X420" t="s">
        <v>8008</v>
      </c>
      <c r="Y420" t="s">
        <v>8009</v>
      </c>
      <c r="Z420" t="s">
        <v>8010</v>
      </c>
      <c r="AA420" t="s">
        <v>74</v>
      </c>
      <c r="AB420" t="s">
        <v>74</v>
      </c>
      <c r="AC420" t="s">
        <v>8011</v>
      </c>
      <c r="AD420" t="s">
        <v>8012</v>
      </c>
      <c r="AE420" t="s">
        <v>74</v>
      </c>
      <c r="AF420" t="s">
        <v>74</v>
      </c>
      <c r="AG420">
        <v>34</v>
      </c>
      <c r="AH420">
        <v>34</v>
      </c>
      <c r="AI420">
        <v>34</v>
      </c>
      <c r="AJ420">
        <v>0</v>
      </c>
      <c r="AK420">
        <v>7</v>
      </c>
      <c r="AL420" t="s">
        <v>91</v>
      </c>
      <c r="AM420" t="s">
        <v>92</v>
      </c>
      <c r="AN420" t="s">
        <v>93</v>
      </c>
      <c r="AO420" t="s">
        <v>251</v>
      </c>
      <c r="AP420" t="s">
        <v>252</v>
      </c>
      <c r="AQ420" t="s">
        <v>74</v>
      </c>
      <c r="AR420" t="s">
        <v>253</v>
      </c>
      <c r="AS420" t="s">
        <v>254</v>
      </c>
      <c r="AT420" t="s">
        <v>7981</v>
      </c>
      <c r="AU420">
        <v>2010</v>
      </c>
      <c r="AV420">
        <v>115</v>
      </c>
      <c r="AW420" t="s">
        <v>74</v>
      </c>
      <c r="AX420" t="s">
        <v>74</v>
      </c>
      <c r="AY420" t="s">
        <v>74</v>
      </c>
      <c r="AZ420" t="s">
        <v>74</v>
      </c>
      <c r="BA420" t="s">
        <v>74</v>
      </c>
      <c r="BB420" t="s">
        <v>74</v>
      </c>
      <c r="BC420" t="s">
        <v>74</v>
      </c>
      <c r="BD420" t="s">
        <v>8013</v>
      </c>
      <c r="BE420" t="s">
        <v>8014</v>
      </c>
      <c r="BF420" t="str">
        <f>HYPERLINK("http://dx.doi.org/10.1029/2009JD012545","http://dx.doi.org/10.1029/2009JD012545")</f>
        <v>http://dx.doi.org/10.1029/2009JD012545</v>
      </c>
      <c r="BG420" t="s">
        <v>74</v>
      </c>
      <c r="BH420" t="s">
        <v>74</v>
      </c>
      <c r="BI420">
        <v>9</v>
      </c>
      <c r="BJ420" t="s">
        <v>258</v>
      </c>
      <c r="BK420" t="s">
        <v>102</v>
      </c>
      <c r="BL420" t="s">
        <v>258</v>
      </c>
      <c r="BM420" t="s">
        <v>8015</v>
      </c>
      <c r="BN420" t="s">
        <v>74</v>
      </c>
      <c r="BO420" t="s">
        <v>104</v>
      </c>
      <c r="BP420" t="s">
        <v>74</v>
      </c>
      <c r="BQ420" t="s">
        <v>74</v>
      </c>
      <c r="BR420" t="s">
        <v>105</v>
      </c>
      <c r="BS420" t="s">
        <v>8016</v>
      </c>
      <c r="BT420" t="str">
        <f>HYPERLINK("https%3A%2F%2Fwww.webofscience.com%2Fwos%2Fwoscc%2Ffull-record%2FWOS:000273729400004","View Full Record in Web of Science")</f>
        <v>View Full Record in Web of Science</v>
      </c>
    </row>
    <row r="421" spans="1:72" x14ac:dyDescent="0.15">
      <c r="A421" t="s">
        <v>72</v>
      </c>
      <c r="B421" t="s">
        <v>8017</v>
      </c>
      <c r="C421" t="s">
        <v>74</v>
      </c>
      <c r="D421" t="s">
        <v>74</v>
      </c>
      <c r="E421" t="s">
        <v>74</v>
      </c>
      <c r="F421" t="s">
        <v>8018</v>
      </c>
      <c r="G421" t="s">
        <v>74</v>
      </c>
      <c r="H421" t="s">
        <v>74</v>
      </c>
      <c r="I421" t="s">
        <v>8019</v>
      </c>
      <c r="J421" t="s">
        <v>5558</v>
      </c>
      <c r="K421" t="s">
        <v>74</v>
      </c>
      <c r="L421" t="s">
        <v>74</v>
      </c>
      <c r="M421" t="s">
        <v>78</v>
      </c>
      <c r="N421" t="s">
        <v>79</v>
      </c>
      <c r="O421" t="s">
        <v>74</v>
      </c>
      <c r="P421" t="s">
        <v>74</v>
      </c>
      <c r="Q421" t="s">
        <v>74</v>
      </c>
      <c r="R421" t="s">
        <v>74</v>
      </c>
      <c r="S421" t="s">
        <v>74</v>
      </c>
      <c r="T421" t="s">
        <v>8020</v>
      </c>
      <c r="U421" t="s">
        <v>8021</v>
      </c>
      <c r="V421" t="s">
        <v>8022</v>
      </c>
      <c r="W421" t="s">
        <v>8023</v>
      </c>
      <c r="X421" t="s">
        <v>8024</v>
      </c>
      <c r="Y421" t="s">
        <v>8025</v>
      </c>
      <c r="Z421" t="s">
        <v>8026</v>
      </c>
      <c r="AA421" t="s">
        <v>74</v>
      </c>
      <c r="AB421" t="s">
        <v>74</v>
      </c>
      <c r="AC421" t="s">
        <v>8027</v>
      </c>
      <c r="AD421" t="s">
        <v>8027</v>
      </c>
      <c r="AE421" t="s">
        <v>8028</v>
      </c>
      <c r="AF421" t="s">
        <v>74</v>
      </c>
      <c r="AG421">
        <v>79</v>
      </c>
      <c r="AH421">
        <v>36</v>
      </c>
      <c r="AI421">
        <v>39</v>
      </c>
      <c r="AJ421">
        <v>0</v>
      </c>
      <c r="AK421">
        <v>21</v>
      </c>
      <c r="AL421" t="s">
        <v>144</v>
      </c>
      <c r="AM421" t="s">
        <v>145</v>
      </c>
      <c r="AN421" t="s">
        <v>146</v>
      </c>
      <c r="AO421" t="s">
        <v>5571</v>
      </c>
      <c r="AP421" t="s">
        <v>5572</v>
      </c>
      <c r="AQ421" t="s">
        <v>74</v>
      </c>
      <c r="AR421" t="s">
        <v>5573</v>
      </c>
      <c r="AS421" t="s">
        <v>5574</v>
      </c>
      <c r="AT421" t="s">
        <v>7981</v>
      </c>
      <c r="AU421">
        <v>2010</v>
      </c>
      <c r="AV421">
        <v>189</v>
      </c>
      <c r="AW421" t="s">
        <v>971</v>
      </c>
      <c r="AX421" t="s">
        <v>74</v>
      </c>
      <c r="AY421" t="s">
        <v>74</v>
      </c>
      <c r="AZ421" t="s">
        <v>74</v>
      </c>
      <c r="BA421" t="s">
        <v>74</v>
      </c>
      <c r="BB421">
        <v>319</v>
      </c>
      <c r="BC421">
        <v>339</v>
      </c>
      <c r="BD421" t="s">
        <v>74</v>
      </c>
      <c r="BE421" t="s">
        <v>8029</v>
      </c>
      <c r="BF421" t="str">
        <f>HYPERLINK("http://dx.doi.org/10.1016/j.jvolgeores.2009.11.022","http://dx.doi.org/10.1016/j.jvolgeores.2009.11.022")</f>
        <v>http://dx.doi.org/10.1016/j.jvolgeores.2009.11.022</v>
      </c>
      <c r="BG421" t="s">
        <v>74</v>
      </c>
      <c r="BH421" t="s">
        <v>74</v>
      </c>
      <c r="BI421">
        <v>21</v>
      </c>
      <c r="BJ421" t="s">
        <v>913</v>
      </c>
      <c r="BK421" t="s">
        <v>102</v>
      </c>
      <c r="BL421" t="s">
        <v>914</v>
      </c>
      <c r="BM421" t="s">
        <v>8030</v>
      </c>
      <c r="BN421" t="s">
        <v>74</v>
      </c>
      <c r="BO421" t="s">
        <v>74</v>
      </c>
      <c r="BP421" t="s">
        <v>74</v>
      </c>
      <c r="BQ421" t="s">
        <v>74</v>
      </c>
      <c r="BR421" t="s">
        <v>105</v>
      </c>
      <c r="BS421" t="s">
        <v>8031</v>
      </c>
      <c r="BT421" t="str">
        <f>HYPERLINK("https%3A%2F%2Fwww.webofscience.com%2Fwos%2Fwoscc%2Ffull-record%2FWOS:000274987500008","View Full Record in Web of Science")</f>
        <v>View Full Record in Web of Science</v>
      </c>
    </row>
    <row r="422" spans="1:72" x14ac:dyDescent="0.15">
      <c r="A422" t="s">
        <v>72</v>
      </c>
      <c r="B422" t="s">
        <v>8032</v>
      </c>
      <c r="C422" t="s">
        <v>74</v>
      </c>
      <c r="D422" t="s">
        <v>74</v>
      </c>
      <c r="E422" t="s">
        <v>74</v>
      </c>
      <c r="F422" t="s">
        <v>8033</v>
      </c>
      <c r="G422" t="s">
        <v>74</v>
      </c>
      <c r="H422" t="s">
        <v>74</v>
      </c>
      <c r="I422" t="s">
        <v>8034</v>
      </c>
      <c r="J422" t="s">
        <v>135</v>
      </c>
      <c r="K422" t="s">
        <v>74</v>
      </c>
      <c r="L422" t="s">
        <v>74</v>
      </c>
      <c r="M422" t="s">
        <v>78</v>
      </c>
      <c r="N422" t="s">
        <v>79</v>
      </c>
      <c r="O422" t="s">
        <v>74</v>
      </c>
      <c r="P422" t="s">
        <v>74</v>
      </c>
      <c r="Q422" t="s">
        <v>74</v>
      </c>
      <c r="R422" t="s">
        <v>74</v>
      </c>
      <c r="S422" t="s">
        <v>74</v>
      </c>
      <c r="T422" t="s">
        <v>8035</v>
      </c>
      <c r="U422" t="s">
        <v>8036</v>
      </c>
      <c r="V422" t="s">
        <v>8037</v>
      </c>
      <c r="W422" t="s">
        <v>8038</v>
      </c>
      <c r="X422" t="s">
        <v>8039</v>
      </c>
      <c r="Y422" t="s">
        <v>8040</v>
      </c>
      <c r="Z422" t="s">
        <v>8041</v>
      </c>
      <c r="AA422" t="s">
        <v>74</v>
      </c>
      <c r="AB422" t="s">
        <v>8042</v>
      </c>
      <c r="AC422" t="s">
        <v>8043</v>
      </c>
      <c r="AD422" t="s">
        <v>8044</v>
      </c>
      <c r="AE422" t="s">
        <v>8045</v>
      </c>
      <c r="AF422" t="s">
        <v>74</v>
      </c>
      <c r="AG422">
        <v>35</v>
      </c>
      <c r="AH422">
        <v>16</v>
      </c>
      <c r="AI422">
        <v>16</v>
      </c>
      <c r="AJ422">
        <v>0</v>
      </c>
      <c r="AK422">
        <v>6</v>
      </c>
      <c r="AL422" t="s">
        <v>144</v>
      </c>
      <c r="AM422" t="s">
        <v>145</v>
      </c>
      <c r="AN422" t="s">
        <v>146</v>
      </c>
      <c r="AO422" t="s">
        <v>147</v>
      </c>
      <c r="AP422" t="s">
        <v>148</v>
      </c>
      <c r="AQ422" t="s">
        <v>74</v>
      </c>
      <c r="AR422" t="s">
        <v>149</v>
      </c>
      <c r="AS422" t="s">
        <v>150</v>
      </c>
      <c r="AT422" t="s">
        <v>7981</v>
      </c>
      <c r="AU422">
        <v>2010</v>
      </c>
      <c r="AV422">
        <v>268</v>
      </c>
      <c r="AW422" t="s">
        <v>151</v>
      </c>
      <c r="AX422" t="s">
        <v>74</v>
      </c>
      <c r="AY422" t="s">
        <v>74</v>
      </c>
      <c r="AZ422" t="s">
        <v>74</v>
      </c>
      <c r="BA422" t="s">
        <v>74</v>
      </c>
      <c r="BB422">
        <v>106</v>
      </c>
      <c r="BC422">
        <v>114</v>
      </c>
      <c r="BD422" t="s">
        <v>74</v>
      </c>
      <c r="BE422" t="s">
        <v>8046</v>
      </c>
      <c r="BF422" t="str">
        <f>HYPERLINK("http://dx.doi.org/10.1016/j.margeo.2009.10.025","http://dx.doi.org/10.1016/j.margeo.2009.10.025")</f>
        <v>http://dx.doi.org/10.1016/j.margeo.2009.10.025</v>
      </c>
      <c r="BG422" t="s">
        <v>74</v>
      </c>
      <c r="BH422" t="s">
        <v>74</v>
      </c>
      <c r="BI422">
        <v>9</v>
      </c>
      <c r="BJ422" t="s">
        <v>154</v>
      </c>
      <c r="BK422" t="s">
        <v>102</v>
      </c>
      <c r="BL422" t="s">
        <v>155</v>
      </c>
      <c r="BM422" t="s">
        <v>8047</v>
      </c>
      <c r="BN422" t="s">
        <v>74</v>
      </c>
      <c r="BO422" t="s">
        <v>74</v>
      </c>
      <c r="BP422" t="s">
        <v>74</v>
      </c>
      <c r="BQ422" t="s">
        <v>74</v>
      </c>
      <c r="BR422" t="s">
        <v>105</v>
      </c>
      <c r="BS422" t="s">
        <v>8048</v>
      </c>
      <c r="BT422" t="str">
        <f>HYPERLINK("https%3A%2F%2Fwww.webofscience.com%2Fwos%2Fwoscc%2Ffull-record%2FWOS:000274610100009","View Full Record in Web of Science")</f>
        <v>View Full Record in Web of Science</v>
      </c>
    </row>
    <row r="423" spans="1:72" x14ac:dyDescent="0.15">
      <c r="A423" t="s">
        <v>72</v>
      </c>
      <c r="B423" t="s">
        <v>8049</v>
      </c>
      <c r="C423" t="s">
        <v>74</v>
      </c>
      <c r="D423" t="s">
        <v>74</v>
      </c>
      <c r="E423" t="s">
        <v>74</v>
      </c>
      <c r="F423" t="s">
        <v>8050</v>
      </c>
      <c r="G423" t="s">
        <v>74</v>
      </c>
      <c r="H423" t="s">
        <v>74</v>
      </c>
      <c r="I423" t="s">
        <v>8051</v>
      </c>
      <c r="J423" t="s">
        <v>4774</v>
      </c>
      <c r="K423" t="s">
        <v>74</v>
      </c>
      <c r="L423" t="s">
        <v>74</v>
      </c>
      <c r="M423" t="s">
        <v>78</v>
      </c>
      <c r="N423" t="s">
        <v>79</v>
      </c>
      <c r="O423" t="s">
        <v>74</v>
      </c>
      <c r="P423" t="s">
        <v>74</v>
      </c>
      <c r="Q423" t="s">
        <v>74</v>
      </c>
      <c r="R423" t="s">
        <v>74</v>
      </c>
      <c r="S423" t="s">
        <v>74</v>
      </c>
      <c r="T423" t="s">
        <v>8052</v>
      </c>
      <c r="U423" t="s">
        <v>8053</v>
      </c>
      <c r="V423" t="s">
        <v>8054</v>
      </c>
      <c r="W423" t="s">
        <v>8055</v>
      </c>
      <c r="X423" t="s">
        <v>8056</v>
      </c>
      <c r="Y423" t="s">
        <v>8057</v>
      </c>
      <c r="Z423" t="s">
        <v>8058</v>
      </c>
      <c r="AA423" t="s">
        <v>8059</v>
      </c>
      <c r="AB423" t="s">
        <v>8060</v>
      </c>
      <c r="AC423" t="s">
        <v>8061</v>
      </c>
      <c r="AD423" t="s">
        <v>8062</v>
      </c>
      <c r="AE423" t="s">
        <v>8063</v>
      </c>
      <c r="AF423" t="s">
        <v>74</v>
      </c>
      <c r="AG423">
        <v>70</v>
      </c>
      <c r="AH423">
        <v>57</v>
      </c>
      <c r="AI423">
        <v>62</v>
      </c>
      <c r="AJ423">
        <v>1</v>
      </c>
      <c r="AK423">
        <v>24</v>
      </c>
      <c r="AL423" t="s">
        <v>173</v>
      </c>
      <c r="AM423" t="s">
        <v>145</v>
      </c>
      <c r="AN423" t="s">
        <v>174</v>
      </c>
      <c r="AO423" t="s">
        <v>4785</v>
      </c>
      <c r="AP423" t="s">
        <v>4786</v>
      </c>
      <c r="AQ423" t="s">
        <v>74</v>
      </c>
      <c r="AR423" t="s">
        <v>4787</v>
      </c>
      <c r="AS423" t="s">
        <v>4788</v>
      </c>
      <c r="AT423" t="s">
        <v>7981</v>
      </c>
      <c r="AU423">
        <v>2010</v>
      </c>
      <c r="AV423">
        <v>285</v>
      </c>
      <c r="AW423" t="s">
        <v>971</v>
      </c>
      <c r="AX423" t="s">
        <v>74</v>
      </c>
      <c r="AY423" t="s">
        <v>74</v>
      </c>
      <c r="AZ423" t="s">
        <v>74</v>
      </c>
      <c r="BA423" t="s">
        <v>74</v>
      </c>
      <c r="BB423">
        <v>205</v>
      </c>
      <c r="BC423">
        <v>223</v>
      </c>
      <c r="BD423" t="s">
        <v>74</v>
      </c>
      <c r="BE423" t="s">
        <v>8064</v>
      </c>
      <c r="BF423" t="str">
        <f>HYPERLINK("http://dx.doi.org/10.1016/j.palaeo.2009.11.013","http://dx.doi.org/10.1016/j.palaeo.2009.11.013")</f>
        <v>http://dx.doi.org/10.1016/j.palaeo.2009.11.013</v>
      </c>
      <c r="BG423" t="s">
        <v>74</v>
      </c>
      <c r="BH423" t="s">
        <v>74</v>
      </c>
      <c r="BI423">
        <v>19</v>
      </c>
      <c r="BJ423" t="s">
        <v>4790</v>
      </c>
      <c r="BK423" t="s">
        <v>102</v>
      </c>
      <c r="BL423" t="s">
        <v>4791</v>
      </c>
      <c r="BM423" t="s">
        <v>8065</v>
      </c>
      <c r="BN423" t="s">
        <v>74</v>
      </c>
      <c r="BO423" t="s">
        <v>74</v>
      </c>
      <c r="BP423" t="s">
        <v>74</v>
      </c>
      <c r="BQ423" t="s">
        <v>74</v>
      </c>
      <c r="BR423" t="s">
        <v>105</v>
      </c>
      <c r="BS423" t="s">
        <v>8066</v>
      </c>
      <c r="BT423" t="str">
        <f>HYPERLINK("https%3A%2F%2Fwww.webofscience.com%2Fwos%2Fwoscc%2Ffull-record%2FWOS:000273930200006","View Full Record in Web of Science")</f>
        <v>View Full Record in Web of Science</v>
      </c>
    </row>
    <row r="424" spans="1:72" x14ac:dyDescent="0.15">
      <c r="A424" t="s">
        <v>72</v>
      </c>
      <c r="B424" t="s">
        <v>8067</v>
      </c>
      <c r="C424" t="s">
        <v>74</v>
      </c>
      <c r="D424" t="s">
        <v>74</v>
      </c>
      <c r="E424" t="s">
        <v>74</v>
      </c>
      <c r="F424" t="s">
        <v>8068</v>
      </c>
      <c r="G424" t="s">
        <v>74</v>
      </c>
      <c r="H424" t="s">
        <v>74</v>
      </c>
      <c r="I424" t="s">
        <v>8069</v>
      </c>
      <c r="J424" t="s">
        <v>4774</v>
      </c>
      <c r="K424" t="s">
        <v>74</v>
      </c>
      <c r="L424" t="s">
        <v>74</v>
      </c>
      <c r="M424" t="s">
        <v>78</v>
      </c>
      <c r="N424" t="s">
        <v>79</v>
      </c>
      <c r="O424" t="s">
        <v>74</v>
      </c>
      <c r="P424" t="s">
        <v>74</v>
      </c>
      <c r="Q424" t="s">
        <v>74</v>
      </c>
      <c r="R424" t="s">
        <v>74</v>
      </c>
      <c r="S424" t="s">
        <v>74</v>
      </c>
      <c r="T424" t="s">
        <v>8070</v>
      </c>
      <c r="U424" t="s">
        <v>8071</v>
      </c>
      <c r="V424" t="s">
        <v>8072</v>
      </c>
      <c r="W424" t="s">
        <v>8073</v>
      </c>
      <c r="X424" t="s">
        <v>8074</v>
      </c>
      <c r="Y424" t="s">
        <v>8075</v>
      </c>
      <c r="Z424" t="s">
        <v>8076</v>
      </c>
      <c r="AA424" t="s">
        <v>8077</v>
      </c>
      <c r="AB424" t="s">
        <v>8078</v>
      </c>
      <c r="AC424" t="s">
        <v>8079</v>
      </c>
      <c r="AD424" t="s">
        <v>793</v>
      </c>
      <c r="AE424" t="s">
        <v>8080</v>
      </c>
      <c r="AF424" t="s">
        <v>74</v>
      </c>
      <c r="AG424">
        <v>20</v>
      </c>
      <c r="AH424">
        <v>21</v>
      </c>
      <c r="AI424">
        <v>21</v>
      </c>
      <c r="AJ424">
        <v>0</v>
      </c>
      <c r="AK424">
        <v>6</v>
      </c>
      <c r="AL424" t="s">
        <v>144</v>
      </c>
      <c r="AM424" t="s">
        <v>145</v>
      </c>
      <c r="AN424" t="s">
        <v>146</v>
      </c>
      <c r="AO424" t="s">
        <v>4785</v>
      </c>
      <c r="AP424" t="s">
        <v>4786</v>
      </c>
      <c r="AQ424" t="s">
        <v>74</v>
      </c>
      <c r="AR424" t="s">
        <v>4787</v>
      </c>
      <c r="AS424" t="s">
        <v>4788</v>
      </c>
      <c r="AT424" t="s">
        <v>7981</v>
      </c>
      <c r="AU424">
        <v>2010</v>
      </c>
      <c r="AV424">
        <v>285</v>
      </c>
      <c r="AW424" t="s">
        <v>971</v>
      </c>
      <c r="AX424" t="s">
        <v>74</v>
      </c>
      <c r="AY424" t="s">
        <v>74</v>
      </c>
      <c r="AZ424" t="s">
        <v>74</v>
      </c>
      <c r="BA424" t="s">
        <v>74</v>
      </c>
      <c r="BB424">
        <v>237</v>
      </c>
      <c r="BC424">
        <v>247</v>
      </c>
      <c r="BD424" t="s">
        <v>74</v>
      </c>
      <c r="BE424" t="s">
        <v>8081</v>
      </c>
      <c r="BF424" t="str">
        <f>HYPERLINK("http://dx.doi.org/10.1016/j.palaeo.2009.11.015","http://dx.doi.org/10.1016/j.palaeo.2009.11.015")</f>
        <v>http://dx.doi.org/10.1016/j.palaeo.2009.11.015</v>
      </c>
      <c r="BG424" t="s">
        <v>74</v>
      </c>
      <c r="BH424" t="s">
        <v>74</v>
      </c>
      <c r="BI424">
        <v>11</v>
      </c>
      <c r="BJ424" t="s">
        <v>4790</v>
      </c>
      <c r="BK424" t="s">
        <v>102</v>
      </c>
      <c r="BL424" t="s">
        <v>4791</v>
      </c>
      <c r="BM424" t="s">
        <v>8065</v>
      </c>
      <c r="BN424" t="s">
        <v>74</v>
      </c>
      <c r="BO424" t="s">
        <v>555</v>
      </c>
      <c r="BP424" t="s">
        <v>74</v>
      </c>
      <c r="BQ424" t="s">
        <v>74</v>
      </c>
      <c r="BR424" t="s">
        <v>105</v>
      </c>
      <c r="BS424" t="s">
        <v>8082</v>
      </c>
      <c r="BT424" t="str">
        <f>HYPERLINK("https%3A%2F%2Fwww.webofscience.com%2Fwos%2Fwoscc%2Ffull-record%2FWOS:000273930200008","View Full Record in Web of Science")</f>
        <v>View Full Record in Web of Science</v>
      </c>
    </row>
    <row r="425" spans="1:72" x14ac:dyDescent="0.15">
      <c r="A425" t="s">
        <v>72</v>
      </c>
      <c r="B425" t="s">
        <v>8083</v>
      </c>
      <c r="C425" t="s">
        <v>74</v>
      </c>
      <c r="D425" t="s">
        <v>74</v>
      </c>
      <c r="E425" t="s">
        <v>74</v>
      </c>
      <c r="F425" t="s">
        <v>8084</v>
      </c>
      <c r="G425" t="s">
        <v>74</v>
      </c>
      <c r="H425" t="s">
        <v>74</v>
      </c>
      <c r="I425" t="s">
        <v>8085</v>
      </c>
      <c r="J425" t="s">
        <v>8086</v>
      </c>
      <c r="K425" t="s">
        <v>74</v>
      </c>
      <c r="L425" t="s">
        <v>74</v>
      </c>
      <c r="M425" t="s">
        <v>78</v>
      </c>
      <c r="N425" t="s">
        <v>79</v>
      </c>
      <c r="O425" t="s">
        <v>74</v>
      </c>
      <c r="P425" t="s">
        <v>74</v>
      </c>
      <c r="Q425" t="s">
        <v>74</v>
      </c>
      <c r="R425" t="s">
        <v>74</v>
      </c>
      <c r="S425" t="s">
        <v>74</v>
      </c>
      <c r="T425" t="s">
        <v>8087</v>
      </c>
      <c r="U425" t="s">
        <v>8088</v>
      </c>
      <c r="V425" t="s">
        <v>8089</v>
      </c>
      <c r="W425" t="s">
        <v>8090</v>
      </c>
      <c r="X425" t="s">
        <v>8091</v>
      </c>
      <c r="Y425" t="s">
        <v>8092</v>
      </c>
      <c r="Z425" t="s">
        <v>8093</v>
      </c>
      <c r="AA425" t="s">
        <v>8094</v>
      </c>
      <c r="AB425" t="s">
        <v>8095</v>
      </c>
      <c r="AC425" t="s">
        <v>74</v>
      </c>
      <c r="AD425" t="s">
        <v>74</v>
      </c>
      <c r="AE425" t="s">
        <v>74</v>
      </c>
      <c r="AF425" t="s">
        <v>74</v>
      </c>
      <c r="AG425">
        <v>17</v>
      </c>
      <c r="AH425">
        <v>13</v>
      </c>
      <c r="AI425">
        <v>17</v>
      </c>
      <c r="AJ425">
        <v>1</v>
      </c>
      <c r="AK425">
        <v>25</v>
      </c>
      <c r="AL425" t="s">
        <v>173</v>
      </c>
      <c r="AM425" t="s">
        <v>145</v>
      </c>
      <c r="AN425" t="s">
        <v>174</v>
      </c>
      <c r="AO425" t="s">
        <v>8096</v>
      </c>
      <c r="AP425" t="s">
        <v>74</v>
      </c>
      <c r="AQ425" t="s">
        <v>74</v>
      </c>
      <c r="AR425" t="s">
        <v>8086</v>
      </c>
      <c r="AS425" t="s">
        <v>8097</v>
      </c>
      <c r="AT425" t="s">
        <v>7981</v>
      </c>
      <c r="AU425">
        <v>2010</v>
      </c>
      <c r="AV425">
        <v>80</v>
      </c>
      <c r="AW425">
        <v>3</v>
      </c>
      <c r="AX425" t="s">
        <v>74</v>
      </c>
      <c r="AY425" t="s">
        <v>74</v>
      </c>
      <c r="AZ425" t="s">
        <v>74</v>
      </c>
      <c r="BA425" t="s">
        <v>74</v>
      </c>
      <c r="BB425">
        <v>1441</v>
      </c>
      <c r="BC425">
        <v>1444</v>
      </c>
      <c r="BD425" t="s">
        <v>74</v>
      </c>
      <c r="BE425" t="s">
        <v>8098</v>
      </c>
      <c r="BF425" t="str">
        <f>HYPERLINK("http://dx.doi.org/10.1016/j.talanta.2009.09.050","http://dx.doi.org/10.1016/j.talanta.2009.09.050")</f>
        <v>http://dx.doi.org/10.1016/j.talanta.2009.09.050</v>
      </c>
      <c r="BG425" t="s">
        <v>74</v>
      </c>
      <c r="BH425" t="s">
        <v>74</v>
      </c>
      <c r="BI425">
        <v>4</v>
      </c>
      <c r="BJ425" t="s">
        <v>3653</v>
      </c>
      <c r="BK425" t="s">
        <v>102</v>
      </c>
      <c r="BL425" t="s">
        <v>2921</v>
      </c>
      <c r="BM425" t="s">
        <v>8099</v>
      </c>
      <c r="BN425">
        <v>20006111</v>
      </c>
      <c r="BO425" t="s">
        <v>74</v>
      </c>
      <c r="BP425" t="s">
        <v>74</v>
      </c>
      <c r="BQ425" t="s">
        <v>74</v>
      </c>
      <c r="BR425" t="s">
        <v>105</v>
      </c>
      <c r="BS425" t="s">
        <v>8100</v>
      </c>
      <c r="BT425" t="str">
        <f>HYPERLINK("https%3A%2F%2Fwww.webofscience.com%2Fwos%2Fwoscc%2Ffull-record%2FWOS:000273929900060","View Full Record in Web of Science")</f>
        <v>View Full Record in Web of Science</v>
      </c>
    </row>
    <row r="426" spans="1:72" x14ac:dyDescent="0.15">
      <c r="A426" t="s">
        <v>72</v>
      </c>
      <c r="B426" t="s">
        <v>8101</v>
      </c>
      <c r="C426" t="s">
        <v>74</v>
      </c>
      <c r="D426" t="s">
        <v>74</v>
      </c>
      <c r="E426" t="s">
        <v>74</v>
      </c>
      <c r="F426" t="s">
        <v>8102</v>
      </c>
      <c r="G426" t="s">
        <v>74</v>
      </c>
      <c r="H426" t="s">
        <v>74</v>
      </c>
      <c r="I426" t="s">
        <v>8103</v>
      </c>
      <c r="J426" t="s">
        <v>239</v>
      </c>
      <c r="K426" t="s">
        <v>74</v>
      </c>
      <c r="L426" t="s">
        <v>74</v>
      </c>
      <c r="M426" t="s">
        <v>78</v>
      </c>
      <c r="N426" t="s">
        <v>79</v>
      </c>
      <c r="O426" t="s">
        <v>74</v>
      </c>
      <c r="P426" t="s">
        <v>74</v>
      </c>
      <c r="Q426" t="s">
        <v>74</v>
      </c>
      <c r="R426" t="s">
        <v>74</v>
      </c>
      <c r="S426" t="s">
        <v>74</v>
      </c>
      <c r="T426" t="s">
        <v>74</v>
      </c>
      <c r="U426" t="s">
        <v>8104</v>
      </c>
      <c r="V426" t="s">
        <v>8105</v>
      </c>
      <c r="W426" t="s">
        <v>8106</v>
      </c>
      <c r="X426" t="s">
        <v>8107</v>
      </c>
      <c r="Y426" t="s">
        <v>8108</v>
      </c>
      <c r="Z426" t="s">
        <v>8109</v>
      </c>
      <c r="AA426" t="s">
        <v>8110</v>
      </c>
      <c r="AB426" t="s">
        <v>8111</v>
      </c>
      <c r="AC426" t="s">
        <v>8112</v>
      </c>
      <c r="AD426" t="s">
        <v>8113</v>
      </c>
      <c r="AE426" t="s">
        <v>8114</v>
      </c>
      <c r="AF426" t="s">
        <v>74</v>
      </c>
      <c r="AG426">
        <v>69</v>
      </c>
      <c r="AH426">
        <v>16</v>
      </c>
      <c r="AI426">
        <v>16</v>
      </c>
      <c r="AJ426">
        <v>0</v>
      </c>
      <c r="AK426">
        <v>18</v>
      </c>
      <c r="AL426" t="s">
        <v>91</v>
      </c>
      <c r="AM426" t="s">
        <v>92</v>
      </c>
      <c r="AN426" t="s">
        <v>93</v>
      </c>
      <c r="AO426" t="s">
        <v>251</v>
      </c>
      <c r="AP426" t="s">
        <v>252</v>
      </c>
      <c r="AQ426" t="s">
        <v>74</v>
      </c>
      <c r="AR426" t="s">
        <v>253</v>
      </c>
      <c r="AS426" t="s">
        <v>254</v>
      </c>
      <c r="AT426" t="s">
        <v>8115</v>
      </c>
      <c r="AU426">
        <v>2010</v>
      </c>
      <c r="AV426">
        <v>115</v>
      </c>
      <c r="AW426" t="s">
        <v>74</v>
      </c>
      <c r="AX426" t="s">
        <v>74</v>
      </c>
      <c r="AY426" t="s">
        <v>74</v>
      </c>
      <c r="AZ426" t="s">
        <v>74</v>
      </c>
      <c r="BA426" t="s">
        <v>74</v>
      </c>
      <c r="BB426" t="s">
        <v>74</v>
      </c>
      <c r="BC426" t="s">
        <v>74</v>
      </c>
      <c r="BD426" t="s">
        <v>8116</v>
      </c>
      <c r="BE426" t="s">
        <v>8117</v>
      </c>
      <c r="BF426" t="str">
        <f>HYPERLINK("http://dx.doi.org/10.1029/2009JD012391","http://dx.doi.org/10.1029/2009JD012391")</f>
        <v>http://dx.doi.org/10.1029/2009JD012391</v>
      </c>
      <c r="BG426" t="s">
        <v>74</v>
      </c>
      <c r="BH426" t="s">
        <v>74</v>
      </c>
      <c r="BI426">
        <v>14</v>
      </c>
      <c r="BJ426" t="s">
        <v>258</v>
      </c>
      <c r="BK426" t="s">
        <v>102</v>
      </c>
      <c r="BL426" t="s">
        <v>258</v>
      </c>
      <c r="BM426" t="s">
        <v>8118</v>
      </c>
      <c r="BN426" t="s">
        <v>74</v>
      </c>
      <c r="BO426" t="s">
        <v>455</v>
      </c>
      <c r="BP426" t="s">
        <v>74</v>
      </c>
      <c r="BQ426" t="s">
        <v>74</v>
      </c>
      <c r="BR426" t="s">
        <v>105</v>
      </c>
      <c r="BS426" t="s">
        <v>8119</v>
      </c>
      <c r="BT426" t="str">
        <f>HYPERLINK("https%3A%2F%2Fwww.webofscience.com%2Fwos%2Fwoscc%2Ffull-record%2FWOS:000273729200001","View Full Record in Web of Science")</f>
        <v>View Full Record in Web of Science</v>
      </c>
    </row>
    <row r="427" spans="1:72" x14ac:dyDescent="0.15">
      <c r="A427" t="s">
        <v>72</v>
      </c>
      <c r="B427" t="s">
        <v>8120</v>
      </c>
      <c r="C427" t="s">
        <v>74</v>
      </c>
      <c r="D427" t="s">
        <v>74</v>
      </c>
      <c r="E427" t="s">
        <v>74</v>
      </c>
      <c r="F427" t="s">
        <v>8121</v>
      </c>
      <c r="G427" t="s">
        <v>74</v>
      </c>
      <c r="H427" t="s">
        <v>74</v>
      </c>
      <c r="I427" t="s">
        <v>8122</v>
      </c>
      <c r="J427" t="s">
        <v>8123</v>
      </c>
      <c r="K427" t="s">
        <v>74</v>
      </c>
      <c r="L427" t="s">
        <v>74</v>
      </c>
      <c r="M427" t="s">
        <v>78</v>
      </c>
      <c r="N427" t="s">
        <v>79</v>
      </c>
      <c r="O427" t="s">
        <v>74</v>
      </c>
      <c r="P427" t="s">
        <v>74</v>
      </c>
      <c r="Q427" t="s">
        <v>74</v>
      </c>
      <c r="R427" t="s">
        <v>74</v>
      </c>
      <c r="S427" t="s">
        <v>74</v>
      </c>
      <c r="T427" t="s">
        <v>8124</v>
      </c>
      <c r="U427" t="s">
        <v>8125</v>
      </c>
      <c r="V427" t="s">
        <v>8126</v>
      </c>
      <c r="W427" t="s">
        <v>8127</v>
      </c>
      <c r="X427" t="s">
        <v>8128</v>
      </c>
      <c r="Y427" t="s">
        <v>8129</v>
      </c>
      <c r="Z427" t="s">
        <v>8130</v>
      </c>
      <c r="AA427" t="s">
        <v>74</v>
      </c>
      <c r="AB427" t="s">
        <v>8131</v>
      </c>
      <c r="AC427" t="s">
        <v>8132</v>
      </c>
      <c r="AD427" t="s">
        <v>8133</v>
      </c>
      <c r="AE427" t="s">
        <v>8134</v>
      </c>
      <c r="AF427" t="s">
        <v>74</v>
      </c>
      <c r="AG427">
        <v>31</v>
      </c>
      <c r="AH427">
        <v>27</v>
      </c>
      <c r="AI427">
        <v>27</v>
      </c>
      <c r="AJ427">
        <v>0</v>
      </c>
      <c r="AK427">
        <v>8</v>
      </c>
      <c r="AL427" t="s">
        <v>406</v>
      </c>
      <c r="AM427" t="s">
        <v>407</v>
      </c>
      <c r="AN427" t="s">
        <v>408</v>
      </c>
      <c r="AO427" t="s">
        <v>8135</v>
      </c>
      <c r="AP427" t="s">
        <v>8136</v>
      </c>
      <c r="AQ427" t="s">
        <v>74</v>
      </c>
      <c r="AR427" t="s">
        <v>8137</v>
      </c>
      <c r="AS427" t="s">
        <v>8138</v>
      </c>
      <c r="AT427" t="s">
        <v>8139</v>
      </c>
      <c r="AU427">
        <v>2010</v>
      </c>
      <c r="AV427">
        <v>368</v>
      </c>
      <c r="AW427">
        <v>1910</v>
      </c>
      <c r="AX427" t="s">
        <v>74</v>
      </c>
      <c r="AY427" t="s">
        <v>74</v>
      </c>
      <c r="AZ427" t="s">
        <v>74</v>
      </c>
      <c r="BA427" t="s">
        <v>74</v>
      </c>
      <c r="BB427">
        <v>145</v>
      </c>
      <c r="BC427">
        <v>160</v>
      </c>
      <c r="BD427" t="s">
        <v>74</v>
      </c>
      <c r="BE427" t="s">
        <v>8140</v>
      </c>
      <c r="BF427" t="str">
        <f>HYPERLINK("http://dx.doi.org/10.1098/rsta.2009.0192","http://dx.doi.org/10.1098/rsta.2009.0192")</f>
        <v>http://dx.doi.org/10.1098/rsta.2009.0192</v>
      </c>
      <c r="BG427" t="s">
        <v>74</v>
      </c>
      <c r="BH427" t="s">
        <v>74</v>
      </c>
      <c r="BI427">
        <v>16</v>
      </c>
      <c r="BJ427" t="s">
        <v>323</v>
      </c>
      <c r="BK427" t="s">
        <v>102</v>
      </c>
      <c r="BL427" t="s">
        <v>324</v>
      </c>
      <c r="BM427" t="s">
        <v>8141</v>
      </c>
      <c r="BN427">
        <v>19948548</v>
      </c>
      <c r="BO427" t="s">
        <v>74</v>
      </c>
      <c r="BP427" t="s">
        <v>74</v>
      </c>
      <c r="BQ427" t="s">
        <v>74</v>
      </c>
      <c r="BR427" t="s">
        <v>105</v>
      </c>
      <c r="BS427" t="s">
        <v>8142</v>
      </c>
      <c r="BT427" t="str">
        <f>HYPERLINK("https%3A%2F%2Fwww.webofscience.com%2Fwos%2Fwoscc%2Ffull-record%2FWOS:000272190600008","View Full Record in Web of Science")</f>
        <v>View Full Record in Web of Science</v>
      </c>
    </row>
    <row r="428" spans="1:72" x14ac:dyDescent="0.15">
      <c r="A428" t="s">
        <v>72</v>
      </c>
      <c r="B428" t="s">
        <v>8143</v>
      </c>
      <c r="C428" t="s">
        <v>74</v>
      </c>
      <c r="D428" t="s">
        <v>74</v>
      </c>
      <c r="E428" t="s">
        <v>74</v>
      </c>
      <c r="F428" t="s">
        <v>8144</v>
      </c>
      <c r="G428" t="s">
        <v>74</v>
      </c>
      <c r="H428" t="s">
        <v>74</v>
      </c>
      <c r="I428" t="s">
        <v>8145</v>
      </c>
      <c r="J428" t="s">
        <v>8146</v>
      </c>
      <c r="K428" t="s">
        <v>74</v>
      </c>
      <c r="L428" t="s">
        <v>74</v>
      </c>
      <c r="M428" t="s">
        <v>78</v>
      </c>
      <c r="N428" t="s">
        <v>79</v>
      </c>
      <c r="O428" t="s">
        <v>74</v>
      </c>
      <c r="P428" t="s">
        <v>74</v>
      </c>
      <c r="Q428" t="s">
        <v>74</v>
      </c>
      <c r="R428" t="s">
        <v>74</v>
      </c>
      <c r="S428" t="s">
        <v>74</v>
      </c>
      <c r="T428" t="s">
        <v>8147</v>
      </c>
      <c r="U428" t="s">
        <v>8148</v>
      </c>
      <c r="V428" t="s">
        <v>8149</v>
      </c>
      <c r="W428" t="s">
        <v>8150</v>
      </c>
      <c r="X428" t="s">
        <v>8151</v>
      </c>
      <c r="Y428" t="s">
        <v>8152</v>
      </c>
      <c r="Z428" t="s">
        <v>8153</v>
      </c>
      <c r="AA428" t="s">
        <v>8154</v>
      </c>
      <c r="AB428" t="s">
        <v>8155</v>
      </c>
      <c r="AC428" t="s">
        <v>8156</v>
      </c>
      <c r="AD428" t="s">
        <v>8157</v>
      </c>
      <c r="AE428" t="s">
        <v>8158</v>
      </c>
      <c r="AF428" t="s">
        <v>74</v>
      </c>
      <c r="AG428">
        <v>53</v>
      </c>
      <c r="AH428">
        <v>61</v>
      </c>
      <c r="AI428">
        <v>66</v>
      </c>
      <c r="AJ428">
        <v>0</v>
      </c>
      <c r="AK428">
        <v>33</v>
      </c>
      <c r="AL428" t="s">
        <v>144</v>
      </c>
      <c r="AM428" t="s">
        <v>145</v>
      </c>
      <c r="AN428" t="s">
        <v>146</v>
      </c>
      <c r="AO428" t="s">
        <v>8159</v>
      </c>
      <c r="AP428" t="s">
        <v>8160</v>
      </c>
      <c r="AQ428" t="s">
        <v>74</v>
      </c>
      <c r="AR428" t="s">
        <v>8161</v>
      </c>
      <c r="AS428" t="s">
        <v>8162</v>
      </c>
      <c r="AT428" t="s">
        <v>8163</v>
      </c>
      <c r="AU428">
        <v>2010</v>
      </c>
      <c r="AV428">
        <v>221</v>
      </c>
      <c r="AW428">
        <v>1</v>
      </c>
      <c r="AX428" t="s">
        <v>74</v>
      </c>
      <c r="AY428" t="s">
        <v>74</v>
      </c>
      <c r="AZ428" t="s">
        <v>152</v>
      </c>
      <c r="BA428" t="s">
        <v>74</v>
      </c>
      <c r="BB428">
        <v>106</v>
      </c>
      <c r="BC428">
        <v>112</v>
      </c>
      <c r="BD428" t="s">
        <v>74</v>
      </c>
      <c r="BE428" t="s">
        <v>8164</v>
      </c>
      <c r="BF428" t="str">
        <f>HYPERLINK("http://dx.doi.org/10.1016/j.ecolmodel.2009.09.016","http://dx.doi.org/10.1016/j.ecolmodel.2009.09.016")</f>
        <v>http://dx.doi.org/10.1016/j.ecolmodel.2009.09.016</v>
      </c>
      <c r="BG428" t="s">
        <v>74</v>
      </c>
      <c r="BH428" t="s">
        <v>74</v>
      </c>
      <c r="BI428">
        <v>7</v>
      </c>
      <c r="BJ428" t="s">
        <v>1346</v>
      </c>
      <c r="BK428" t="s">
        <v>102</v>
      </c>
      <c r="BL428" t="s">
        <v>1348</v>
      </c>
      <c r="BM428" t="s">
        <v>8165</v>
      </c>
      <c r="BN428" t="s">
        <v>74</v>
      </c>
      <c r="BO428" t="s">
        <v>74</v>
      </c>
      <c r="BP428" t="s">
        <v>74</v>
      </c>
      <c r="BQ428" t="s">
        <v>74</v>
      </c>
      <c r="BR428" t="s">
        <v>105</v>
      </c>
      <c r="BS428" t="s">
        <v>8166</v>
      </c>
      <c r="BT428" t="str">
        <f>HYPERLINK("https%3A%2F%2Fwww.webofscience.com%2Fwos%2Fwoscc%2Ffull-record%2FWOS:000272929100014","View Full Record in Web of Science")</f>
        <v>View Full Record in Web of Science</v>
      </c>
    </row>
    <row r="429" spans="1:72" x14ac:dyDescent="0.15">
      <c r="A429" t="s">
        <v>72</v>
      </c>
      <c r="B429" t="s">
        <v>8167</v>
      </c>
      <c r="C429" t="s">
        <v>74</v>
      </c>
      <c r="D429" t="s">
        <v>74</v>
      </c>
      <c r="E429" t="s">
        <v>74</v>
      </c>
      <c r="F429" t="s">
        <v>8168</v>
      </c>
      <c r="G429" t="s">
        <v>74</v>
      </c>
      <c r="H429" t="s">
        <v>74</v>
      </c>
      <c r="I429" t="s">
        <v>8169</v>
      </c>
      <c r="J429" t="s">
        <v>8170</v>
      </c>
      <c r="K429" t="s">
        <v>74</v>
      </c>
      <c r="L429" t="s">
        <v>74</v>
      </c>
      <c r="M429" t="s">
        <v>78</v>
      </c>
      <c r="N429" t="s">
        <v>79</v>
      </c>
      <c r="O429" t="s">
        <v>74</v>
      </c>
      <c r="P429" t="s">
        <v>74</v>
      </c>
      <c r="Q429" t="s">
        <v>74</v>
      </c>
      <c r="R429" t="s">
        <v>74</v>
      </c>
      <c r="S429" t="s">
        <v>74</v>
      </c>
      <c r="T429" t="s">
        <v>8171</v>
      </c>
      <c r="U429" t="s">
        <v>8172</v>
      </c>
      <c r="V429" t="s">
        <v>8173</v>
      </c>
      <c r="W429" t="s">
        <v>8174</v>
      </c>
      <c r="X429" t="s">
        <v>8175</v>
      </c>
      <c r="Y429" t="s">
        <v>8176</v>
      </c>
      <c r="Z429" t="s">
        <v>8177</v>
      </c>
      <c r="AA429" t="s">
        <v>74</v>
      </c>
      <c r="AB429" t="s">
        <v>8178</v>
      </c>
      <c r="AC429" t="s">
        <v>8179</v>
      </c>
      <c r="AD429" t="s">
        <v>8180</v>
      </c>
      <c r="AE429" t="s">
        <v>8181</v>
      </c>
      <c r="AF429" t="s">
        <v>74</v>
      </c>
      <c r="AG429">
        <v>60</v>
      </c>
      <c r="AH429">
        <v>1</v>
      </c>
      <c r="AI429">
        <v>1</v>
      </c>
      <c r="AJ429">
        <v>0</v>
      </c>
      <c r="AK429">
        <v>23</v>
      </c>
      <c r="AL429" t="s">
        <v>573</v>
      </c>
      <c r="AM429" t="s">
        <v>407</v>
      </c>
      <c r="AN429" t="s">
        <v>574</v>
      </c>
      <c r="AO429" t="s">
        <v>8182</v>
      </c>
      <c r="AP429" t="s">
        <v>8183</v>
      </c>
      <c r="AQ429" t="s">
        <v>74</v>
      </c>
      <c r="AR429" t="s">
        <v>8184</v>
      </c>
      <c r="AS429" t="s">
        <v>8185</v>
      </c>
      <c r="AT429" t="s">
        <v>8186</v>
      </c>
      <c r="AU429">
        <v>2010</v>
      </c>
      <c r="AV429">
        <v>262</v>
      </c>
      <c r="AW429">
        <v>1</v>
      </c>
      <c r="AX429" t="s">
        <v>74</v>
      </c>
      <c r="AY429" t="s">
        <v>74</v>
      </c>
      <c r="AZ429" t="s">
        <v>74</v>
      </c>
      <c r="BA429" t="s">
        <v>74</v>
      </c>
      <c r="BB429">
        <v>90</v>
      </c>
      <c r="BC429">
        <v>96</v>
      </c>
      <c r="BD429" t="s">
        <v>74</v>
      </c>
      <c r="BE429" t="s">
        <v>8187</v>
      </c>
      <c r="BF429" t="str">
        <f>HYPERLINK("http://dx.doi.org/10.1016/j.jtbi.2009.09.006","http://dx.doi.org/10.1016/j.jtbi.2009.09.006")</f>
        <v>http://dx.doi.org/10.1016/j.jtbi.2009.09.006</v>
      </c>
      <c r="BG429" t="s">
        <v>74</v>
      </c>
      <c r="BH429" t="s">
        <v>74</v>
      </c>
      <c r="BI429">
        <v>7</v>
      </c>
      <c r="BJ429" t="s">
        <v>6489</v>
      </c>
      <c r="BK429" t="s">
        <v>102</v>
      </c>
      <c r="BL429" t="s">
        <v>6490</v>
      </c>
      <c r="BM429" t="s">
        <v>8188</v>
      </c>
      <c r="BN429">
        <v>19761776</v>
      </c>
      <c r="BO429" t="s">
        <v>8189</v>
      </c>
      <c r="BP429" t="s">
        <v>74</v>
      </c>
      <c r="BQ429" t="s">
        <v>74</v>
      </c>
      <c r="BR429" t="s">
        <v>105</v>
      </c>
      <c r="BS429" t="s">
        <v>8190</v>
      </c>
      <c r="BT429" t="str">
        <f>HYPERLINK("https%3A%2F%2Fwww.webofscience.com%2Fwos%2Fwoscc%2Ffull-record%2FWOS:000274646600009","View Full Record in Web of Science")</f>
        <v>View Full Record in Web of Science</v>
      </c>
    </row>
    <row r="430" spans="1:72" x14ac:dyDescent="0.15">
      <c r="A430" t="s">
        <v>72</v>
      </c>
      <c r="B430" t="s">
        <v>8191</v>
      </c>
      <c r="C430" t="s">
        <v>74</v>
      </c>
      <c r="D430" t="s">
        <v>74</v>
      </c>
      <c r="E430" t="s">
        <v>74</v>
      </c>
      <c r="F430" t="s">
        <v>8192</v>
      </c>
      <c r="G430" t="s">
        <v>74</v>
      </c>
      <c r="H430" t="s">
        <v>74</v>
      </c>
      <c r="I430" t="s">
        <v>8193</v>
      </c>
      <c r="J430" t="s">
        <v>3216</v>
      </c>
      <c r="K430" t="s">
        <v>74</v>
      </c>
      <c r="L430" t="s">
        <v>74</v>
      </c>
      <c r="M430" t="s">
        <v>78</v>
      </c>
      <c r="N430" t="s">
        <v>79</v>
      </c>
      <c r="O430" t="s">
        <v>74</v>
      </c>
      <c r="P430" t="s">
        <v>74</v>
      </c>
      <c r="Q430" t="s">
        <v>74</v>
      </c>
      <c r="R430" t="s">
        <v>74</v>
      </c>
      <c r="S430" t="s">
        <v>74</v>
      </c>
      <c r="T430" t="s">
        <v>74</v>
      </c>
      <c r="U430" t="s">
        <v>8194</v>
      </c>
      <c r="V430" t="s">
        <v>8195</v>
      </c>
      <c r="W430" t="s">
        <v>8196</v>
      </c>
      <c r="X430" t="s">
        <v>8197</v>
      </c>
      <c r="Y430" t="s">
        <v>8198</v>
      </c>
      <c r="Z430" t="s">
        <v>8199</v>
      </c>
      <c r="AA430" t="s">
        <v>8200</v>
      </c>
      <c r="AB430" t="s">
        <v>8201</v>
      </c>
      <c r="AC430" t="s">
        <v>8202</v>
      </c>
      <c r="AD430" t="s">
        <v>8203</v>
      </c>
      <c r="AE430" t="s">
        <v>8204</v>
      </c>
      <c r="AF430" t="s">
        <v>74</v>
      </c>
      <c r="AG430">
        <v>30</v>
      </c>
      <c r="AH430">
        <v>121</v>
      </c>
      <c r="AI430">
        <v>141</v>
      </c>
      <c r="AJ430">
        <v>3</v>
      </c>
      <c r="AK430">
        <v>64</v>
      </c>
      <c r="AL430" t="s">
        <v>2459</v>
      </c>
      <c r="AM430" t="s">
        <v>407</v>
      </c>
      <c r="AN430" t="s">
        <v>3217</v>
      </c>
      <c r="AO430" t="s">
        <v>3218</v>
      </c>
      <c r="AP430" t="s">
        <v>74</v>
      </c>
      <c r="AQ430" t="s">
        <v>74</v>
      </c>
      <c r="AR430" t="s">
        <v>3216</v>
      </c>
      <c r="AS430" t="s">
        <v>3219</v>
      </c>
      <c r="AT430" t="s">
        <v>8186</v>
      </c>
      <c r="AU430">
        <v>2010</v>
      </c>
      <c r="AV430">
        <v>463</v>
      </c>
      <c r="AW430">
        <v>7277</v>
      </c>
      <c r="AX430" t="s">
        <v>74</v>
      </c>
      <c r="AY430" t="s">
        <v>74</v>
      </c>
      <c r="AZ430" t="s">
        <v>74</v>
      </c>
      <c r="BA430" t="s">
        <v>74</v>
      </c>
      <c r="BB430">
        <v>80</v>
      </c>
      <c r="BC430" t="s">
        <v>8205</v>
      </c>
      <c r="BD430" t="s">
        <v>74</v>
      </c>
      <c r="BE430" t="s">
        <v>8206</v>
      </c>
      <c r="BF430" t="str">
        <f>HYPERLINK("http://dx.doi.org/10.1038/nature08687","http://dx.doi.org/10.1038/nature08687")</f>
        <v>http://dx.doi.org/10.1038/nature08687</v>
      </c>
      <c r="BG430" t="s">
        <v>74</v>
      </c>
      <c r="BH430" t="s">
        <v>74</v>
      </c>
      <c r="BI430">
        <v>5</v>
      </c>
      <c r="BJ430" t="s">
        <v>323</v>
      </c>
      <c r="BK430" t="s">
        <v>102</v>
      </c>
      <c r="BL430" t="s">
        <v>324</v>
      </c>
      <c r="BM430" t="s">
        <v>8207</v>
      </c>
      <c r="BN430">
        <v>20054394</v>
      </c>
      <c r="BO430" t="s">
        <v>74</v>
      </c>
      <c r="BP430" t="s">
        <v>74</v>
      </c>
      <c r="BQ430" t="s">
        <v>74</v>
      </c>
      <c r="BR430" t="s">
        <v>105</v>
      </c>
      <c r="BS430" t="s">
        <v>8208</v>
      </c>
      <c r="BT430" t="str">
        <f>HYPERLINK("https%3A%2F%2Fwww.webofscience.com%2Fwos%2Fwoscc%2Ffull-record%2FWOS:000273344900034","View Full Record in Web of Science")</f>
        <v>View Full Record in Web of Science</v>
      </c>
    </row>
    <row r="431" spans="1:72" x14ac:dyDescent="0.15">
      <c r="A431" t="s">
        <v>72</v>
      </c>
      <c r="B431" t="s">
        <v>8209</v>
      </c>
      <c r="C431" t="s">
        <v>74</v>
      </c>
      <c r="D431" t="s">
        <v>74</v>
      </c>
      <c r="E431" t="s">
        <v>74</v>
      </c>
      <c r="F431" t="s">
        <v>8210</v>
      </c>
      <c r="G431" t="s">
        <v>74</v>
      </c>
      <c r="H431" t="s">
        <v>74</v>
      </c>
      <c r="I431" t="s">
        <v>8211</v>
      </c>
      <c r="J431" t="s">
        <v>8212</v>
      </c>
      <c r="K431" t="s">
        <v>74</v>
      </c>
      <c r="L431" t="s">
        <v>74</v>
      </c>
      <c r="M431" t="s">
        <v>78</v>
      </c>
      <c r="N431" t="s">
        <v>79</v>
      </c>
      <c r="O431" t="s">
        <v>74</v>
      </c>
      <c r="P431" t="s">
        <v>74</v>
      </c>
      <c r="Q431" t="s">
        <v>74</v>
      </c>
      <c r="R431" t="s">
        <v>74</v>
      </c>
      <c r="S431" t="s">
        <v>74</v>
      </c>
      <c r="T431" t="s">
        <v>74</v>
      </c>
      <c r="U431" t="s">
        <v>8213</v>
      </c>
      <c r="V431" t="s">
        <v>8214</v>
      </c>
      <c r="W431" t="s">
        <v>8215</v>
      </c>
      <c r="X431" t="s">
        <v>8216</v>
      </c>
      <c r="Y431" t="s">
        <v>8217</v>
      </c>
      <c r="Z431" t="s">
        <v>8218</v>
      </c>
      <c r="AA431" t="s">
        <v>8219</v>
      </c>
      <c r="AB431" t="s">
        <v>8220</v>
      </c>
      <c r="AC431" t="s">
        <v>8221</v>
      </c>
      <c r="AD431" t="s">
        <v>8222</v>
      </c>
      <c r="AE431" t="s">
        <v>8223</v>
      </c>
      <c r="AF431" t="s">
        <v>74</v>
      </c>
      <c r="AG431">
        <v>61</v>
      </c>
      <c r="AH431">
        <v>71</v>
      </c>
      <c r="AI431">
        <v>79</v>
      </c>
      <c r="AJ431">
        <v>1</v>
      </c>
      <c r="AK431">
        <v>17</v>
      </c>
      <c r="AL431" t="s">
        <v>8224</v>
      </c>
      <c r="AM431" t="s">
        <v>407</v>
      </c>
      <c r="AN431" t="s">
        <v>8225</v>
      </c>
      <c r="AO431" t="s">
        <v>8226</v>
      </c>
      <c r="AP431" t="s">
        <v>74</v>
      </c>
      <c r="AQ431" t="s">
        <v>74</v>
      </c>
      <c r="AR431" t="s">
        <v>8227</v>
      </c>
      <c r="AS431" t="s">
        <v>8228</v>
      </c>
      <c r="AT431" t="s">
        <v>8229</v>
      </c>
      <c r="AU431">
        <v>2010</v>
      </c>
      <c r="AV431">
        <v>10</v>
      </c>
      <c r="AW431" t="s">
        <v>74</v>
      </c>
      <c r="AX431" t="s">
        <v>74</v>
      </c>
      <c r="AY431" t="s">
        <v>74</v>
      </c>
      <c r="AZ431" t="s">
        <v>74</v>
      </c>
      <c r="BA431" t="s">
        <v>74</v>
      </c>
      <c r="BB431" t="s">
        <v>74</v>
      </c>
      <c r="BC431" t="s">
        <v>74</v>
      </c>
      <c r="BD431">
        <v>4</v>
      </c>
      <c r="BE431" t="s">
        <v>8230</v>
      </c>
      <c r="BF431" t="str">
        <f>HYPERLINK("http://dx.doi.org/10.1186/1471-2148-10-4","http://dx.doi.org/10.1186/1471-2148-10-4")</f>
        <v>http://dx.doi.org/10.1186/1471-2148-10-4</v>
      </c>
      <c r="BG431" t="s">
        <v>74</v>
      </c>
      <c r="BH431" t="s">
        <v>74</v>
      </c>
      <c r="BI431">
        <v>12</v>
      </c>
      <c r="BJ431" t="s">
        <v>8231</v>
      </c>
      <c r="BK431" t="s">
        <v>102</v>
      </c>
      <c r="BL431" t="s">
        <v>8231</v>
      </c>
      <c r="BM431" t="s">
        <v>8232</v>
      </c>
      <c r="BN431">
        <v>20053275</v>
      </c>
      <c r="BO431" t="s">
        <v>3271</v>
      </c>
      <c r="BP431" t="s">
        <v>74</v>
      </c>
      <c r="BQ431" t="s">
        <v>74</v>
      </c>
      <c r="BR431" t="s">
        <v>105</v>
      </c>
      <c r="BS431" t="s">
        <v>8233</v>
      </c>
      <c r="BT431" t="str">
        <f>HYPERLINK("https%3A%2F%2Fwww.webofscience.com%2Fwos%2Fwoscc%2Ffull-record%2FWOS:000275249900001","View Full Record in Web of Science")</f>
        <v>View Full Record in Web of Science</v>
      </c>
    </row>
    <row r="432" spans="1:72" x14ac:dyDescent="0.15">
      <c r="A432" t="s">
        <v>72</v>
      </c>
      <c r="B432" t="s">
        <v>8234</v>
      </c>
      <c r="C432" t="s">
        <v>74</v>
      </c>
      <c r="D432" t="s">
        <v>74</v>
      </c>
      <c r="E432" t="s">
        <v>74</v>
      </c>
      <c r="F432" t="s">
        <v>8235</v>
      </c>
      <c r="G432" t="s">
        <v>74</v>
      </c>
      <c r="H432" t="s">
        <v>74</v>
      </c>
      <c r="I432" t="s">
        <v>8236</v>
      </c>
      <c r="J432" t="s">
        <v>8237</v>
      </c>
      <c r="K432" t="s">
        <v>74</v>
      </c>
      <c r="L432" t="s">
        <v>74</v>
      </c>
      <c r="M432" t="s">
        <v>78</v>
      </c>
      <c r="N432" t="s">
        <v>79</v>
      </c>
      <c r="O432" t="s">
        <v>74</v>
      </c>
      <c r="P432" t="s">
        <v>74</v>
      </c>
      <c r="Q432" t="s">
        <v>74</v>
      </c>
      <c r="R432" t="s">
        <v>74</v>
      </c>
      <c r="S432" t="s">
        <v>74</v>
      </c>
      <c r="T432" t="s">
        <v>74</v>
      </c>
      <c r="U432" t="s">
        <v>8238</v>
      </c>
      <c r="V432" t="s">
        <v>8239</v>
      </c>
      <c r="W432" t="s">
        <v>8240</v>
      </c>
      <c r="X432" t="s">
        <v>8241</v>
      </c>
      <c r="Y432" t="s">
        <v>8242</v>
      </c>
      <c r="Z432" t="s">
        <v>8243</v>
      </c>
      <c r="AA432" t="s">
        <v>8244</v>
      </c>
      <c r="AB432" t="s">
        <v>8245</v>
      </c>
      <c r="AC432" t="s">
        <v>8246</v>
      </c>
      <c r="AD432" t="s">
        <v>8247</v>
      </c>
      <c r="AE432" t="s">
        <v>8248</v>
      </c>
      <c r="AF432" t="s">
        <v>74</v>
      </c>
      <c r="AG432">
        <v>47</v>
      </c>
      <c r="AH432">
        <v>6</v>
      </c>
      <c r="AI432">
        <v>6</v>
      </c>
      <c r="AJ432">
        <v>0</v>
      </c>
      <c r="AK432">
        <v>12</v>
      </c>
      <c r="AL432" t="s">
        <v>587</v>
      </c>
      <c r="AM432" t="s">
        <v>1896</v>
      </c>
      <c r="AN432" t="s">
        <v>8249</v>
      </c>
      <c r="AO432" t="s">
        <v>8250</v>
      </c>
      <c r="AP432" t="s">
        <v>8251</v>
      </c>
      <c r="AQ432" t="s">
        <v>74</v>
      </c>
      <c r="AR432" t="s">
        <v>8252</v>
      </c>
      <c r="AS432" t="s">
        <v>8253</v>
      </c>
      <c r="AT432" t="s">
        <v>74</v>
      </c>
      <c r="AU432">
        <v>2010</v>
      </c>
      <c r="AV432">
        <v>51</v>
      </c>
      <c r="AW432">
        <v>56</v>
      </c>
      <c r="AX432" t="s">
        <v>74</v>
      </c>
      <c r="AY432" t="s">
        <v>74</v>
      </c>
      <c r="AZ432" t="s">
        <v>74</v>
      </c>
      <c r="BA432" t="s">
        <v>74</v>
      </c>
      <c r="BB432">
        <v>145</v>
      </c>
      <c r="BC432">
        <v>152</v>
      </c>
      <c r="BD432" t="s">
        <v>74</v>
      </c>
      <c r="BE432" t="s">
        <v>8254</v>
      </c>
      <c r="BF432" t="str">
        <f>HYPERLINK("http://dx.doi.org/10.3189/172756411795931994","http://dx.doi.org/10.3189/172756411795931994")</f>
        <v>http://dx.doi.org/10.3189/172756411795931994</v>
      </c>
      <c r="BG432" t="s">
        <v>74</v>
      </c>
      <c r="BH432" t="s">
        <v>74</v>
      </c>
      <c r="BI432">
        <v>8</v>
      </c>
      <c r="BJ432" t="s">
        <v>2881</v>
      </c>
      <c r="BK432" t="s">
        <v>102</v>
      </c>
      <c r="BL432" t="s">
        <v>2628</v>
      </c>
      <c r="BM432" t="s">
        <v>8255</v>
      </c>
      <c r="BN432" t="s">
        <v>74</v>
      </c>
      <c r="BO432" t="s">
        <v>1807</v>
      </c>
      <c r="BP432" t="s">
        <v>74</v>
      </c>
      <c r="BQ432" t="s">
        <v>74</v>
      </c>
      <c r="BR432" t="s">
        <v>105</v>
      </c>
      <c r="BS432" t="s">
        <v>8256</v>
      </c>
      <c r="BT432" t="str">
        <f>HYPERLINK("https%3A%2F%2Fwww.webofscience.com%2Fwos%2Fwoscc%2Ffull-record%2FWOS:000290290600018","View Full Record in Web of Science")</f>
        <v>View Full Record in Web of Science</v>
      </c>
    </row>
    <row r="433" spans="1:72" x14ac:dyDescent="0.15">
      <c r="A433" t="s">
        <v>8257</v>
      </c>
      <c r="B433" t="s">
        <v>8258</v>
      </c>
      <c r="C433" t="s">
        <v>74</v>
      </c>
      <c r="D433" t="s">
        <v>74</v>
      </c>
      <c r="E433" t="s">
        <v>8259</v>
      </c>
      <c r="F433" t="s">
        <v>8260</v>
      </c>
      <c r="G433" t="s">
        <v>74</v>
      </c>
      <c r="H433" t="s">
        <v>74</v>
      </c>
      <c r="I433" t="s">
        <v>8261</v>
      </c>
      <c r="J433" t="s">
        <v>8262</v>
      </c>
      <c r="K433" t="s">
        <v>8263</v>
      </c>
      <c r="L433" t="s">
        <v>74</v>
      </c>
      <c r="M433" t="s">
        <v>78</v>
      </c>
      <c r="N433" t="s">
        <v>8264</v>
      </c>
      <c r="O433" t="s">
        <v>8265</v>
      </c>
      <c r="P433" t="s">
        <v>8266</v>
      </c>
      <c r="Q433" t="s">
        <v>8267</v>
      </c>
      <c r="R433" t="s">
        <v>74</v>
      </c>
      <c r="S433" t="s">
        <v>8268</v>
      </c>
      <c r="T433" t="s">
        <v>74</v>
      </c>
      <c r="U433" t="s">
        <v>74</v>
      </c>
      <c r="V433" t="s">
        <v>8269</v>
      </c>
      <c r="W433" t="s">
        <v>8270</v>
      </c>
      <c r="X433" t="s">
        <v>1787</v>
      </c>
      <c r="Y433" t="s">
        <v>8271</v>
      </c>
      <c r="Z433" t="s">
        <v>8272</v>
      </c>
      <c r="AA433" t="s">
        <v>8273</v>
      </c>
      <c r="AB433" t="s">
        <v>8274</v>
      </c>
      <c r="AC433" t="s">
        <v>74</v>
      </c>
      <c r="AD433" t="s">
        <v>74</v>
      </c>
      <c r="AE433" t="s">
        <v>74</v>
      </c>
      <c r="AF433" t="s">
        <v>74</v>
      </c>
      <c r="AG433">
        <v>9</v>
      </c>
      <c r="AH433">
        <v>0</v>
      </c>
      <c r="AI433">
        <v>0</v>
      </c>
      <c r="AJ433">
        <v>0</v>
      </c>
      <c r="AK433">
        <v>4</v>
      </c>
      <c r="AL433" t="s">
        <v>4825</v>
      </c>
      <c r="AM433" t="s">
        <v>4826</v>
      </c>
      <c r="AN433" t="s">
        <v>8275</v>
      </c>
      <c r="AO433" t="s">
        <v>8276</v>
      </c>
      <c r="AP433" t="s">
        <v>74</v>
      </c>
      <c r="AQ433" t="s">
        <v>74</v>
      </c>
      <c r="AR433" t="s">
        <v>8277</v>
      </c>
      <c r="AS433" t="s">
        <v>8278</v>
      </c>
      <c r="AT433" t="s">
        <v>74</v>
      </c>
      <c r="AU433">
        <v>2010</v>
      </c>
      <c r="AV433">
        <v>11</v>
      </c>
      <c r="AW433" t="s">
        <v>74</v>
      </c>
      <c r="AX433" t="s">
        <v>74</v>
      </c>
      <c r="AY433" t="s">
        <v>74</v>
      </c>
      <c r="AZ433" t="s">
        <v>74</v>
      </c>
      <c r="BA433" t="s">
        <v>74</v>
      </c>
      <c r="BB433" t="s">
        <v>74</v>
      </c>
      <c r="BC433" t="s">
        <v>74</v>
      </c>
      <c r="BD433">
        <v>12026</v>
      </c>
      <c r="BE433" t="s">
        <v>8279</v>
      </c>
      <c r="BF433" t="str">
        <f>HYPERLINK("http://dx.doi.org/10.1088/1755-1315/11/1/012026","http://dx.doi.org/10.1088/1755-1315/11/1/012026")</f>
        <v>http://dx.doi.org/10.1088/1755-1315/11/1/012026</v>
      </c>
      <c r="BG433" t="s">
        <v>74</v>
      </c>
      <c r="BH433" t="s">
        <v>74</v>
      </c>
      <c r="BI433">
        <v>6</v>
      </c>
      <c r="BJ433" t="s">
        <v>8280</v>
      </c>
      <c r="BK433" t="s">
        <v>8281</v>
      </c>
      <c r="BL433" t="s">
        <v>8282</v>
      </c>
      <c r="BM433" t="s">
        <v>8283</v>
      </c>
      <c r="BN433" t="s">
        <v>74</v>
      </c>
      <c r="BO433" t="s">
        <v>104</v>
      </c>
      <c r="BP433" t="s">
        <v>74</v>
      </c>
      <c r="BQ433" t="s">
        <v>74</v>
      </c>
      <c r="BR433" t="s">
        <v>105</v>
      </c>
      <c r="BS433" t="s">
        <v>8284</v>
      </c>
      <c r="BT433" t="str">
        <f>HYPERLINK("https%3A%2F%2Fwww.webofscience.com%2Fwos%2Fwoscc%2Ffull-record%2FWOS:000324467700026","View Full Record in Web of Science")</f>
        <v>View Full Record in Web of Science</v>
      </c>
    </row>
    <row r="434" spans="1:72" x14ac:dyDescent="0.15">
      <c r="A434" t="s">
        <v>8257</v>
      </c>
      <c r="B434" t="s">
        <v>8285</v>
      </c>
      <c r="C434" t="s">
        <v>74</v>
      </c>
      <c r="D434" t="s">
        <v>74</v>
      </c>
      <c r="E434" t="s">
        <v>8259</v>
      </c>
      <c r="F434" t="s">
        <v>8286</v>
      </c>
      <c r="G434" t="s">
        <v>74</v>
      </c>
      <c r="H434" t="s">
        <v>74</v>
      </c>
      <c r="I434" t="s">
        <v>8287</v>
      </c>
      <c r="J434" t="s">
        <v>8262</v>
      </c>
      <c r="K434" t="s">
        <v>8263</v>
      </c>
      <c r="L434" t="s">
        <v>74</v>
      </c>
      <c r="M434" t="s">
        <v>78</v>
      </c>
      <c r="N434" t="s">
        <v>8264</v>
      </c>
      <c r="O434" t="s">
        <v>8265</v>
      </c>
      <c r="P434" t="s">
        <v>8266</v>
      </c>
      <c r="Q434" t="s">
        <v>8267</v>
      </c>
      <c r="R434" t="s">
        <v>74</v>
      </c>
      <c r="S434" t="s">
        <v>8268</v>
      </c>
      <c r="T434" t="s">
        <v>74</v>
      </c>
      <c r="U434" t="s">
        <v>74</v>
      </c>
      <c r="V434" t="s">
        <v>8288</v>
      </c>
      <c r="W434" t="s">
        <v>8289</v>
      </c>
      <c r="X434" t="s">
        <v>8290</v>
      </c>
      <c r="Y434" t="s">
        <v>8291</v>
      </c>
      <c r="Z434" t="s">
        <v>8292</v>
      </c>
      <c r="AA434" t="s">
        <v>8293</v>
      </c>
      <c r="AB434" t="s">
        <v>8294</v>
      </c>
      <c r="AC434" t="s">
        <v>74</v>
      </c>
      <c r="AD434" t="s">
        <v>74</v>
      </c>
      <c r="AE434" t="s">
        <v>74</v>
      </c>
      <c r="AF434" t="s">
        <v>74</v>
      </c>
      <c r="AG434">
        <v>12</v>
      </c>
      <c r="AH434">
        <v>0</v>
      </c>
      <c r="AI434">
        <v>0</v>
      </c>
      <c r="AJ434">
        <v>0</v>
      </c>
      <c r="AK434">
        <v>5</v>
      </c>
      <c r="AL434" t="s">
        <v>4825</v>
      </c>
      <c r="AM434" t="s">
        <v>4826</v>
      </c>
      <c r="AN434" t="s">
        <v>8275</v>
      </c>
      <c r="AO434" t="s">
        <v>8276</v>
      </c>
      <c r="AP434" t="s">
        <v>74</v>
      </c>
      <c r="AQ434" t="s">
        <v>74</v>
      </c>
      <c r="AR434" t="s">
        <v>8277</v>
      </c>
      <c r="AS434" t="s">
        <v>8278</v>
      </c>
      <c r="AT434" t="s">
        <v>74</v>
      </c>
      <c r="AU434">
        <v>2010</v>
      </c>
      <c r="AV434">
        <v>11</v>
      </c>
      <c r="AW434" t="s">
        <v>74</v>
      </c>
      <c r="AX434" t="s">
        <v>74</v>
      </c>
      <c r="AY434" t="s">
        <v>74</v>
      </c>
      <c r="AZ434" t="s">
        <v>74</v>
      </c>
      <c r="BA434" t="s">
        <v>74</v>
      </c>
      <c r="BB434" t="s">
        <v>74</v>
      </c>
      <c r="BC434" t="s">
        <v>74</v>
      </c>
      <c r="BD434">
        <v>12038</v>
      </c>
      <c r="BE434" t="s">
        <v>8295</v>
      </c>
      <c r="BF434" t="str">
        <f>HYPERLINK("http://dx.doi.org/10.1088/1755-1315/11/1/012038","http://dx.doi.org/10.1088/1755-1315/11/1/012038")</f>
        <v>http://dx.doi.org/10.1088/1755-1315/11/1/012038</v>
      </c>
      <c r="BG434" t="s">
        <v>74</v>
      </c>
      <c r="BH434" t="s">
        <v>74</v>
      </c>
      <c r="BI434">
        <v>6</v>
      </c>
      <c r="BJ434" t="s">
        <v>8280</v>
      </c>
      <c r="BK434" t="s">
        <v>8281</v>
      </c>
      <c r="BL434" t="s">
        <v>8282</v>
      </c>
      <c r="BM434" t="s">
        <v>8283</v>
      </c>
      <c r="BN434" t="s">
        <v>74</v>
      </c>
      <c r="BO434" t="s">
        <v>104</v>
      </c>
      <c r="BP434" t="s">
        <v>74</v>
      </c>
      <c r="BQ434" t="s">
        <v>74</v>
      </c>
      <c r="BR434" t="s">
        <v>105</v>
      </c>
      <c r="BS434" t="s">
        <v>8296</v>
      </c>
      <c r="BT434" t="str">
        <f>HYPERLINK("https%3A%2F%2Fwww.webofscience.com%2Fwos%2Fwoscc%2Ffull-record%2FWOS:000324467700038","View Full Record in Web of Science")</f>
        <v>View Full Record in Web of Science</v>
      </c>
    </row>
    <row r="435" spans="1:72" x14ac:dyDescent="0.15">
      <c r="A435" t="s">
        <v>8257</v>
      </c>
      <c r="B435" t="s">
        <v>8297</v>
      </c>
      <c r="C435" t="s">
        <v>74</v>
      </c>
      <c r="D435" t="s">
        <v>74</v>
      </c>
      <c r="E435" t="s">
        <v>8298</v>
      </c>
      <c r="F435" t="s">
        <v>8299</v>
      </c>
      <c r="G435" t="s">
        <v>74</v>
      </c>
      <c r="H435" t="s">
        <v>74</v>
      </c>
      <c r="I435" t="s">
        <v>8300</v>
      </c>
      <c r="J435" t="s">
        <v>8301</v>
      </c>
      <c r="K435" t="s">
        <v>8302</v>
      </c>
      <c r="L435" t="s">
        <v>74</v>
      </c>
      <c r="M435" t="s">
        <v>78</v>
      </c>
      <c r="N435" t="s">
        <v>8264</v>
      </c>
      <c r="O435" t="s">
        <v>8303</v>
      </c>
      <c r="P435" t="s">
        <v>8304</v>
      </c>
      <c r="Q435" t="s">
        <v>8305</v>
      </c>
      <c r="R435" t="s">
        <v>74</v>
      </c>
      <c r="S435" t="s">
        <v>74</v>
      </c>
      <c r="T435" t="s">
        <v>74</v>
      </c>
      <c r="U435" t="s">
        <v>74</v>
      </c>
      <c r="V435" t="s">
        <v>8306</v>
      </c>
      <c r="W435" t="s">
        <v>8307</v>
      </c>
      <c r="X435" t="s">
        <v>8308</v>
      </c>
      <c r="Y435" t="s">
        <v>8309</v>
      </c>
      <c r="Z435" t="s">
        <v>8310</v>
      </c>
      <c r="AA435" t="s">
        <v>8311</v>
      </c>
      <c r="AB435" t="s">
        <v>74</v>
      </c>
      <c r="AC435" t="s">
        <v>8312</v>
      </c>
      <c r="AD435" t="s">
        <v>8313</v>
      </c>
      <c r="AE435" t="s">
        <v>8314</v>
      </c>
      <c r="AF435" t="s">
        <v>74</v>
      </c>
      <c r="AG435">
        <v>19</v>
      </c>
      <c r="AH435">
        <v>4</v>
      </c>
      <c r="AI435">
        <v>6</v>
      </c>
      <c r="AJ435">
        <v>1</v>
      </c>
      <c r="AK435">
        <v>11</v>
      </c>
      <c r="AL435" t="s">
        <v>8298</v>
      </c>
      <c r="AM435" t="s">
        <v>225</v>
      </c>
      <c r="AN435" t="s">
        <v>8315</v>
      </c>
      <c r="AO435" t="s">
        <v>8316</v>
      </c>
      <c r="AP435" t="s">
        <v>8317</v>
      </c>
      <c r="AQ435" t="s">
        <v>8318</v>
      </c>
      <c r="AR435" t="s">
        <v>8319</v>
      </c>
      <c r="AS435" t="s">
        <v>74</v>
      </c>
      <c r="AT435" t="s">
        <v>74</v>
      </c>
      <c r="AU435">
        <v>2010</v>
      </c>
      <c r="AV435" t="s">
        <v>74</v>
      </c>
      <c r="AW435" t="s">
        <v>74</v>
      </c>
      <c r="AX435" t="s">
        <v>74</v>
      </c>
      <c r="AY435" t="s">
        <v>74</v>
      </c>
      <c r="AZ435" t="s">
        <v>74</v>
      </c>
      <c r="BA435" t="s">
        <v>74</v>
      </c>
      <c r="BB435">
        <v>308</v>
      </c>
      <c r="BC435">
        <v>315</v>
      </c>
      <c r="BD435" t="s">
        <v>74</v>
      </c>
      <c r="BE435" t="s">
        <v>8320</v>
      </c>
      <c r="BF435" t="str">
        <f>HYPERLINK("http://dx.doi.org/10.1109/ROBOT.2010.5509224","http://dx.doi.org/10.1109/ROBOT.2010.5509224")</f>
        <v>http://dx.doi.org/10.1109/ROBOT.2010.5509224</v>
      </c>
      <c r="BG435" t="s">
        <v>74</v>
      </c>
      <c r="BH435" t="s">
        <v>74</v>
      </c>
      <c r="BI435">
        <v>8</v>
      </c>
      <c r="BJ435" t="s">
        <v>8321</v>
      </c>
      <c r="BK435" t="s">
        <v>8281</v>
      </c>
      <c r="BL435" t="s">
        <v>8322</v>
      </c>
      <c r="BM435" t="s">
        <v>8323</v>
      </c>
      <c r="BN435" t="s">
        <v>74</v>
      </c>
      <c r="BO435" t="s">
        <v>74</v>
      </c>
      <c r="BP435" t="s">
        <v>74</v>
      </c>
      <c r="BQ435" t="s">
        <v>74</v>
      </c>
      <c r="BR435" t="s">
        <v>105</v>
      </c>
      <c r="BS435" t="s">
        <v>8324</v>
      </c>
      <c r="BT435" t="str">
        <f>HYPERLINK("https%3A%2F%2Fwww.webofscience.com%2Fwos%2Fwoscc%2Ffull-record%2FWOS:000284150000100","View Full Record in Web of Science")</f>
        <v>View Full Record in Web of Science</v>
      </c>
    </row>
    <row r="436" spans="1:72" x14ac:dyDescent="0.15">
      <c r="A436" t="s">
        <v>8257</v>
      </c>
      <c r="B436" t="s">
        <v>8325</v>
      </c>
      <c r="C436" t="s">
        <v>74</v>
      </c>
      <c r="D436" t="s">
        <v>74</v>
      </c>
      <c r="E436" t="s">
        <v>8298</v>
      </c>
      <c r="F436" t="s">
        <v>8326</v>
      </c>
      <c r="G436" t="s">
        <v>74</v>
      </c>
      <c r="H436" t="s">
        <v>74</v>
      </c>
      <c r="I436" t="s">
        <v>8327</v>
      </c>
      <c r="J436" t="s">
        <v>8328</v>
      </c>
      <c r="K436" t="s">
        <v>8329</v>
      </c>
      <c r="L436" t="s">
        <v>74</v>
      </c>
      <c r="M436" t="s">
        <v>78</v>
      </c>
      <c r="N436" t="s">
        <v>8264</v>
      </c>
      <c r="O436" t="s">
        <v>8330</v>
      </c>
      <c r="P436" t="s">
        <v>8331</v>
      </c>
      <c r="Q436" t="s">
        <v>8332</v>
      </c>
      <c r="R436" t="s">
        <v>74</v>
      </c>
      <c r="S436" t="s">
        <v>74</v>
      </c>
      <c r="T436" t="s">
        <v>8333</v>
      </c>
      <c r="U436" t="s">
        <v>74</v>
      </c>
      <c r="V436" t="s">
        <v>8334</v>
      </c>
      <c r="W436" t="s">
        <v>8335</v>
      </c>
      <c r="X436" t="s">
        <v>8336</v>
      </c>
      <c r="Y436" t="s">
        <v>8337</v>
      </c>
      <c r="Z436" t="s">
        <v>74</v>
      </c>
      <c r="AA436" t="s">
        <v>74</v>
      </c>
      <c r="AB436" t="s">
        <v>8338</v>
      </c>
      <c r="AC436" t="s">
        <v>74</v>
      </c>
      <c r="AD436" t="s">
        <v>74</v>
      </c>
      <c r="AE436" t="s">
        <v>74</v>
      </c>
      <c r="AF436" t="s">
        <v>74</v>
      </c>
      <c r="AG436">
        <v>0</v>
      </c>
      <c r="AH436">
        <v>24</v>
      </c>
      <c r="AI436">
        <v>33</v>
      </c>
      <c r="AJ436">
        <v>0</v>
      </c>
      <c r="AK436">
        <v>22</v>
      </c>
      <c r="AL436" t="s">
        <v>8298</v>
      </c>
      <c r="AM436" t="s">
        <v>225</v>
      </c>
      <c r="AN436" t="s">
        <v>8315</v>
      </c>
      <c r="AO436" t="s">
        <v>8339</v>
      </c>
      <c r="AP436" t="s">
        <v>74</v>
      </c>
      <c r="AQ436" t="s">
        <v>8340</v>
      </c>
      <c r="AR436" t="s">
        <v>8341</v>
      </c>
      <c r="AS436" t="s">
        <v>74</v>
      </c>
      <c r="AT436" t="s">
        <v>74</v>
      </c>
      <c r="AU436">
        <v>2010</v>
      </c>
      <c r="AV436" t="s">
        <v>74</v>
      </c>
      <c r="AW436" t="s">
        <v>74</v>
      </c>
      <c r="AX436" t="s">
        <v>74</v>
      </c>
      <c r="AY436" t="s">
        <v>74</v>
      </c>
      <c r="AZ436" t="s">
        <v>74</v>
      </c>
      <c r="BA436" t="s">
        <v>74</v>
      </c>
      <c r="BB436">
        <v>1918</v>
      </c>
      <c r="BC436" t="s">
        <v>1802</v>
      </c>
      <c r="BD436" t="s">
        <v>74</v>
      </c>
      <c r="BE436" t="s">
        <v>8342</v>
      </c>
      <c r="BF436" t="str">
        <f>HYPERLINK("http://dx.doi.org/10.1109/IGARSS.2010.5650555","http://dx.doi.org/10.1109/IGARSS.2010.5650555")</f>
        <v>http://dx.doi.org/10.1109/IGARSS.2010.5650555</v>
      </c>
      <c r="BG436" t="s">
        <v>74</v>
      </c>
      <c r="BH436" t="s">
        <v>74</v>
      </c>
      <c r="BI436">
        <v>2</v>
      </c>
      <c r="BJ436" t="s">
        <v>8343</v>
      </c>
      <c r="BK436" t="s">
        <v>8281</v>
      </c>
      <c r="BL436" t="s">
        <v>8344</v>
      </c>
      <c r="BM436" t="s">
        <v>8345</v>
      </c>
      <c r="BN436" t="s">
        <v>74</v>
      </c>
      <c r="BO436" t="s">
        <v>74</v>
      </c>
      <c r="BP436" t="s">
        <v>74</v>
      </c>
      <c r="BQ436" t="s">
        <v>74</v>
      </c>
      <c r="BR436" t="s">
        <v>105</v>
      </c>
      <c r="BS436" t="s">
        <v>8346</v>
      </c>
      <c r="BT436" t="str">
        <f>HYPERLINK("https%3A%2F%2Fwww.webofscience.com%2Fwos%2Fwoscc%2Ffull-record%2FWOS:000287933802016","View Full Record in Web of Science")</f>
        <v>View Full Record in Web of Science</v>
      </c>
    </row>
    <row r="437" spans="1:72" x14ac:dyDescent="0.15">
      <c r="A437" t="s">
        <v>8257</v>
      </c>
      <c r="B437" t="s">
        <v>8347</v>
      </c>
      <c r="C437" t="s">
        <v>74</v>
      </c>
      <c r="D437" t="s">
        <v>74</v>
      </c>
      <c r="E437" t="s">
        <v>8298</v>
      </c>
      <c r="F437" t="s">
        <v>8348</v>
      </c>
      <c r="G437" t="s">
        <v>74</v>
      </c>
      <c r="H437" t="s">
        <v>74</v>
      </c>
      <c r="I437" t="s">
        <v>8349</v>
      </c>
      <c r="J437" t="s">
        <v>8328</v>
      </c>
      <c r="K437" t="s">
        <v>8329</v>
      </c>
      <c r="L437" t="s">
        <v>74</v>
      </c>
      <c r="M437" t="s">
        <v>78</v>
      </c>
      <c r="N437" t="s">
        <v>8264</v>
      </c>
      <c r="O437" t="s">
        <v>8350</v>
      </c>
      <c r="P437" t="s">
        <v>8331</v>
      </c>
      <c r="Q437" t="s">
        <v>8332</v>
      </c>
      <c r="R437" t="s">
        <v>74</v>
      </c>
      <c r="S437" t="s">
        <v>74</v>
      </c>
      <c r="T437" t="s">
        <v>8351</v>
      </c>
      <c r="U437" t="s">
        <v>74</v>
      </c>
      <c r="V437" t="s">
        <v>8352</v>
      </c>
      <c r="W437" t="s">
        <v>8353</v>
      </c>
      <c r="X437" t="s">
        <v>8354</v>
      </c>
      <c r="Y437" t="s">
        <v>8355</v>
      </c>
      <c r="Z437" t="s">
        <v>74</v>
      </c>
      <c r="AA437" t="s">
        <v>8356</v>
      </c>
      <c r="AB437" t="s">
        <v>8357</v>
      </c>
      <c r="AC437" t="s">
        <v>74</v>
      </c>
      <c r="AD437" t="s">
        <v>74</v>
      </c>
      <c r="AE437" t="s">
        <v>74</v>
      </c>
      <c r="AF437" t="s">
        <v>74</v>
      </c>
      <c r="AG437">
        <v>5</v>
      </c>
      <c r="AH437">
        <v>1</v>
      </c>
      <c r="AI437">
        <v>5</v>
      </c>
      <c r="AJ437">
        <v>0</v>
      </c>
      <c r="AK437">
        <v>1</v>
      </c>
      <c r="AL437" t="s">
        <v>8298</v>
      </c>
      <c r="AM437" t="s">
        <v>225</v>
      </c>
      <c r="AN437" t="s">
        <v>8315</v>
      </c>
      <c r="AO437" t="s">
        <v>74</v>
      </c>
      <c r="AP437" t="s">
        <v>74</v>
      </c>
      <c r="AQ437" t="s">
        <v>8340</v>
      </c>
      <c r="AR437" t="s">
        <v>8341</v>
      </c>
      <c r="AS437" t="s">
        <v>74</v>
      </c>
      <c r="AT437" t="s">
        <v>74</v>
      </c>
      <c r="AU437">
        <v>2010</v>
      </c>
      <c r="AV437" t="s">
        <v>74</v>
      </c>
      <c r="AW437" t="s">
        <v>74</v>
      </c>
      <c r="AX437" t="s">
        <v>74</v>
      </c>
      <c r="AY437" t="s">
        <v>74</v>
      </c>
      <c r="AZ437" t="s">
        <v>74</v>
      </c>
      <c r="BA437" t="s">
        <v>74</v>
      </c>
      <c r="BB437">
        <v>2394</v>
      </c>
      <c r="BC437">
        <v>2397</v>
      </c>
      <c r="BD437" t="s">
        <v>74</v>
      </c>
      <c r="BE437" t="s">
        <v>8358</v>
      </c>
      <c r="BF437" t="str">
        <f>HYPERLINK("http://dx.doi.org/10.1109/IGARSS.2010.5652882","http://dx.doi.org/10.1109/IGARSS.2010.5652882")</f>
        <v>http://dx.doi.org/10.1109/IGARSS.2010.5652882</v>
      </c>
      <c r="BG437" t="s">
        <v>74</v>
      </c>
      <c r="BH437" t="s">
        <v>74</v>
      </c>
      <c r="BI437">
        <v>4</v>
      </c>
      <c r="BJ437" t="s">
        <v>8343</v>
      </c>
      <c r="BK437" t="s">
        <v>8281</v>
      </c>
      <c r="BL437" t="s">
        <v>8344</v>
      </c>
      <c r="BM437" t="s">
        <v>8345</v>
      </c>
      <c r="BN437" t="s">
        <v>74</v>
      </c>
      <c r="BO437" t="s">
        <v>555</v>
      </c>
      <c r="BP437" t="s">
        <v>74</v>
      </c>
      <c r="BQ437" t="s">
        <v>74</v>
      </c>
      <c r="BR437" t="s">
        <v>105</v>
      </c>
      <c r="BS437" t="s">
        <v>8359</v>
      </c>
      <c r="BT437" t="str">
        <f>HYPERLINK("https%3A%2F%2Fwww.webofscience.com%2Fwos%2Fwoscc%2Ffull-record%2FWOS:000287933802138","View Full Record in Web of Science")</f>
        <v>View Full Record in Web of Science</v>
      </c>
    </row>
    <row r="438" spans="1:72" x14ac:dyDescent="0.15">
      <c r="A438" t="s">
        <v>8257</v>
      </c>
      <c r="B438" t="s">
        <v>8360</v>
      </c>
      <c r="C438" t="s">
        <v>74</v>
      </c>
      <c r="D438" t="s">
        <v>74</v>
      </c>
      <c r="E438" t="s">
        <v>8298</v>
      </c>
      <c r="F438" t="s">
        <v>8361</v>
      </c>
      <c r="G438" t="s">
        <v>74</v>
      </c>
      <c r="H438" t="s">
        <v>74</v>
      </c>
      <c r="I438" t="s">
        <v>8362</v>
      </c>
      <c r="J438" t="s">
        <v>8328</v>
      </c>
      <c r="K438" t="s">
        <v>8329</v>
      </c>
      <c r="L438" t="s">
        <v>74</v>
      </c>
      <c r="M438" t="s">
        <v>78</v>
      </c>
      <c r="N438" t="s">
        <v>8264</v>
      </c>
      <c r="O438" t="s">
        <v>8330</v>
      </c>
      <c r="P438" t="s">
        <v>8331</v>
      </c>
      <c r="Q438" t="s">
        <v>8332</v>
      </c>
      <c r="R438" t="s">
        <v>74</v>
      </c>
      <c r="S438" t="s">
        <v>74</v>
      </c>
      <c r="T438" t="s">
        <v>8363</v>
      </c>
      <c r="U438" t="s">
        <v>74</v>
      </c>
      <c r="V438" t="s">
        <v>8364</v>
      </c>
      <c r="W438" t="s">
        <v>8365</v>
      </c>
      <c r="X438" t="s">
        <v>8366</v>
      </c>
      <c r="Y438" t="s">
        <v>8367</v>
      </c>
      <c r="Z438" t="s">
        <v>8368</v>
      </c>
      <c r="AA438" t="s">
        <v>8369</v>
      </c>
      <c r="AB438" t="s">
        <v>74</v>
      </c>
      <c r="AC438" t="s">
        <v>74</v>
      </c>
      <c r="AD438" t="s">
        <v>74</v>
      </c>
      <c r="AE438" t="s">
        <v>74</v>
      </c>
      <c r="AF438" t="s">
        <v>74</v>
      </c>
      <c r="AG438">
        <v>5</v>
      </c>
      <c r="AH438">
        <v>4</v>
      </c>
      <c r="AI438">
        <v>4</v>
      </c>
      <c r="AJ438">
        <v>0</v>
      </c>
      <c r="AK438">
        <v>3</v>
      </c>
      <c r="AL438" t="s">
        <v>8298</v>
      </c>
      <c r="AM438" t="s">
        <v>225</v>
      </c>
      <c r="AN438" t="s">
        <v>8315</v>
      </c>
      <c r="AO438" t="s">
        <v>8339</v>
      </c>
      <c r="AP438" t="s">
        <v>74</v>
      </c>
      <c r="AQ438" t="s">
        <v>8340</v>
      </c>
      <c r="AR438" t="s">
        <v>8341</v>
      </c>
      <c r="AS438" t="s">
        <v>74</v>
      </c>
      <c r="AT438" t="s">
        <v>74</v>
      </c>
      <c r="AU438">
        <v>2010</v>
      </c>
      <c r="AV438" t="s">
        <v>74</v>
      </c>
      <c r="AW438" t="s">
        <v>74</v>
      </c>
      <c r="AX438" t="s">
        <v>74</v>
      </c>
      <c r="AY438" t="s">
        <v>74</v>
      </c>
      <c r="AZ438" t="s">
        <v>74</v>
      </c>
      <c r="BA438" t="s">
        <v>74</v>
      </c>
      <c r="BB438">
        <v>2614</v>
      </c>
      <c r="BC438">
        <v>2617</v>
      </c>
      <c r="BD438" t="s">
        <v>74</v>
      </c>
      <c r="BE438" t="s">
        <v>8370</v>
      </c>
      <c r="BF438" t="str">
        <f>HYPERLINK("http://dx.doi.org/10.1109/IGARSS.2010.5648995","http://dx.doi.org/10.1109/IGARSS.2010.5648995")</f>
        <v>http://dx.doi.org/10.1109/IGARSS.2010.5648995</v>
      </c>
      <c r="BG438" t="s">
        <v>74</v>
      </c>
      <c r="BH438" t="s">
        <v>74</v>
      </c>
      <c r="BI438">
        <v>4</v>
      </c>
      <c r="BJ438" t="s">
        <v>8343</v>
      </c>
      <c r="BK438" t="s">
        <v>8281</v>
      </c>
      <c r="BL438" t="s">
        <v>8344</v>
      </c>
      <c r="BM438" t="s">
        <v>8345</v>
      </c>
      <c r="BN438" t="s">
        <v>74</v>
      </c>
      <c r="BO438" t="s">
        <v>74</v>
      </c>
      <c r="BP438" t="s">
        <v>74</v>
      </c>
      <c r="BQ438" t="s">
        <v>74</v>
      </c>
      <c r="BR438" t="s">
        <v>105</v>
      </c>
      <c r="BS438" t="s">
        <v>8371</v>
      </c>
      <c r="BT438" t="str">
        <f>HYPERLINK("https%3A%2F%2Fwww.webofscience.com%2Fwos%2Fwoscc%2Ffull-record%2FWOS:000287933802195","View Full Record in Web of Science")</f>
        <v>View Full Record in Web of Science</v>
      </c>
    </row>
    <row r="439" spans="1:72" x14ac:dyDescent="0.15">
      <c r="A439" t="s">
        <v>8257</v>
      </c>
      <c r="B439" t="s">
        <v>8372</v>
      </c>
      <c r="C439" t="s">
        <v>74</v>
      </c>
      <c r="D439" t="s">
        <v>74</v>
      </c>
      <c r="E439" t="s">
        <v>8298</v>
      </c>
      <c r="F439" t="s">
        <v>8373</v>
      </c>
      <c r="G439" t="s">
        <v>74</v>
      </c>
      <c r="H439" t="s">
        <v>74</v>
      </c>
      <c r="I439" t="s">
        <v>8374</v>
      </c>
      <c r="J439" t="s">
        <v>8328</v>
      </c>
      <c r="K439" t="s">
        <v>8329</v>
      </c>
      <c r="L439" t="s">
        <v>74</v>
      </c>
      <c r="M439" t="s">
        <v>78</v>
      </c>
      <c r="N439" t="s">
        <v>8264</v>
      </c>
      <c r="O439" t="s">
        <v>8330</v>
      </c>
      <c r="P439" t="s">
        <v>8331</v>
      </c>
      <c r="Q439" t="s">
        <v>8332</v>
      </c>
      <c r="R439" t="s">
        <v>74</v>
      </c>
      <c r="S439" t="s">
        <v>74</v>
      </c>
      <c r="T439" t="s">
        <v>8375</v>
      </c>
      <c r="U439" t="s">
        <v>74</v>
      </c>
      <c r="V439" t="s">
        <v>8376</v>
      </c>
      <c r="W439" t="s">
        <v>8377</v>
      </c>
      <c r="X439" t="s">
        <v>8378</v>
      </c>
      <c r="Y439" t="s">
        <v>8379</v>
      </c>
      <c r="Z439" t="s">
        <v>74</v>
      </c>
      <c r="AA439" t="s">
        <v>8380</v>
      </c>
      <c r="AB439" t="s">
        <v>8381</v>
      </c>
      <c r="AC439" t="s">
        <v>8382</v>
      </c>
      <c r="AD439" t="s">
        <v>8383</v>
      </c>
      <c r="AE439" t="s">
        <v>8384</v>
      </c>
      <c r="AF439" t="s">
        <v>74</v>
      </c>
      <c r="AG439">
        <v>6</v>
      </c>
      <c r="AH439">
        <v>6</v>
      </c>
      <c r="AI439">
        <v>6</v>
      </c>
      <c r="AJ439">
        <v>0</v>
      </c>
      <c r="AK439">
        <v>1</v>
      </c>
      <c r="AL439" t="s">
        <v>8298</v>
      </c>
      <c r="AM439" t="s">
        <v>225</v>
      </c>
      <c r="AN439" t="s">
        <v>8315</v>
      </c>
      <c r="AO439" t="s">
        <v>8339</v>
      </c>
      <c r="AP439" t="s">
        <v>74</v>
      </c>
      <c r="AQ439" t="s">
        <v>8340</v>
      </c>
      <c r="AR439" t="s">
        <v>8341</v>
      </c>
      <c r="AS439" t="s">
        <v>74</v>
      </c>
      <c r="AT439" t="s">
        <v>74</v>
      </c>
      <c r="AU439">
        <v>2010</v>
      </c>
      <c r="AV439" t="s">
        <v>74</v>
      </c>
      <c r="AW439" t="s">
        <v>74</v>
      </c>
      <c r="AX439" t="s">
        <v>74</v>
      </c>
      <c r="AY439" t="s">
        <v>74</v>
      </c>
      <c r="AZ439" t="s">
        <v>74</v>
      </c>
      <c r="BA439" t="s">
        <v>74</v>
      </c>
      <c r="BB439">
        <v>2884</v>
      </c>
      <c r="BC439">
        <v>2887</v>
      </c>
      <c r="BD439" t="s">
        <v>74</v>
      </c>
      <c r="BE439" t="s">
        <v>8385</v>
      </c>
      <c r="BF439" t="str">
        <f>HYPERLINK("http://dx.doi.org/10.1109/IGARSS.2010.5653162","http://dx.doi.org/10.1109/IGARSS.2010.5653162")</f>
        <v>http://dx.doi.org/10.1109/IGARSS.2010.5653162</v>
      </c>
      <c r="BG439" t="s">
        <v>74</v>
      </c>
      <c r="BH439" t="s">
        <v>74</v>
      </c>
      <c r="BI439">
        <v>4</v>
      </c>
      <c r="BJ439" t="s">
        <v>8343</v>
      </c>
      <c r="BK439" t="s">
        <v>8281</v>
      </c>
      <c r="BL439" t="s">
        <v>8344</v>
      </c>
      <c r="BM439" t="s">
        <v>8345</v>
      </c>
      <c r="BN439" t="s">
        <v>74</v>
      </c>
      <c r="BO439" t="s">
        <v>480</v>
      </c>
      <c r="BP439" t="s">
        <v>74</v>
      </c>
      <c r="BQ439" t="s">
        <v>74</v>
      </c>
      <c r="BR439" t="s">
        <v>105</v>
      </c>
      <c r="BS439" t="s">
        <v>8386</v>
      </c>
      <c r="BT439" t="str">
        <f>HYPERLINK("https%3A%2F%2Fwww.webofscience.com%2Fwos%2Fwoscc%2Ffull-record%2FWOS:000287933803008","View Full Record in Web of Science")</f>
        <v>View Full Record in Web of Science</v>
      </c>
    </row>
    <row r="440" spans="1:72" x14ac:dyDescent="0.15">
      <c r="A440" t="s">
        <v>8257</v>
      </c>
      <c r="B440" t="s">
        <v>8387</v>
      </c>
      <c r="C440" t="s">
        <v>74</v>
      </c>
      <c r="D440" t="s">
        <v>74</v>
      </c>
      <c r="E440" t="s">
        <v>8298</v>
      </c>
      <c r="F440" t="s">
        <v>8388</v>
      </c>
      <c r="G440" t="s">
        <v>74</v>
      </c>
      <c r="H440" t="s">
        <v>74</v>
      </c>
      <c r="I440" t="s">
        <v>8389</v>
      </c>
      <c r="J440" t="s">
        <v>8328</v>
      </c>
      <c r="K440" t="s">
        <v>8329</v>
      </c>
      <c r="L440" t="s">
        <v>74</v>
      </c>
      <c r="M440" t="s">
        <v>78</v>
      </c>
      <c r="N440" t="s">
        <v>8264</v>
      </c>
      <c r="O440" t="s">
        <v>8330</v>
      </c>
      <c r="P440" t="s">
        <v>8331</v>
      </c>
      <c r="Q440" t="s">
        <v>8332</v>
      </c>
      <c r="R440" t="s">
        <v>74</v>
      </c>
      <c r="S440" t="s">
        <v>74</v>
      </c>
      <c r="T440" t="s">
        <v>8390</v>
      </c>
      <c r="U440" t="s">
        <v>74</v>
      </c>
      <c r="V440" t="s">
        <v>8391</v>
      </c>
      <c r="W440" t="s">
        <v>8392</v>
      </c>
      <c r="X440" t="s">
        <v>8393</v>
      </c>
      <c r="Y440" t="s">
        <v>8394</v>
      </c>
      <c r="Z440" t="s">
        <v>74</v>
      </c>
      <c r="AA440" t="s">
        <v>8395</v>
      </c>
      <c r="AB440" t="s">
        <v>74</v>
      </c>
      <c r="AC440" t="s">
        <v>8396</v>
      </c>
      <c r="AD440" t="s">
        <v>8397</v>
      </c>
      <c r="AE440" t="s">
        <v>8398</v>
      </c>
      <c r="AF440" t="s">
        <v>74</v>
      </c>
      <c r="AG440">
        <v>7</v>
      </c>
      <c r="AH440">
        <v>9</v>
      </c>
      <c r="AI440">
        <v>14</v>
      </c>
      <c r="AJ440">
        <v>0</v>
      </c>
      <c r="AK440">
        <v>5</v>
      </c>
      <c r="AL440" t="s">
        <v>8298</v>
      </c>
      <c r="AM440" t="s">
        <v>225</v>
      </c>
      <c r="AN440" t="s">
        <v>8315</v>
      </c>
      <c r="AO440" t="s">
        <v>8339</v>
      </c>
      <c r="AP440" t="s">
        <v>74</v>
      </c>
      <c r="AQ440" t="s">
        <v>8340</v>
      </c>
      <c r="AR440" t="s">
        <v>8341</v>
      </c>
      <c r="AS440" t="s">
        <v>74</v>
      </c>
      <c r="AT440" t="s">
        <v>74</v>
      </c>
      <c r="AU440">
        <v>2010</v>
      </c>
      <c r="AV440" t="s">
        <v>74</v>
      </c>
      <c r="AW440" t="s">
        <v>74</v>
      </c>
      <c r="AX440" t="s">
        <v>74</v>
      </c>
      <c r="AY440" t="s">
        <v>74</v>
      </c>
      <c r="AZ440" t="s">
        <v>74</v>
      </c>
      <c r="BA440" t="s">
        <v>74</v>
      </c>
      <c r="BB440">
        <v>3130</v>
      </c>
      <c r="BC440">
        <v>3133</v>
      </c>
      <c r="BD440" t="s">
        <v>74</v>
      </c>
      <c r="BE440" t="s">
        <v>8399</v>
      </c>
      <c r="BF440" t="str">
        <f>HYPERLINK("http://dx.doi.org/10.1109/IGARSS.2010.5654342","http://dx.doi.org/10.1109/IGARSS.2010.5654342")</f>
        <v>http://dx.doi.org/10.1109/IGARSS.2010.5654342</v>
      </c>
      <c r="BG440" t="s">
        <v>74</v>
      </c>
      <c r="BH440" t="s">
        <v>74</v>
      </c>
      <c r="BI440">
        <v>4</v>
      </c>
      <c r="BJ440" t="s">
        <v>8343</v>
      </c>
      <c r="BK440" t="s">
        <v>8281</v>
      </c>
      <c r="BL440" t="s">
        <v>8344</v>
      </c>
      <c r="BM440" t="s">
        <v>8345</v>
      </c>
      <c r="BN440" t="s">
        <v>74</v>
      </c>
      <c r="BO440" t="s">
        <v>74</v>
      </c>
      <c r="BP440" t="s">
        <v>74</v>
      </c>
      <c r="BQ440" t="s">
        <v>74</v>
      </c>
      <c r="BR440" t="s">
        <v>105</v>
      </c>
      <c r="BS440" t="s">
        <v>8400</v>
      </c>
      <c r="BT440" t="str">
        <f>HYPERLINK("https%3A%2F%2Fwww.webofscience.com%2Fwos%2Fwoscc%2Ffull-record%2FWOS:000287933803070","View Full Record in Web of Science")</f>
        <v>View Full Record in Web of Science</v>
      </c>
    </row>
    <row r="441" spans="1:72" x14ac:dyDescent="0.15">
      <c r="A441" t="s">
        <v>8257</v>
      </c>
      <c r="B441" t="s">
        <v>8401</v>
      </c>
      <c r="C441" t="s">
        <v>74</v>
      </c>
      <c r="D441" t="s">
        <v>74</v>
      </c>
      <c r="E441" t="s">
        <v>8298</v>
      </c>
      <c r="F441" t="s">
        <v>8402</v>
      </c>
      <c r="G441" t="s">
        <v>74</v>
      </c>
      <c r="H441" t="s">
        <v>74</v>
      </c>
      <c r="I441" t="s">
        <v>8403</v>
      </c>
      <c r="J441" t="s">
        <v>8328</v>
      </c>
      <c r="K441" t="s">
        <v>8329</v>
      </c>
      <c r="L441" t="s">
        <v>74</v>
      </c>
      <c r="M441" t="s">
        <v>78</v>
      </c>
      <c r="N441" t="s">
        <v>8264</v>
      </c>
      <c r="O441" t="s">
        <v>8350</v>
      </c>
      <c r="P441" t="s">
        <v>8331</v>
      </c>
      <c r="Q441" t="s">
        <v>8332</v>
      </c>
      <c r="R441" t="s">
        <v>74</v>
      </c>
      <c r="S441" t="s">
        <v>74</v>
      </c>
      <c r="T441" t="s">
        <v>8404</v>
      </c>
      <c r="U441" t="s">
        <v>74</v>
      </c>
      <c r="V441" t="s">
        <v>8405</v>
      </c>
      <c r="W441" t="s">
        <v>8406</v>
      </c>
      <c r="X441" t="s">
        <v>8407</v>
      </c>
      <c r="Y441" t="s">
        <v>8408</v>
      </c>
      <c r="Z441" t="s">
        <v>74</v>
      </c>
      <c r="AA441" t="s">
        <v>74</v>
      </c>
      <c r="AB441" t="s">
        <v>74</v>
      </c>
      <c r="AC441" t="s">
        <v>74</v>
      </c>
      <c r="AD441" t="s">
        <v>74</v>
      </c>
      <c r="AE441" t="s">
        <v>74</v>
      </c>
      <c r="AF441" t="s">
        <v>74</v>
      </c>
      <c r="AG441">
        <v>5</v>
      </c>
      <c r="AH441">
        <v>0</v>
      </c>
      <c r="AI441">
        <v>0</v>
      </c>
      <c r="AJ441">
        <v>0</v>
      </c>
      <c r="AK441">
        <v>2</v>
      </c>
      <c r="AL441" t="s">
        <v>8298</v>
      </c>
      <c r="AM441" t="s">
        <v>225</v>
      </c>
      <c r="AN441" t="s">
        <v>8315</v>
      </c>
      <c r="AO441" t="s">
        <v>74</v>
      </c>
      <c r="AP441" t="s">
        <v>74</v>
      </c>
      <c r="AQ441" t="s">
        <v>8340</v>
      </c>
      <c r="AR441" t="s">
        <v>8341</v>
      </c>
      <c r="AS441" t="s">
        <v>74</v>
      </c>
      <c r="AT441" t="s">
        <v>74</v>
      </c>
      <c r="AU441">
        <v>2010</v>
      </c>
      <c r="AV441" t="s">
        <v>74</v>
      </c>
      <c r="AW441" t="s">
        <v>74</v>
      </c>
      <c r="AX441" t="s">
        <v>74</v>
      </c>
      <c r="AY441" t="s">
        <v>74</v>
      </c>
      <c r="AZ441" t="s">
        <v>74</v>
      </c>
      <c r="BA441" t="s">
        <v>74</v>
      </c>
      <c r="BB441">
        <v>3358</v>
      </c>
      <c r="BC441">
        <v>3361</v>
      </c>
      <c r="BD441" t="s">
        <v>74</v>
      </c>
      <c r="BE441" t="s">
        <v>8409</v>
      </c>
      <c r="BF441" t="str">
        <f>HYPERLINK("http://dx.doi.org/10.1109/IGARSS.2010.5651272","http://dx.doi.org/10.1109/IGARSS.2010.5651272")</f>
        <v>http://dx.doi.org/10.1109/IGARSS.2010.5651272</v>
      </c>
      <c r="BG441" t="s">
        <v>74</v>
      </c>
      <c r="BH441" t="s">
        <v>74</v>
      </c>
      <c r="BI441">
        <v>4</v>
      </c>
      <c r="BJ441" t="s">
        <v>8343</v>
      </c>
      <c r="BK441" t="s">
        <v>8281</v>
      </c>
      <c r="BL441" t="s">
        <v>8344</v>
      </c>
      <c r="BM441" t="s">
        <v>8345</v>
      </c>
      <c r="BN441" t="s">
        <v>74</v>
      </c>
      <c r="BO441" t="s">
        <v>555</v>
      </c>
      <c r="BP441" t="s">
        <v>74</v>
      </c>
      <c r="BQ441" t="s">
        <v>74</v>
      </c>
      <c r="BR441" t="s">
        <v>105</v>
      </c>
      <c r="BS441" t="s">
        <v>8410</v>
      </c>
      <c r="BT441" t="str">
        <f>HYPERLINK("https%3A%2F%2Fwww.webofscience.com%2Fwos%2Fwoscc%2Ffull-record%2FWOS:000287933803128","View Full Record in Web of Science")</f>
        <v>View Full Record in Web of Science</v>
      </c>
    </row>
    <row r="442" spans="1:72" x14ac:dyDescent="0.15">
      <c r="A442" t="s">
        <v>8257</v>
      </c>
      <c r="B442" t="s">
        <v>8411</v>
      </c>
      <c r="C442" t="s">
        <v>74</v>
      </c>
      <c r="D442" t="s">
        <v>74</v>
      </c>
      <c r="E442" t="s">
        <v>8298</v>
      </c>
      <c r="F442" t="s">
        <v>8412</v>
      </c>
      <c r="G442" t="s">
        <v>74</v>
      </c>
      <c r="H442" t="s">
        <v>74</v>
      </c>
      <c r="I442" t="s">
        <v>8413</v>
      </c>
      <c r="J442" t="s">
        <v>8328</v>
      </c>
      <c r="K442" t="s">
        <v>8329</v>
      </c>
      <c r="L442" t="s">
        <v>74</v>
      </c>
      <c r="M442" t="s">
        <v>78</v>
      </c>
      <c r="N442" t="s">
        <v>8264</v>
      </c>
      <c r="O442" t="s">
        <v>8330</v>
      </c>
      <c r="P442" t="s">
        <v>8331</v>
      </c>
      <c r="Q442" t="s">
        <v>8332</v>
      </c>
      <c r="R442" t="s">
        <v>74</v>
      </c>
      <c r="S442" t="s">
        <v>74</v>
      </c>
      <c r="T442" t="s">
        <v>8414</v>
      </c>
      <c r="U442" t="s">
        <v>8415</v>
      </c>
      <c r="V442" t="s">
        <v>8416</v>
      </c>
      <c r="W442" t="s">
        <v>8417</v>
      </c>
      <c r="X442" t="s">
        <v>8418</v>
      </c>
      <c r="Y442" t="s">
        <v>8419</v>
      </c>
      <c r="Z442" t="s">
        <v>74</v>
      </c>
      <c r="AA442" t="s">
        <v>8420</v>
      </c>
      <c r="AB442" t="s">
        <v>8421</v>
      </c>
      <c r="AC442" t="s">
        <v>74</v>
      </c>
      <c r="AD442" t="s">
        <v>74</v>
      </c>
      <c r="AE442" t="s">
        <v>74</v>
      </c>
      <c r="AF442" t="s">
        <v>74</v>
      </c>
      <c r="AG442">
        <v>6</v>
      </c>
      <c r="AH442">
        <v>0</v>
      </c>
      <c r="AI442">
        <v>0</v>
      </c>
      <c r="AJ442">
        <v>0</v>
      </c>
      <c r="AK442">
        <v>5</v>
      </c>
      <c r="AL442" t="s">
        <v>8298</v>
      </c>
      <c r="AM442" t="s">
        <v>225</v>
      </c>
      <c r="AN442" t="s">
        <v>8315</v>
      </c>
      <c r="AO442" t="s">
        <v>74</v>
      </c>
      <c r="AP442" t="s">
        <v>74</v>
      </c>
      <c r="AQ442" t="s">
        <v>8340</v>
      </c>
      <c r="AR442" t="s">
        <v>8341</v>
      </c>
      <c r="AS442" t="s">
        <v>74</v>
      </c>
      <c r="AT442" t="s">
        <v>74</v>
      </c>
      <c r="AU442">
        <v>2010</v>
      </c>
      <c r="AV442" t="s">
        <v>74</v>
      </c>
      <c r="AW442" t="s">
        <v>74</v>
      </c>
      <c r="AX442" t="s">
        <v>74</v>
      </c>
      <c r="AY442" t="s">
        <v>74</v>
      </c>
      <c r="AZ442" t="s">
        <v>74</v>
      </c>
      <c r="BA442" t="s">
        <v>74</v>
      </c>
      <c r="BB442">
        <v>3636</v>
      </c>
      <c r="BC442">
        <v>3639</v>
      </c>
      <c r="BD442" t="s">
        <v>74</v>
      </c>
      <c r="BE442" t="s">
        <v>8422</v>
      </c>
      <c r="BF442" t="str">
        <f>HYPERLINK("http://dx.doi.org/10.1109/IGARSS.2010.5649989","http://dx.doi.org/10.1109/IGARSS.2010.5649989")</f>
        <v>http://dx.doi.org/10.1109/IGARSS.2010.5649989</v>
      </c>
      <c r="BG442" t="s">
        <v>74</v>
      </c>
      <c r="BH442" t="s">
        <v>74</v>
      </c>
      <c r="BI442">
        <v>4</v>
      </c>
      <c r="BJ442" t="s">
        <v>8343</v>
      </c>
      <c r="BK442" t="s">
        <v>8281</v>
      </c>
      <c r="BL442" t="s">
        <v>8344</v>
      </c>
      <c r="BM442" t="s">
        <v>8345</v>
      </c>
      <c r="BN442" t="s">
        <v>74</v>
      </c>
      <c r="BO442" t="s">
        <v>74</v>
      </c>
      <c r="BP442" t="s">
        <v>74</v>
      </c>
      <c r="BQ442" t="s">
        <v>74</v>
      </c>
      <c r="BR442" t="s">
        <v>105</v>
      </c>
      <c r="BS442" t="s">
        <v>8423</v>
      </c>
      <c r="BT442" t="str">
        <f>HYPERLINK("https%3A%2F%2Fwww.webofscience.com%2Fwos%2Fwoscc%2Ffull-record%2FWOS:000287933803198","View Full Record in Web of Science")</f>
        <v>View Full Record in Web of Science</v>
      </c>
    </row>
    <row r="443" spans="1:72" x14ac:dyDescent="0.15">
      <c r="A443" t="s">
        <v>8257</v>
      </c>
      <c r="B443" t="s">
        <v>8424</v>
      </c>
      <c r="C443" t="s">
        <v>74</v>
      </c>
      <c r="D443" t="s">
        <v>74</v>
      </c>
      <c r="E443" t="s">
        <v>8298</v>
      </c>
      <c r="F443" t="s">
        <v>8425</v>
      </c>
      <c r="G443" t="s">
        <v>74</v>
      </c>
      <c r="H443" t="s">
        <v>74</v>
      </c>
      <c r="I443" t="s">
        <v>8426</v>
      </c>
      <c r="J443" t="s">
        <v>8328</v>
      </c>
      <c r="K443" t="s">
        <v>8329</v>
      </c>
      <c r="L443" t="s">
        <v>74</v>
      </c>
      <c r="M443" t="s">
        <v>78</v>
      </c>
      <c r="N443" t="s">
        <v>8264</v>
      </c>
      <c r="O443" t="s">
        <v>8350</v>
      </c>
      <c r="P443" t="s">
        <v>8331</v>
      </c>
      <c r="Q443" t="s">
        <v>8332</v>
      </c>
      <c r="R443" t="s">
        <v>74</v>
      </c>
      <c r="S443" t="s">
        <v>74</v>
      </c>
      <c r="T443" t="s">
        <v>8427</v>
      </c>
      <c r="U443" t="s">
        <v>74</v>
      </c>
      <c r="V443" t="s">
        <v>8428</v>
      </c>
      <c r="W443" t="s">
        <v>8429</v>
      </c>
      <c r="X443" t="s">
        <v>8430</v>
      </c>
      <c r="Y443" t="s">
        <v>8431</v>
      </c>
      <c r="Z443" t="s">
        <v>74</v>
      </c>
      <c r="AA443" t="s">
        <v>74</v>
      </c>
      <c r="AB443" t="s">
        <v>74</v>
      </c>
      <c r="AC443" t="s">
        <v>74</v>
      </c>
      <c r="AD443" t="s">
        <v>74</v>
      </c>
      <c r="AE443" t="s">
        <v>74</v>
      </c>
      <c r="AF443" t="s">
        <v>74</v>
      </c>
      <c r="AG443">
        <v>4</v>
      </c>
      <c r="AH443">
        <v>1</v>
      </c>
      <c r="AI443">
        <v>2</v>
      </c>
      <c r="AJ443">
        <v>0</v>
      </c>
      <c r="AK443">
        <v>1</v>
      </c>
      <c r="AL443" t="s">
        <v>8298</v>
      </c>
      <c r="AM443" t="s">
        <v>225</v>
      </c>
      <c r="AN443" t="s">
        <v>8315</v>
      </c>
      <c r="AO443" t="s">
        <v>74</v>
      </c>
      <c r="AP443" t="s">
        <v>74</v>
      </c>
      <c r="AQ443" t="s">
        <v>8340</v>
      </c>
      <c r="AR443" t="s">
        <v>8341</v>
      </c>
      <c r="AS443" t="s">
        <v>74</v>
      </c>
      <c r="AT443" t="s">
        <v>74</v>
      </c>
      <c r="AU443">
        <v>2010</v>
      </c>
      <c r="AV443" t="s">
        <v>74</v>
      </c>
      <c r="AW443" t="s">
        <v>74</v>
      </c>
      <c r="AX443" t="s">
        <v>74</v>
      </c>
      <c r="AY443" t="s">
        <v>74</v>
      </c>
      <c r="AZ443" t="s">
        <v>74</v>
      </c>
      <c r="BA443" t="s">
        <v>74</v>
      </c>
      <c r="BB443">
        <v>4596</v>
      </c>
      <c r="BC443">
        <v>4599</v>
      </c>
      <c r="BD443" t="s">
        <v>74</v>
      </c>
      <c r="BE443" t="s">
        <v>8432</v>
      </c>
      <c r="BF443" t="str">
        <f>HYPERLINK("http://dx.doi.org/10.1109/IGARSS.2010.5653854","http://dx.doi.org/10.1109/IGARSS.2010.5653854")</f>
        <v>http://dx.doi.org/10.1109/IGARSS.2010.5653854</v>
      </c>
      <c r="BG443" t="s">
        <v>74</v>
      </c>
      <c r="BH443" t="s">
        <v>74</v>
      </c>
      <c r="BI443">
        <v>4</v>
      </c>
      <c r="BJ443" t="s">
        <v>8343</v>
      </c>
      <c r="BK443" t="s">
        <v>8281</v>
      </c>
      <c r="BL443" t="s">
        <v>8344</v>
      </c>
      <c r="BM443" t="s">
        <v>8345</v>
      </c>
      <c r="BN443" t="s">
        <v>74</v>
      </c>
      <c r="BO443" t="s">
        <v>74</v>
      </c>
      <c r="BP443" t="s">
        <v>74</v>
      </c>
      <c r="BQ443" t="s">
        <v>74</v>
      </c>
      <c r="BR443" t="s">
        <v>105</v>
      </c>
      <c r="BS443" t="s">
        <v>8433</v>
      </c>
      <c r="BT443" t="str">
        <f>HYPERLINK("https%3A%2F%2Fwww.webofscience.com%2Fwos%2Fwoscc%2Ffull-record%2FWOS:000287933804193","View Full Record in Web of Science")</f>
        <v>View Full Record in Web of Science</v>
      </c>
    </row>
    <row r="444" spans="1:72" x14ac:dyDescent="0.15">
      <c r="A444" t="s">
        <v>8257</v>
      </c>
      <c r="B444" t="s">
        <v>8434</v>
      </c>
      <c r="C444" t="s">
        <v>74</v>
      </c>
      <c r="D444" t="s">
        <v>8435</v>
      </c>
      <c r="E444" t="s">
        <v>74</v>
      </c>
      <c r="F444" t="s">
        <v>8436</v>
      </c>
      <c r="G444" t="s">
        <v>74</v>
      </c>
      <c r="H444" t="s">
        <v>74</v>
      </c>
      <c r="I444" t="s">
        <v>8437</v>
      </c>
      <c r="J444" t="s">
        <v>8438</v>
      </c>
      <c r="K444" t="s">
        <v>74</v>
      </c>
      <c r="L444" t="s">
        <v>74</v>
      </c>
      <c r="M444" t="s">
        <v>78</v>
      </c>
      <c r="N444" t="s">
        <v>8264</v>
      </c>
      <c r="O444" t="s">
        <v>8439</v>
      </c>
      <c r="P444" t="s">
        <v>8440</v>
      </c>
      <c r="Q444" t="s">
        <v>8441</v>
      </c>
      <c r="R444" t="s">
        <v>74</v>
      </c>
      <c r="S444" t="s">
        <v>74</v>
      </c>
      <c r="T444" t="s">
        <v>74</v>
      </c>
      <c r="U444" t="s">
        <v>74</v>
      </c>
      <c r="V444" t="s">
        <v>8442</v>
      </c>
      <c r="W444" t="s">
        <v>8443</v>
      </c>
      <c r="X444" t="s">
        <v>8444</v>
      </c>
      <c r="Y444" t="s">
        <v>8445</v>
      </c>
      <c r="Z444" t="s">
        <v>8446</v>
      </c>
      <c r="AA444" t="s">
        <v>8447</v>
      </c>
      <c r="AB444" t="s">
        <v>8448</v>
      </c>
      <c r="AC444" t="s">
        <v>8449</v>
      </c>
      <c r="AD444" t="s">
        <v>8450</v>
      </c>
      <c r="AE444" t="s">
        <v>8451</v>
      </c>
      <c r="AF444" t="s">
        <v>74</v>
      </c>
      <c r="AG444">
        <v>26</v>
      </c>
      <c r="AH444">
        <v>5</v>
      </c>
      <c r="AI444">
        <v>6</v>
      </c>
      <c r="AJ444">
        <v>0</v>
      </c>
      <c r="AK444">
        <v>0</v>
      </c>
      <c r="AL444" t="s">
        <v>8452</v>
      </c>
      <c r="AM444" t="s">
        <v>8453</v>
      </c>
      <c r="AN444" t="s">
        <v>8454</v>
      </c>
      <c r="AO444" t="s">
        <v>74</v>
      </c>
      <c r="AP444" t="s">
        <v>74</v>
      </c>
      <c r="AQ444" t="s">
        <v>8455</v>
      </c>
      <c r="AR444" t="s">
        <v>74</v>
      </c>
      <c r="AS444" t="s">
        <v>74</v>
      </c>
      <c r="AT444" t="s">
        <v>74</v>
      </c>
      <c r="AU444">
        <v>2010</v>
      </c>
      <c r="AV444" t="s">
        <v>74</v>
      </c>
      <c r="AW444" t="s">
        <v>74</v>
      </c>
      <c r="AX444" t="s">
        <v>74</v>
      </c>
      <c r="AY444" t="s">
        <v>74</v>
      </c>
      <c r="AZ444" t="s">
        <v>74</v>
      </c>
      <c r="BA444" t="s">
        <v>74</v>
      </c>
      <c r="BB444">
        <v>184</v>
      </c>
      <c r="BC444">
        <v>191</v>
      </c>
      <c r="BD444" t="s">
        <v>74</v>
      </c>
      <c r="BE444" t="s">
        <v>8456</v>
      </c>
      <c r="BF444" t="str">
        <f>HYPERLINK("http://dx.doi.org/10.1109/ASONAM.2010.57","http://dx.doi.org/10.1109/ASONAM.2010.57")</f>
        <v>http://dx.doi.org/10.1109/ASONAM.2010.57</v>
      </c>
      <c r="BG444" t="s">
        <v>74</v>
      </c>
      <c r="BH444" t="s">
        <v>74</v>
      </c>
      <c r="BI444">
        <v>8</v>
      </c>
      <c r="BJ444" t="s">
        <v>8457</v>
      </c>
      <c r="BK444" t="s">
        <v>8281</v>
      </c>
      <c r="BL444" t="s">
        <v>8458</v>
      </c>
      <c r="BM444" t="s">
        <v>8459</v>
      </c>
      <c r="BN444" t="s">
        <v>74</v>
      </c>
      <c r="BO444" t="s">
        <v>555</v>
      </c>
      <c r="BP444" t="s">
        <v>74</v>
      </c>
      <c r="BQ444" t="s">
        <v>74</v>
      </c>
      <c r="BR444" t="s">
        <v>105</v>
      </c>
      <c r="BS444" t="s">
        <v>8460</v>
      </c>
      <c r="BT444" t="str">
        <f>HYPERLINK("https%3A%2F%2Fwww.webofscience.com%2Fwos%2Fwoscc%2Ffull-record%2FWOS:000393301300024","View Full Record in Web of Science")</f>
        <v>View Full Record in Web of Science</v>
      </c>
    </row>
    <row r="445" spans="1:72" x14ac:dyDescent="0.15">
      <c r="A445" t="s">
        <v>8257</v>
      </c>
      <c r="B445" t="s">
        <v>8461</v>
      </c>
      <c r="C445" t="s">
        <v>74</v>
      </c>
      <c r="D445" t="s">
        <v>8462</v>
      </c>
      <c r="E445" t="s">
        <v>74</v>
      </c>
      <c r="F445" t="s">
        <v>8463</v>
      </c>
      <c r="G445" t="s">
        <v>74</v>
      </c>
      <c r="H445" t="s">
        <v>74</v>
      </c>
      <c r="I445" t="s">
        <v>8464</v>
      </c>
      <c r="J445" t="s">
        <v>8465</v>
      </c>
      <c r="K445" t="s">
        <v>74</v>
      </c>
      <c r="L445" t="s">
        <v>74</v>
      </c>
      <c r="M445" t="s">
        <v>8466</v>
      </c>
      <c r="N445" t="s">
        <v>8264</v>
      </c>
      <c r="O445" t="s">
        <v>8467</v>
      </c>
      <c r="P445" t="s">
        <v>8468</v>
      </c>
      <c r="Q445" t="s">
        <v>8469</v>
      </c>
      <c r="R445" t="s">
        <v>74</v>
      </c>
      <c r="S445" t="s">
        <v>74</v>
      </c>
      <c r="T445" t="s">
        <v>8470</v>
      </c>
      <c r="U445" t="s">
        <v>74</v>
      </c>
      <c r="V445" t="s">
        <v>8471</v>
      </c>
      <c r="W445" t="s">
        <v>8472</v>
      </c>
      <c r="X445" t="s">
        <v>8473</v>
      </c>
      <c r="Y445" t="s">
        <v>8474</v>
      </c>
      <c r="Z445" t="s">
        <v>8475</v>
      </c>
      <c r="AA445" t="s">
        <v>74</v>
      </c>
      <c r="AB445" t="s">
        <v>74</v>
      </c>
      <c r="AC445" t="s">
        <v>74</v>
      </c>
      <c r="AD445" t="s">
        <v>74</v>
      </c>
      <c r="AE445" t="s">
        <v>74</v>
      </c>
      <c r="AF445" t="s">
        <v>74</v>
      </c>
      <c r="AG445">
        <v>10</v>
      </c>
      <c r="AH445">
        <v>1</v>
      </c>
      <c r="AI445">
        <v>1</v>
      </c>
      <c r="AJ445">
        <v>0</v>
      </c>
      <c r="AK445">
        <v>1</v>
      </c>
      <c r="AL445" t="s">
        <v>8298</v>
      </c>
      <c r="AM445" t="s">
        <v>225</v>
      </c>
      <c r="AN445" t="s">
        <v>8315</v>
      </c>
      <c r="AO445" t="s">
        <v>74</v>
      </c>
      <c r="AP445" t="s">
        <v>74</v>
      </c>
      <c r="AQ445" t="s">
        <v>8476</v>
      </c>
      <c r="AR445" t="s">
        <v>74</v>
      </c>
      <c r="AS445" t="s">
        <v>74</v>
      </c>
      <c r="AT445" t="s">
        <v>74</v>
      </c>
      <c r="AU445">
        <v>2010</v>
      </c>
      <c r="AV445" t="s">
        <v>74</v>
      </c>
      <c r="AW445" t="s">
        <v>74</v>
      </c>
      <c r="AX445" t="s">
        <v>74</v>
      </c>
      <c r="AY445" t="s">
        <v>74</v>
      </c>
      <c r="AZ445" t="s">
        <v>74</v>
      </c>
      <c r="BA445" t="s">
        <v>74</v>
      </c>
      <c r="BB445">
        <v>69</v>
      </c>
      <c r="BC445">
        <v>72</v>
      </c>
      <c r="BD445" t="s">
        <v>74</v>
      </c>
      <c r="BE445" t="s">
        <v>74</v>
      </c>
      <c r="BF445" t="s">
        <v>74</v>
      </c>
      <c r="BG445" t="s">
        <v>74</v>
      </c>
      <c r="BH445" t="s">
        <v>74</v>
      </c>
      <c r="BI445">
        <v>4</v>
      </c>
      <c r="BJ445" t="s">
        <v>8477</v>
      </c>
      <c r="BK445" t="s">
        <v>8281</v>
      </c>
      <c r="BL445" t="s">
        <v>8478</v>
      </c>
      <c r="BM445" t="s">
        <v>8479</v>
      </c>
      <c r="BN445" t="s">
        <v>74</v>
      </c>
      <c r="BO445" t="s">
        <v>74</v>
      </c>
      <c r="BP445" t="s">
        <v>74</v>
      </c>
      <c r="BQ445" t="s">
        <v>74</v>
      </c>
      <c r="BR445" t="s">
        <v>105</v>
      </c>
      <c r="BS445" t="s">
        <v>8480</v>
      </c>
      <c r="BT445" t="str">
        <f>HYPERLINK("https%3A%2F%2Fwww.webofscience.com%2Fwos%2Fwoscc%2Ffull-record%2FWOS:000398420000016","View Full Record in Web of Science")</f>
        <v>View Full Record in Web of Science</v>
      </c>
    </row>
    <row r="446" spans="1:72" x14ac:dyDescent="0.15">
      <c r="A446" t="s">
        <v>8257</v>
      </c>
      <c r="B446" t="s">
        <v>8481</v>
      </c>
      <c r="C446" t="s">
        <v>74</v>
      </c>
      <c r="D446" t="s">
        <v>74</v>
      </c>
      <c r="E446" t="s">
        <v>8482</v>
      </c>
      <c r="F446" t="s">
        <v>8483</v>
      </c>
      <c r="G446" t="s">
        <v>74</v>
      </c>
      <c r="H446" t="s">
        <v>8484</v>
      </c>
      <c r="I446" t="s">
        <v>8485</v>
      </c>
      <c r="J446" t="s">
        <v>8486</v>
      </c>
      <c r="K446" t="s">
        <v>74</v>
      </c>
      <c r="L446" t="s">
        <v>74</v>
      </c>
      <c r="M446" t="s">
        <v>78</v>
      </c>
      <c r="N446" t="s">
        <v>8264</v>
      </c>
      <c r="O446" t="s">
        <v>8487</v>
      </c>
      <c r="P446" t="s">
        <v>8488</v>
      </c>
      <c r="Q446" t="s">
        <v>8489</v>
      </c>
      <c r="R446" t="s">
        <v>74</v>
      </c>
      <c r="S446" t="s">
        <v>74</v>
      </c>
      <c r="T446" t="s">
        <v>74</v>
      </c>
      <c r="U446" t="s">
        <v>74</v>
      </c>
      <c r="V446" t="s">
        <v>8490</v>
      </c>
      <c r="W446" t="s">
        <v>8491</v>
      </c>
      <c r="X446" t="s">
        <v>8492</v>
      </c>
      <c r="Y446" t="s">
        <v>8493</v>
      </c>
      <c r="Z446" t="s">
        <v>8494</v>
      </c>
      <c r="AA446" t="s">
        <v>8495</v>
      </c>
      <c r="AB446" t="s">
        <v>74</v>
      </c>
      <c r="AC446" t="s">
        <v>8496</v>
      </c>
      <c r="AD446" t="s">
        <v>8497</v>
      </c>
      <c r="AE446" t="s">
        <v>8498</v>
      </c>
      <c r="AF446" t="s">
        <v>74</v>
      </c>
      <c r="AG446">
        <v>6</v>
      </c>
      <c r="AH446">
        <v>0</v>
      </c>
      <c r="AI446">
        <v>0</v>
      </c>
      <c r="AJ446">
        <v>0</v>
      </c>
      <c r="AK446">
        <v>0</v>
      </c>
      <c r="AL446" t="s">
        <v>8499</v>
      </c>
      <c r="AM446" t="s">
        <v>8500</v>
      </c>
      <c r="AN446" t="s">
        <v>8501</v>
      </c>
      <c r="AO446" t="s">
        <v>74</v>
      </c>
      <c r="AP446" t="s">
        <v>74</v>
      </c>
      <c r="AQ446" t="s">
        <v>74</v>
      </c>
      <c r="AR446" t="s">
        <v>74</v>
      </c>
      <c r="AS446" t="s">
        <v>74</v>
      </c>
      <c r="AT446" t="s">
        <v>74</v>
      </c>
      <c r="AU446">
        <v>2010</v>
      </c>
      <c r="AV446" t="s">
        <v>74</v>
      </c>
      <c r="AW446" t="s">
        <v>74</v>
      </c>
      <c r="AX446" t="s">
        <v>74</v>
      </c>
      <c r="AY446" t="s">
        <v>74</v>
      </c>
      <c r="AZ446" t="s">
        <v>74</v>
      </c>
      <c r="BA446" t="s">
        <v>74</v>
      </c>
      <c r="BB446" t="s">
        <v>74</v>
      </c>
      <c r="BC446" t="s">
        <v>74</v>
      </c>
      <c r="BD446">
        <v>429</v>
      </c>
      <c r="BE446" t="s">
        <v>74</v>
      </c>
      <c r="BF446" t="s">
        <v>74</v>
      </c>
      <c r="BG446" t="s">
        <v>74</v>
      </c>
      <c r="BH446" t="s">
        <v>74</v>
      </c>
      <c r="BI446">
        <v>4</v>
      </c>
      <c r="BJ446" t="s">
        <v>8502</v>
      </c>
      <c r="BK446" t="s">
        <v>8281</v>
      </c>
      <c r="BL446" t="s">
        <v>4834</v>
      </c>
      <c r="BM446" t="s">
        <v>8503</v>
      </c>
      <c r="BN446" t="s">
        <v>74</v>
      </c>
      <c r="BO446" t="s">
        <v>74</v>
      </c>
      <c r="BP446" t="s">
        <v>74</v>
      </c>
      <c r="BQ446" t="s">
        <v>74</v>
      </c>
      <c r="BR446" t="s">
        <v>105</v>
      </c>
      <c r="BS446" t="s">
        <v>8504</v>
      </c>
      <c r="BT446" t="str">
        <f>HYPERLINK("https%3A%2F%2Fwww.webofscience.com%2Fwos%2Fwoscc%2Ffull-record%2FWOS:000392111500360","View Full Record in Web of Science")</f>
        <v>View Full Record in Web of Science</v>
      </c>
    </row>
    <row r="447" spans="1:72" x14ac:dyDescent="0.15">
      <c r="A447" t="s">
        <v>8257</v>
      </c>
      <c r="B447" t="s">
        <v>8505</v>
      </c>
      <c r="C447" t="s">
        <v>74</v>
      </c>
      <c r="D447" t="s">
        <v>74</v>
      </c>
      <c r="E447" t="s">
        <v>8482</v>
      </c>
      <c r="F447" t="s">
        <v>8506</v>
      </c>
      <c r="G447" t="s">
        <v>74</v>
      </c>
      <c r="H447" t="s">
        <v>74</v>
      </c>
      <c r="I447" t="s">
        <v>8507</v>
      </c>
      <c r="J447" t="s">
        <v>8486</v>
      </c>
      <c r="K447" t="s">
        <v>74</v>
      </c>
      <c r="L447" t="s">
        <v>74</v>
      </c>
      <c r="M447" t="s">
        <v>78</v>
      </c>
      <c r="N447" t="s">
        <v>8264</v>
      </c>
      <c r="O447" t="s">
        <v>8487</v>
      </c>
      <c r="P447" t="s">
        <v>8488</v>
      </c>
      <c r="Q447" t="s">
        <v>8489</v>
      </c>
      <c r="R447" t="s">
        <v>74</v>
      </c>
      <c r="S447" t="s">
        <v>74</v>
      </c>
      <c r="T447" t="s">
        <v>74</v>
      </c>
      <c r="U447" t="s">
        <v>8508</v>
      </c>
      <c r="V447" t="s">
        <v>8509</v>
      </c>
      <c r="W447" t="s">
        <v>8510</v>
      </c>
      <c r="X447" t="s">
        <v>8511</v>
      </c>
      <c r="Y447" t="s">
        <v>8512</v>
      </c>
      <c r="Z447" t="s">
        <v>8513</v>
      </c>
      <c r="AA447" t="s">
        <v>8514</v>
      </c>
      <c r="AB447" t="s">
        <v>8515</v>
      </c>
      <c r="AC447" t="s">
        <v>74</v>
      </c>
      <c r="AD447" t="s">
        <v>74</v>
      </c>
      <c r="AE447" t="s">
        <v>74</v>
      </c>
      <c r="AF447" t="s">
        <v>74</v>
      </c>
      <c r="AG447">
        <v>9</v>
      </c>
      <c r="AH447">
        <v>0</v>
      </c>
      <c r="AI447">
        <v>0</v>
      </c>
      <c r="AJ447">
        <v>0</v>
      </c>
      <c r="AK447">
        <v>0</v>
      </c>
      <c r="AL447" t="s">
        <v>8499</v>
      </c>
      <c r="AM447" t="s">
        <v>8500</v>
      </c>
      <c r="AN447" t="s">
        <v>8501</v>
      </c>
      <c r="AO447" t="s">
        <v>74</v>
      </c>
      <c r="AP447" t="s">
        <v>74</v>
      </c>
      <c r="AQ447" t="s">
        <v>74</v>
      </c>
      <c r="AR447" t="s">
        <v>74</v>
      </c>
      <c r="AS447" t="s">
        <v>74</v>
      </c>
      <c r="AT447" t="s">
        <v>74</v>
      </c>
      <c r="AU447">
        <v>2010</v>
      </c>
      <c r="AV447" t="s">
        <v>74</v>
      </c>
      <c r="AW447" t="s">
        <v>74</v>
      </c>
      <c r="AX447" t="s">
        <v>74</v>
      </c>
      <c r="AY447" t="s">
        <v>74</v>
      </c>
      <c r="AZ447" t="s">
        <v>74</v>
      </c>
      <c r="BA447" t="s">
        <v>74</v>
      </c>
      <c r="BB447" t="s">
        <v>74</v>
      </c>
      <c r="BC447" t="s">
        <v>74</v>
      </c>
      <c r="BD447">
        <v>445</v>
      </c>
      <c r="BE447" t="s">
        <v>74</v>
      </c>
      <c r="BF447" t="s">
        <v>74</v>
      </c>
      <c r="BG447" t="s">
        <v>74</v>
      </c>
      <c r="BH447" t="s">
        <v>74</v>
      </c>
      <c r="BI447">
        <v>4</v>
      </c>
      <c r="BJ447" t="s">
        <v>8502</v>
      </c>
      <c r="BK447" t="s">
        <v>8281</v>
      </c>
      <c r="BL447" t="s">
        <v>4834</v>
      </c>
      <c r="BM447" t="s">
        <v>8503</v>
      </c>
      <c r="BN447" t="s">
        <v>74</v>
      </c>
      <c r="BO447" t="s">
        <v>74</v>
      </c>
      <c r="BP447" t="s">
        <v>74</v>
      </c>
      <c r="BQ447" t="s">
        <v>74</v>
      </c>
      <c r="BR447" t="s">
        <v>105</v>
      </c>
      <c r="BS447" t="s">
        <v>8516</v>
      </c>
      <c r="BT447" t="str">
        <f>HYPERLINK("https%3A%2F%2Fwww.webofscience.com%2Fwos%2Fwoscc%2Ffull-record%2FWOS:000392111500376","View Full Record in Web of Science")</f>
        <v>View Full Record in Web of Science</v>
      </c>
    </row>
    <row r="448" spans="1:72" x14ac:dyDescent="0.15">
      <c r="A448" t="s">
        <v>8257</v>
      </c>
      <c r="B448" t="s">
        <v>8517</v>
      </c>
      <c r="C448" t="s">
        <v>74</v>
      </c>
      <c r="D448" t="s">
        <v>8518</v>
      </c>
      <c r="E448" t="s">
        <v>74</v>
      </c>
      <c r="F448" t="s">
        <v>8519</v>
      </c>
      <c r="G448" t="s">
        <v>74</v>
      </c>
      <c r="H448" t="s">
        <v>74</v>
      </c>
      <c r="I448" t="s">
        <v>8520</v>
      </c>
      <c r="J448" t="s">
        <v>8521</v>
      </c>
      <c r="K448" t="s">
        <v>8522</v>
      </c>
      <c r="L448" t="s">
        <v>74</v>
      </c>
      <c r="M448" t="s">
        <v>78</v>
      </c>
      <c r="N448" t="s">
        <v>8264</v>
      </c>
      <c r="O448" t="s">
        <v>8523</v>
      </c>
      <c r="P448" t="s">
        <v>8524</v>
      </c>
      <c r="Q448" t="s">
        <v>8525</v>
      </c>
      <c r="R448" t="s">
        <v>74</v>
      </c>
      <c r="S448" t="s">
        <v>74</v>
      </c>
      <c r="T448" t="s">
        <v>8526</v>
      </c>
      <c r="U448" t="s">
        <v>74</v>
      </c>
      <c r="V448" t="s">
        <v>8527</v>
      </c>
      <c r="W448" t="s">
        <v>8528</v>
      </c>
      <c r="X448" t="s">
        <v>8529</v>
      </c>
      <c r="Y448" t="s">
        <v>8530</v>
      </c>
      <c r="Z448" t="s">
        <v>8531</v>
      </c>
      <c r="AA448" t="s">
        <v>8532</v>
      </c>
      <c r="AB448" t="s">
        <v>74</v>
      </c>
      <c r="AC448" t="s">
        <v>74</v>
      </c>
      <c r="AD448" t="s">
        <v>74</v>
      </c>
      <c r="AE448" t="s">
        <v>74</v>
      </c>
      <c r="AF448" t="s">
        <v>74</v>
      </c>
      <c r="AG448">
        <v>7</v>
      </c>
      <c r="AH448">
        <v>0</v>
      </c>
      <c r="AI448">
        <v>0</v>
      </c>
      <c r="AJ448">
        <v>0</v>
      </c>
      <c r="AK448">
        <v>2</v>
      </c>
      <c r="AL448" t="s">
        <v>8533</v>
      </c>
      <c r="AM448" t="s">
        <v>8534</v>
      </c>
      <c r="AN448" t="s">
        <v>8535</v>
      </c>
      <c r="AO448" t="s">
        <v>8536</v>
      </c>
      <c r="AP448" t="s">
        <v>74</v>
      </c>
      <c r="AQ448" t="s">
        <v>8537</v>
      </c>
      <c r="AR448" t="s">
        <v>8538</v>
      </c>
      <c r="AS448" t="s">
        <v>74</v>
      </c>
      <c r="AT448" t="s">
        <v>74</v>
      </c>
      <c r="AU448">
        <v>2010</v>
      </c>
      <c r="AV448">
        <v>7654</v>
      </c>
      <c r="AW448" t="s">
        <v>74</v>
      </c>
      <c r="AX448" t="s">
        <v>74</v>
      </c>
      <c r="AY448" t="s">
        <v>74</v>
      </c>
      <c r="AZ448" t="s">
        <v>74</v>
      </c>
      <c r="BA448" t="s">
        <v>74</v>
      </c>
      <c r="BB448" t="s">
        <v>74</v>
      </c>
      <c r="BC448" t="s">
        <v>74</v>
      </c>
      <c r="BD448" t="s">
        <v>8539</v>
      </c>
      <c r="BE448" t="s">
        <v>8540</v>
      </c>
      <c r="BF448" t="str">
        <f>HYPERLINK("http://dx.doi.org/10.1117/12.866970","http://dx.doi.org/10.1117/12.866970")</f>
        <v>http://dx.doi.org/10.1117/12.866970</v>
      </c>
      <c r="BG448" t="s">
        <v>74</v>
      </c>
      <c r="BH448" t="s">
        <v>74</v>
      </c>
      <c r="BI448">
        <v>7</v>
      </c>
      <c r="BJ448" t="s">
        <v>8541</v>
      </c>
      <c r="BK448" t="s">
        <v>8281</v>
      </c>
      <c r="BL448" t="s">
        <v>8542</v>
      </c>
      <c r="BM448" t="s">
        <v>8543</v>
      </c>
      <c r="BN448" t="s">
        <v>74</v>
      </c>
      <c r="BO448" t="s">
        <v>74</v>
      </c>
      <c r="BP448" t="s">
        <v>74</v>
      </c>
      <c r="BQ448" t="s">
        <v>74</v>
      </c>
      <c r="BR448" t="s">
        <v>105</v>
      </c>
      <c r="BS448" t="s">
        <v>8544</v>
      </c>
      <c r="BT448" t="str">
        <f>HYPERLINK("https%3A%2F%2Fwww.webofscience.com%2Fwos%2Fwoscc%2Ffull-record%2FWOS:000287765500021","View Full Record in Web of Science")</f>
        <v>View Full Record in Web of Science</v>
      </c>
    </row>
    <row r="449" spans="1:72" x14ac:dyDescent="0.15">
      <c r="A449" t="s">
        <v>8257</v>
      </c>
      <c r="B449" t="s">
        <v>8545</v>
      </c>
      <c r="C449" t="s">
        <v>74</v>
      </c>
      <c r="D449" t="s">
        <v>8546</v>
      </c>
      <c r="E449" t="s">
        <v>74</v>
      </c>
      <c r="F449" t="s">
        <v>8547</v>
      </c>
      <c r="G449" t="s">
        <v>74</v>
      </c>
      <c r="H449" t="s">
        <v>74</v>
      </c>
      <c r="I449" t="s">
        <v>8548</v>
      </c>
      <c r="J449" t="s">
        <v>8549</v>
      </c>
      <c r="K449" t="s">
        <v>8522</v>
      </c>
      <c r="L449" t="s">
        <v>74</v>
      </c>
      <c r="M449" t="s">
        <v>78</v>
      </c>
      <c r="N449" t="s">
        <v>8264</v>
      </c>
      <c r="O449" t="s">
        <v>8550</v>
      </c>
      <c r="P449" t="s">
        <v>8524</v>
      </c>
      <c r="Q449" t="s">
        <v>8525</v>
      </c>
      <c r="R449" t="s">
        <v>74</v>
      </c>
      <c r="S449" t="s">
        <v>74</v>
      </c>
      <c r="T449" t="s">
        <v>8551</v>
      </c>
      <c r="U449" t="s">
        <v>74</v>
      </c>
      <c r="V449" t="s">
        <v>8552</v>
      </c>
      <c r="W449" t="s">
        <v>8553</v>
      </c>
      <c r="X449" t="s">
        <v>8529</v>
      </c>
      <c r="Y449" t="s">
        <v>8554</v>
      </c>
      <c r="Z449" t="s">
        <v>8555</v>
      </c>
      <c r="AA449" t="s">
        <v>8556</v>
      </c>
      <c r="AB449" t="s">
        <v>74</v>
      </c>
      <c r="AC449" t="s">
        <v>74</v>
      </c>
      <c r="AD449" t="s">
        <v>74</v>
      </c>
      <c r="AE449" t="s">
        <v>74</v>
      </c>
      <c r="AF449" t="s">
        <v>74</v>
      </c>
      <c r="AG449">
        <v>5</v>
      </c>
      <c r="AH449">
        <v>1</v>
      </c>
      <c r="AI449">
        <v>1</v>
      </c>
      <c r="AJ449">
        <v>0</v>
      </c>
      <c r="AK449">
        <v>1</v>
      </c>
      <c r="AL449" t="s">
        <v>8533</v>
      </c>
      <c r="AM449" t="s">
        <v>8534</v>
      </c>
      <c r="AN449" t="s">
        <v>8535</v>
      </c>
      <c r="AO449" t="s">
        <v>8536</v>
      </c>
      <c r="AP449" t="s">
        <v>74</v>
      </c>
      <c r="AQ449" t="s">
        <v>8557</v>
      </c>
      <c r="AR449" t="s">
        <v>8538</v>
      </c>
      <c r="AS449" t="s">
        <v>74</v>
      </c>
      <c r="AT449" t="s">
        <v>74</v>
      </c>
      <c r="AU449">
        <v>2010</v>
      </c>
      <c r="AV449">
        <v>7658</v>
      </c>
      <c r="AW449" t="s">
        <v>74</v>
      </c>
      <c r="AX449" t="s">
        <v>74</v>
      </c>
      <c r="AY449" t="s">
        <v>74</v>
      </c>
      <c r="AZ449" t="s">
        <v>74</v>
      </c>
      <c r="BA449" t="s">
        <v>74</v>
      </c>
      <c r="BB449" t="s">
        <v>74</v>
      </c>
      <c r="BC449" t="s">
        <v>74</v>
      </c>
      <c r="BD449">
        <v>765815</v>
      </c>
      <c r="BE449" t="s">
        <v>8558</v>
      </c>
      <c r="BF449" t="str">
        <f>HYPERLINK("http://dx.doi.org/10.1117/12.864095","http://dx.doi.org/10.1117/12.864095")</f>
        <v>http://dx.doi.org/10.1117/12.864095</v>
      </c>
      <c r="BG449" t="s">
        <v>74</v>
      </c>
      <c r="BH449" t="s">
        <v>74</v>
      </c>
      <c r="BI449">
        <v>5</v>
      </c>
      <c r="BJ449" t="s">
        <v>8559</v>
      </c>
      <c r="BK449" t="s">
        <v>8281</v>
      </c>
      <c r="BL449" t="s">
        <v>8560</v>
      </c>
      <c r="BM449" t="s">
        <v>8561</v>
      </c>
      <c r="BN449" t="s">
        <v>74</v>
      </c>
      <c r="BO449" t="s">
        <v>74</v>
      </c>
      <c r="BP449" t="s">
        <v>74</v>
      </c>
      <c r="BQ449" t="s">
        <v>74</v>
      </c>
      <c r="BR449" t="s">
        <v>105</v>
      </c>
      <c r="BS449" t="s">
        <v>8562</v>
      </c>
      <c r="BT449" t="str">
        <f>HYPERLINK("https%3A%2F%2Fwww.webofscience.com%2Fwos%2Fwoscc%2Ffull-record%2FWOS:000287802500041","View Full Record in Web of Science")</f>
        <v>View Full Record in Web of Science</v>
      </c>
    </row>
    <row r="450" spans="1:72" x14ac:dyDescent="0.15">
      <c r="A450" t="s">
        <v>8563</v>
      </c>
      <c r="B450" t="s">
        <v>8564</v>
      </c>
      <c r="C450" t="s">
        <v>74</v>
      </c>
      <c r="D450" t="s">
        <v>74</v>
      </c>
      <c r="E450" t="s">
        <v>74</v>
      </c>
      <c r="F450" t="s">
        <v>8565</v>
      </c>
      <c r="G450" t="s">
        <v>74</v>
      </c>
      <c r="H450" t="s">
        <v>74</v>
      </c>
      <c r="I450" t="s">
        <v>8566</v>
      </c>
      <c r="J450" t="s">
        <v>8567</v>
      </c>
      <c r="K450" t="s">
        <v>74</v>
      </c>
      <c r="L450" t="s">
        <v>74</v>
      </c>
      <c r="M450" t="s">
        <v>78</v>
      </c>
      <c r="N450" t="s">
        <v>8568</v>
      </c>
      <c r="O450" t="s">
        <v>74</v>
      </c>
      <c r="P450" t="s">
        <v>74</v>
      </c>
      <c r="Q450" t="s">
        <v>74</v>
      </c>
      <c r="R450" t="s">
        <v>74</v>
      </c>
      <c r="S450" t="s">
        <v>74</v>
      </c>
      <c r="T450" t="s">
        <v>74</v>
      </c>
      <c r="U450" t="s">
        <v>8569</v>
      </c>
      <c r="V450" t="s">
        <v>74</v>
      </c>
      <c r="W450" t="s">
        <v>8570</v>
      </c>
      <c r="X450" t="s">
        <v>8571</v>
      </c>
      <c r="Y450" t="s">
        <v>8572</v>
      </c>
      <c r="Z450" t="s">
        <v>8573</v>
      </c>
      <c r="AA450" t="s">
        <v>8574</v>
      </c>
      <c r="AB450" t="s">
        <v>8575</v>
      </c>
      <c r="AC450" t="s">
        <v>74</v>
      </c>
      <c r="AD450" t="s">
        <v>74</v>
      </c>
      <c r="AE450" t="s">
        <v>74</v>
      </c>
      <c r="AF450" t="s">
        <v>74</v>
      </c>
      <c r="AG450">
        <v>357</v>
      </c>
      <c r="AH450">
        <v>106</v>
      </c>
      <c r="AI450">
        <v>113</v>
      </c>
      <c r="AJ450">
        <v>0</v>
      </c>
      <c r="AK450">
        <v>8</v>
      </c>
      <c r="AL450" t="s">
        <v>813</v>
      </c>
      <c r="AM450" t="s">
        <v>225</v>
      </c>
      <c r="AN450" t="s">
        <v>8576</v>
      </c>
      <c r="AO450" t="s">
        <v>74</v>
      </c>
      <c r="AP450" t="s">
        <v>74</v>
      </c>
      <c r="AQ450" t="s">
        <v>8577</v>
      </c>
      <c r="AR450" t="s">
        <v>74</v>
      </c>
      <c r="AS450" t="s">
        <v>74</v>
      </c>
      <c r="AT450" t="s">
        <v>74</v>
      </c>
      <c r="AU450">
        <v>2010</v>
      </c>
      <c r="AV450" t="s">
        <v>74</v>
      </c>
      <c r="AW450" t="s">
        <v>74</v>
      </c>
      <c r="AX450" t="s">
        <v>74</v>
      </c>
      <c r="AY450" t="s">
        <v>74</v>
      </c>
      <c r="AZ450" t="s">
        <v>74</v>
      </c>
      <c r="BA450" t="s">
        <v>74</v>
      </c>
      <c r="BB450">
        <v>1</v>
      </c>
      <c r="BC450" t="s">
        <v>1802</v>
      </c>
      <c r="BD450" t="s">
        <v>74</v>
      </c>
      <c r="BE450" t="s">
        <v>8578</v>
      </c>
      <c r="BF450" t="str">
        <f>HYPERLINK("http://dx.doi.org/10.1007/978-90-481-9358-5","http://dx.doi.org/10.1007/978-90-481-9358-5")</f>
        <v>http://dx.doi.org/10.1007/978-90-481-9358-5</v>
      </c>
      <c r="BG450" t="s">
        <v>74</v>
      </c>
      <c r="BH450" t="s">
        <v>74</v>
      </c>
      <c r="BI450">
        <v>263</v>
      </c>
      <c r="BJ450" t="s">
        <v>101</v>
      </c>
      <c r="BK450" t="s">
        <v>8579</v>
      </c>
      <c r="BL450" t="s">
        <v>101</v>
      </c>
      <c r="BM450" t="s">
        <v>8580</v>
      </c>
      <c r="BN450" t="s">
        <v>74</v>
      </c>
      <c r="BO450" t="s">
        <v>555</v>
      </c>
      <c r="BP450" t="s">
        <v>74</v>
      </c>
      <c r="BQ450" t="s">
        <v>74</v>
      </c>
      <c r="BR450" t="s">
        <v>105</v>
      </c>
      <c r="BS450" t="s">
        <v>8581</v>
      </c>
      <c r="BT450" t="str">
        <f>HYPERLINK("https%3A%2F%2Fwww.webofscience.com%2Fwos%2Fwoscc%2Ffull-record%2FWOS:000282655100001","View Full Record in Web of Science")</f>
        <v>View Full Record in Web of Science</v>
      </c>
    </row>
    <row r="451" spans="1:72" x14ac:dyDescent="0.15">
      <c r="A451" t="s">
        <v>72</v>
      </c>
      <c r="B451" t="s">
        <v>8582</v>
      </c>
      <c r="C451" t="s">
        <v>74</v>
      </c>
      <c r="D451" t="s">
        <v>74</v>
      </c>
      <c r="E451" t="s">
        <v>74</v>
      </c>
      <c r="F451" t="s">
        <v>8583</v>
      </c>
      <c r="G451" t="s">
        <v>74</v>
      </c>
      <c r="H451" t="s">
        <v>74</v>
      </c>
      <c r="I451" t="s">
        <v>8584</v>
      </c>
      <c r="J451" t="s">
        <v>8585</v>
      </c>
      <c r="K451" t="s">
        <v>74</v>
      </c>
      <c r="L451" t="s">
        <v>74</v>
      </c>
      <c r="M451" t="s">
        <v>78</v>
      </c>
      <c r="N451" t="s">
        <v>79</v>
      </c>
      <c r="O451" t="s">
        <v>74</v>
      </c>
      <c r="P451" t="s">
        <v>74</v>
      </c>
      <c r="Q451" t="s">
        <v>74</v>
      </c>
      <c r="R451" t="s">
        <v>74</v>
      </c>
      <c r="S451" t="s">
        <v>74</v>
      </c>
      <c r="T451" t="s">
        <v>8586</v>
      </c>
      <c r="U451" t="s">
        <v>8587</v>
      </c>
      <c r="V451" t="s">
        <v>8588</v>
      </c>
      <c r="W451" t="s">
        <v>8589</v>
      </c>
      <c r="X451" t="s">
        <v>8590</v>
      </c>
      <c r="Y451" t="s">
        <v>8591</v>
      </c>
      <c r="Z451" t="s">
        <v>8592</v>
      </c>
      <c r="AA451" t="s">
        <v>74</v>
      </c>
      <c r="AB451" t="s">
        <v>74</v>
      </c>
      <c r="AC451" t="s">
        <v>8593</v>
      </c>
      <c r="AD451" t="s">
        <v>8594</v>
      </c>
      <c r="AE451" t="s">
        <v>8595</v>
      </c>
      <c r="AF451" t="s">
        <v>74</v>
      </c>
      <c r="AG451">
        <v>58</v>
      </c>
      <c r="AH451">
        <v>1</v>
      </c>
      <c r="AI451">
        <v>1</v>
      </c>
      <c r="AJ451">
        <v>0</v>
      </c>
      <c r="AK451">
        <v>8</v>
      </c>
      <c r="AL451" t="s">
        <v>991</v>
      </c>
      <c r="AM451" t="s">
        <v>992</v>
      </c>
      <c r="AN451" t="s">
        <v>993</v>
      </c>
      <c r="AO451" t="s">
        <v>8596</v>
      </c>
      <c r="AP451" t="s">
        <v>8597</v>
      </c>
      <c r="AQ451" t="s">
        <v>74</v>
      </c>
      <c r="AR451" t="s">
        <v>8598</v>
      </c>
      <c r="AS451" t="s">
        <v>8599</v>
      </c>
      <c r="AT451" t="s">
        <v>74</v>
      </c>
      <c r="AU451">
        <v>2010</v>
      </c>
      <c r="AV451">
        <v>84</v>
      </c>
      <c r="AW451">
        <v>2</v>
      </c>
      <c r="AX451" t="s">
        <v>74</v>
      </c>
      <c r="AY451" t="s">
        <v>74</v>
      </c>
      <c r="AZ451" t="s">
        <v>74</v>
      </c>
      <c r="BA451" t="s">
        <v>74</v>
      </c>
      <c r="BB451">
        <v>306</v>
      </c>
      <c r="BC451">
        <v>320</v>
      </c>
      <c r="BD451" t="s">
        <v>74</v>
      </c>
      <c r="BE451" t="s">
        <v>8600</v>
      </c>
      <c r="BF451" t="str">
        <f>HYPERLINK("http://dx.doi.org/10.1111/j.1755-6724.2010.00142.x","http://dx.doi.org/10.1111/j.1755-6724.2010.00142.x")</f>
        <v>http://dx.doi.org/10.1111/j.1755-6724.2010.00142.x</v>
      </c>
      <c r="BG451" t="s">
        <v>74</v>
      </c>
      <c r="BH451" t="s">
        <v>74</v>
      </c>
      <c r="BI451">
        <v>15</v>
      </c>
      <c r="BJ451" t="s">
        <v>913</v>
      </c>
      <c r="BK451" t="s">
        <v>102</v>
      </c>
      <c r="BL451" t="s">
        <v>914</v>
      </c>
      <c r="BM451" t="s">
        <v>8601</v>
      </c>
      <c r="BN451" t="s">
        <v>74</v>
      </c>
      <c r="BO451" t="s">
        <v>74</v>
      </c>
      <c r="BP451" t="s">
        <v>74</v>
      </c>
      <c r="BQ451" t="s">
        <v>74</v>
      </c>
      <c r="BR451" t="s">
        <v>105</v>
      </c>
      <c r="BS451" t="s">
        <v>8602</v>
      </c>
      <c r="BT451" t="str">
        <f>HYPERLINK("https%3A%2F%2Fwww.webofscience.com%2Fwos%2Fwoscc%2Ffull-record%2FWOS:000275871500007","View Full Record in Web of Science")</f>
        <v>View Full Record in Web of Science</v>
      </c>
    </row>
    <row r="452" spans="1:72" x14ac:dyDescent="0.15">
      <c r="A452" t="s">
        <v>72</v>
      </c>
      <c r="B452" t="s">
        <v>8603</v>
      </c>
      <c r="C452" t="s">
        <v>74</v>
      </c>
      <c r="D452" t="s">
        <v>74</v>
      </c>
      <c r="E452" t="s">
        <v>74</v>
      </c>
      <c r="F452" t="s">
        <v>8604</v>
      </c>
      <c r="G452" t="s">
        <v>74</v>
      </c>
      <c r="H452" t="s">
        <v>74</v>
      </c>
      <c r="I452" t="s">
        <v>8605</v>
      </c>
      <c r="J452" t="s">
        <v>8585</v>
      </c>
      <c r="K452" t="s">
        <v>74</v>
      </c>
      <c r="L452" t="s">
        <v>74</v>
      </c>
      <c r="M452" t="s">
        <v>78</v>
      </c>
      <c r="N452" t="s">
        <v>79</v>
      </c>
      <c r="O452" t="s">
        <v>74</v>
      </c>
      <c r="P452" t="s">
        <v>74</v>
      </c>
      <c r="Q452" t="s">
        <v>74</v>
      </c>
      <c r="R452" t="s">
        <v>74</v>
      </c>
      <c r="S452" t="s">
        <v>74</v>
      </c>
      <c r="T452" t="s">
        <v>8606</v>
      </c>
      <c r="U452" t="s">
        <v>8607</v>
      </c>
      <c r="V452" t="s">
        <v>8608</v>
      </c>
      <c r="W452" t="s">
        <v>8609</v>
      </c>
      <c r="X452" t="s">
        <v>8610</v>
      </c>
      <c r="Y452" t="s">
        <v>8611</v>
      </c>
      <c r="Z452" t="s">
        <v>8612</v>
      </c>
      <c r="AA452" t="s">
        <v>74</v>
      </c>
      <c r="AB452" t="s">
        <v>74</v>
      </c>
      <c r="AC452" t="s">
        <v>8613</v>
      </c>
      <c r="AD452" t="s">
        <v>8614</v>
      </c>
      <c r="AE452" t="s">
        <v>8615</v>
      </c>
      <c r="AF452" t="s">
        <v>74</v>
      </c>
      <c r="AG452">
        <v>37</v>
      </c>
      <c r="AH452">
        <v>2</v>
      </c>
      <c r="AI452">
        <v>4</v>
      </c>
      <c r="AJ452">
        <v>0</v>
      </c>
      <c r="AK452">
        <v>8</v>
      </c>
      <c r="AL452" t="s">
        <v>2312</v>
      </c>
      <c r="AM452" t="s">
        <v>1655</v>
      </c>
      <c r="AN452" t="s">
        <v>1656</v>
      </c>
      <c r="AO452" t="s">
        <v>8596</v>
      </c>
      <c r="AP452" t="s">
        <v>74</v>
      </c>
      <c r="AQ452" t="s">
        <v>74</v>
      </c>
      <c r="AR452" t="s">
        <v>8598</v>
      </c>
      <c r="AS452" t="s">
        <v>8599</v>
      </c>
      <c r="AT452" t="s">
        <v>74</v>
      </c>
      <c r="AU452">
        <v>2010</v>
      </c>
      <c r="AV452">
        <v>84</v>
      </c>
      <c r="AW452">
        <v>3</v>
      </c>
      <c r="AX452" t="s">
        <v>74</v>
      </c>
      <c r="AY452" t="s">
        <v>74</v>
      </c>
      <c r="AZ452" t="s">
        <v>74</v>
      </c>
      <c r="BA452" t="s">
        <v>74</v>
      </c>
      <c r="BB452">
        <v>528</v>
      </c>
      <c r="BC452">
        <v>542</v>
      </c>
      <c r="BD452" t="s">
        <v>74</v>
      </c>
      <c r="BE452" t="s">
        <v>8616</v>
      </c>
      <c r="BF452" t="str">
        <f>HYPERLINK("http://dx.doi.org/10.1111/j.1755-6724.2010.00270.x","http://dx.doi.org/10.1111/j.1755-6724.2010.00270.x")</f>
        <v>http://dx.doi.org/10.1111/j.1755-6724.2010.00270.x</v>
      </c>
      <c r="BG452" t="s">
        <v>74</v>
      </c>
      <c r="BH452" t="s">
        <v>74</v>
      </c>
      <c r="BI452">
        <v>15</v>
      </c>
      <c r="BJ452" t="s">
        <v>913</v>
      </c>
      <c r="BK452" t="s">
        <v>102</v>
      </c>
      <c r="BL452" t="s">
        <v>914</v>
      </c>
      <c r="BM452" t="s">
        <v>8617</v>
      </c>
      <c r="BN452" t="s">
        <v>74</v>
      </c>
      <c r="BO452" t="s">
        <v>74</v>
      </c>
      <c r="BP452" t="s">
        <v>74</v>
      </c>
      <c r="BQ452" t="s">
        <v>74</v>
      </c>
      <c r="BR452" t="s">
        <v>105</v>
      </c>
      <c r="BS452" t="s">
        <v>8618</v>
      </c>
      <c r="BT452" t="str">
        <f>HYPERLINK("https%3A%2F%2Fwww.webofscience.com%2Fwos%2Fwoscc%2Ffull-record%2FWOS:000278516400008","View Full Record in Web of Science")</f>
        <v>View Full Record in Web of Science</v>
      </c>
    </row>
    <row r="453" spans="1:72" x14ac:dyDescent="0.15">
      <c r="A453" t="s">
        <v>72</v>
      </c>
      <c r="B453" t="s">
        <v>8619</v>
      </c>
      <c r="C453" t="s">
        <v>74</v>
      </c>
      <c r="D453" t="s">
        <v>74</v>
      </c>
      <c r="E453" t="s">
        <v>74</v>
      </c>
      <c r="F453" t="s">
        <v>8620</v>
      </c>
      <c r="G453" t="s">
        <v>74</v>
      </c>
      <c r="H453" t="s">
        <v>74</v>
      </c>
      <c r="I453" t="s">
        <v>8621</v>
      </c>
      <c r="J453" t="s">
        <v>8585</v>
      </c>
      <c r="K453" t="s">
        <v>74</v>
      </c>
      <c r="L453" t="s">
        <v>74</v>
      </c>
      <c r="M453" t="s">
        <v>78</v>
      </c>
      <c r="N453" t="s">
        <v>79</v>
      </c>
      <c r="O453" t="s">
        <v>74</v>
      </c>
      <c r="P453" t="s">
        <v>74</v>
      </c>
      <c r="Q453" t="s">
        <v>74</v>
      </c>
      <c r="R453" t="s">
        <v>74</v>
      </c>
      <c r="S453" t="s">
        <v>74</v>
      </c>
      <c r="T453" t="s">
        <v>8622</v>
      </c>
      <c r="U453" t="s">
        <v>8623</v>
      </c>
      <c r="V453" t="s">
        <v>8624</v>
      </c>
      <c r="W453" t="s">
        <v>8625</v>
      </c>
      <c r="X453" t="s">
        <v>8626</v>
      </c>
      <c r="Y453" t="s">
        <v>8627</v>
      </c>
      <c r="Z453" t="s">
        <v>8628</v>
      </c>
      <c r="AA453" t="s">
        <v>8629</v>
      </c>
      <c r="AB453" t="s">
        <v>8630</v>
      </c>
      <c r="AC453" t="s">
        <v>8631</v>
      </c>
      <c r="AD453" t="s">
        <v>8632</v>
      </c>
      <c r="AE453" t="s">
        <v>8633</v>
      </c>
      <c r="AF453" t="s">
        <v>74</v>
      </c>
      <c r="AG453">
        <v>32</v>
      </c>
      <c r="AH453">
        <v>7</v>
      </c>
      <c r="AI453">
        <v>8</v>
      </c>
      <c r="AJ453">
        <v>2</v>
      </c>
      <c r="AK453">
        <v>23</v>
      </c>
      <c r="AL453" t="s">
        <v>2312</v>
      </c>
      <c r="AM453" t="s">
        <v>1655</v>
      </c>
      <c r="AN453" t="s">
        <v>1656</v>
      </c>
      <c r="AO453" t="s">
        <v>8596</v>
      </c>
      <c r="AP453" t="s">
        <v>74</v>
      </c>
      <c r="AQ453" t="s">
        <v>74</v>
      </c>
      <c r="AR453" t="s">
        <v>8598</v>
      </c>
      <c r="AS453" t="s">
        <v>8599</v>
      </c>
      <c r="AT453" t="s">
        <v>74</v>
      </c>
      <c r="AU453">
        <v>2010</v>
      </c>
      <c r="AV453">
        <v>84</v>
      </c>
      <c r="AW453">
        <v>3</v>
      </c>
      <c r="AX453" t="s">
        <v>74</v>
      </c>
      <c r="AY453" t="s">
        <v>74</v>
      </c>
      <c r="AZ453" t="s">
        <v>74</v>
      </c>
      <c r="BA453" t="s">
        <v>74</v>
      </c>
      <c r="BB453">
        <v>543</v>
      </c>
      <c r="BC453">
        <v>548</v>
      </c>
      <c r="BD453" t="s">
        <v>74</v>
      </c>
      <c r="BE453" t="s">
        <v>8634</v>
      </c>
      <c r="BF453" t="str">
        <f>HYPERLINK("http://dx.doi.org/10.1111/j.1755-6724.2010.00271.x","http://dx.doi.org/10.1111/j.1755-6724.2010.00271.x")</f>
        <v>http://dx.doi.org/10.1111/j.1755-6724.2010.00271.x</v>
      </c>
      <c r="BG453" t="s">
        <v>74</v>
      </c>
      <c r="BH453" t="s">
        <v>74</v>
      </c>
      <c r="BI453">
        <v>6</v>
      </c>
      <c r="BJ453" t="s">
        <v>913</v>
      </c>
      <c r="BK453" t="s">
        <v>102</v>
      </c>
      <c r="BL453" t="s">
        <v>914</v>
      </c>
      <c r="BM453" t="s">
        <v>8617</v>
      </c>
      <c r="BN453" t="s">
        <v>74</v>
      </c>
      <c r="BO453" t="s">
        <v>74</v>
      </c>
      <c r="BP453" t="s">
        <v>74</v>
      </c>
      <c r="BQ453" t="s">
        <v>74</v>
      </c>
      <c r="BR453" t="s">
        <v>105</v>
      </c>
      <c r="BS453" t="s">
        <v>8635</v>
      </c>
      <c r="BT453" t="str">
        <f>HYPERLINK("https%3A%2F%2Fwww.webofscience.com%2Fwos%2Fwoscc%2Ffull-record%2FWOS:000278516400009","View Full Record in Web of Science")</f>
        <v>View Full Record in Web of Science</v>
      </c>
    </row>
    <row r="454" spans="1:72" x14ac:dyDescent="0.15">
      <c r="A454" t="s">
        <v>72</v>
      </c>
      <c r="B454" t="s">
        <v>8636</v>
      </c>
      <c r="C454" t="s">
        <v>74</v>
      </c>
      <c r="D454" t="s">
        <v>74</v>
      </c>
      <c r="E454" t="s">
        <v>74</v>
      </c>
      <c r="F454" t="s">
        <v>8637</v>
      </c>
      <c r="G454" t="s">
        <v>74</v>
      </c>
      <c r="H454" t="s">
        <v>74</v>
      </c>
      <c r="I454" t="s">
        <v>8638</v>
      </c>
      <c r="J454" t="s">
        <v>8639</v>
      </c>
      <c r="K454" t="s">
        <v>74</v>
      </c>
      <c r="L454" t="s">
        <v>74</v>
      </c>
      <c r="M454" t="s">
        <v>78</v>
      </c>
      <c r="N454" t="s">
        <v>79</v>
      </c>
      <c r="O454" t="s">
        <v>74</v>
      </c>
      <c r="P454" t="s">
        <v>74</v>
      </c>
      <c r="Q454" t="s">
        <v>74</v>
      </c>
      <c r="R454" t="s">
        <v>74</v>
      </c>
      <c r="S454" t="s">
        <v>74</v>
      </c>
      <c r="T454" t="s">
        <v>8640</v>
      </c>
      <c r="U454" t="s">
        <v>8641</v>
      </c>
      <c r="V454" t="s">
        <v>8642</v>
      </c>
      <c r="W454" t="s">
        <v>8643</v>
      </c>
      <c r="X454" t="s">
        <v>8644</v>
      </c>
      <c r="Y454" t="s">
        <v>8645</v>
      </c>
      <c r="Z454" t="s">
        <v>8646</v>
      </c>
      <c r="AA454" t="s">
        <v>8647</v>
      </c>
      <c r="AB454" t="s">
        <v>8648</v>
      </c>
      <c r="AC454" t="s">
        <v>8649</v>
      </c>
      <c r="AD454" t="s">
        <v>8650</v>
      </c>
      <c r="AE454" t="s">
        <v>8651</v>
      </c>
      <c r="AF454" t="s">
        <v>74</v>
      </c>
      <c r="AG454">
        <v>50</v>
      </c>
      <c r="AH454">
        <v>23</v>
      </c>
      <c r="AI454">
        <v>26</v>
      </c>
      <c r="AJ454">
        <v>0</v>
      </c>
      <c r="AK454">
        <v>12</v>
      </c>
      <c r="AL454" t="s">
        <v>8652</v>
      </c>
      <c r="AM454" t="s">
        <v>8653</v>
      </c>
      <c r="AN454" t="s">
        <v>8654</v>
      </c>
      <c r="AO454" t="s">
        <v>8655</v>
      </c>
      <c r="AP454" t="s">
        <v>8656</v>
      </c>
      <c r="AQ454" t="s">
        <v>74</v>
      </c>
      <c r="AR454" t="s">
        <v>8657</v>
      </c>
      <c r="AS454" t="s">
        <v>8658</v>
      </c>
      <c r="AT454" t="s">
        <v>74</v>
      </c>
      <c r="AU454">
        <v>2010</v>
      </c>
      <c r="AV454">
        <v>49</v>
      </c>
      <c r="AW454">
        <v>3</v>
      </c>
      <c r="AX454" t="s">
        <v>74</v>
      </c>
      <c r="AY454" t="s">
        <v>74</v>
      </c>
      <c r="AZ454" t="s">
        <v>74</v>
      </c>
      <c r="BA454" t="s">
        <v>74</v>
      </c>
      <c r="BB454">
        <v>195</v>
      </c>
      <c r="BC454">
        <v>212</v>
      </c>
      <c r="BD454" t="s">
        <v>74</v>
      </c>
      <c r="BE454" t="s">
        <v>74</v>
      </c>
      <c r="BF454" t="s">
        <v>74</v>
      </c>
      <c r="BG454" t="s">
        <v>74</v>
      </c>
      <c r="BH454" t="s">
        <v>74</v>
      </c>
      <c r="BI454">
        <v>18</v>
      </c>
      <c r="BJ454" t="s">
        <v>1612</v>
      </c>
      <c r="BK454" t="s">
        <v>102</v>
      </c>
      <c r="BL454" t="s">
        <v>1612</v>
      </c>
      <c r="BM454" t="s">
        <v>8659</v>
      </c>
      <c r="BN454" t="s">
        <v>74</v>
      </c>
      <c r="BO454" t="s">
        <v>74</v>
      </c>
      <c r="BP454" t="s">
        <v>74</v>
      </c>
      <c r="BQ454" t="s">
        <v>74</v>
      </c>
      <c r="BR454" t="s">
        <v>105</v>
      </c>
      <c r="BS454" t="s">
        <v>8660</v>
      </c>
      <c r="BT454" t="str">
        <f>HYPERLINK("https%3A%2F%2Fwww.webofscience.com%2Fwos%2Fwoscc%2Ffull-record%2FWOS:000281889600003","View Full Record in Web of Science")</f>
        <v>View Full Record in Web of Science</v>
      </c>
    </row>
    <row r="455" spans="1:72" x14ac:dyDescent="0.15">
      <c r="A455" t="s">
        <v>72</v>
      </c>
      <c r="B455" t="s">
        <v>8661</v>
      </c>
      <c r="C455" t="s">
        <v>74</v>
      </c>
      <c r="D455" t="s">
        <v>74</v>
      </c>
      <c r="E455" t="s">
        <v>74</v>
      </c>
      <c r="F455" t="s">
        <v>8662</v>
      </c>
      <c r="G455" t="s">
        <v>74</v>
      </c>
      <c r="H455" t="s">
        <v>74</v>
      </c>
      <c r="I455" t="s">
        <v>8663</v>
      </c>
      <c r="J455" t="s">
        <v>8639</v>
      </c>
      <c r="K455" t="s">
        <v>74</v>
      </c>
      <c r="L455" t="s">
        <v>74</v>
      </c>
      <c r="M455" t="s">
        <v>78</v>
      </c>
      <c r="N455" t="s">
        <v>79</v>
      </c>
      <c r="O455" t="s">
        <v>74</v>
      </c>
      <c r="P455" t="s">
        <v>74</v>
      </c>
      <c r="Q455" t="s">
        <v>74</v>
      </c>
      <c r="R455" t="s">
        <v>74</v>
      </c>
      <c r="S455" t="s">
        <v>74</v>
      </c>
      <c r="T455" t="s">
        <v>8664</v>
      </c>
      <c r="U455" t="s">
        <v>8665</v>
      </c>
      <c r="V455" t="s">
        <v>8666</v>
      </c>
      <c r="W455" t="s">
        <v>8667</v>
      </c>
      <c r="X455" t="s">
        <v>8668</v>
      </c>
      <c r="Y455" t="s">
        <v>8669</v>
      </c>
      <c r="Z455" t="s">
        <v>8670</v>
      </c>
      <c r="AA455" t="s">
        <v>74</v>
      </c>
      <c r="AB455" t="s">
        <v>8671</v>
      </c>
      <c r="AC455" t="s">
        <v>8672</v>
      </c>
      <c r="AD455" t="s">
        <v>8673</v>
      </c>
      <c r="AE455" t="s">
        <v>8674</v>
      </c>
      <c r="AF455" t="s">
        <v>74</v>
      </c>
      <c r="AG455">
        <v>157</v>
      </c>
      <c r="AH455">
        <v>20</v>
      </c>
      <c r="AI455">
        <v>21</v>
      </c>
      <c r="AJ455">
        <v>1</v>
      </c>
      <c r="AK455">
        <v>5</v>
      </c>
      <c r="AL455" t="s">
        <v>8652</v>
      </c>
      <c r="AM455" t="s">
        <v>8653</v>
      </c>
      <c r="AN455" t="s">
        <v>8654</v>
      </c>
      <c r="AO455" t="s">
        <v>8655</v>
      </c>
      <c r="AP455" t="s">
        <v>8656</v>
      </c>
      <c r="AQ455" t="s">
        <v>74</v>
      </c>
      <c r="AR455" t="s">
        <v>8657</v>
      </c>
      <c r="AS455" t="s">
        <v>8658</v>
      </c>
      <c r="AT455" t="s">
        <v>74</v>
      </c>
      <c r="AU455">
        <v>2010</v>
      </c>
      <c r="AV455">
        <v>49</v>
      </c>
      <c r="AW455">
        <v>3</v>
      </c>
      <c r="AX455" t="s">
        <v>74</v>
      </c>
      <c r="AY455" t="s">
        <v>74</v>
      </c>
      <c r="AZ455" t="s">
        <v>74</v>
      </c>
      <c r="BA455" t="s">
        <v>74</v>
      </c>
      <c r="BB455">
        <v>213</v>
      </c>
      <c r="BC455">
        <v>234</v>
      </c>
      <c r="BD455" t="s">
        <v>74</v>
      </c>
      <c r="BE455" t="s">
        <v>74</v>
      </c>
      <c r="BF455" t="s">
        <v>74</v>
      </c>
      <c r="BG455" t="s">
        <v>74</v>
      </c>
      <c r="BH455" t="s">
        <v>74</v>
      </c>
      <c r="BI455">
        <v>22</v>
      </c>
      <c r="BJ455" t="s">
        <v>1612</v>
      </c>
      <c r="BK455" t="s">
        <v>102</v>
      </c>
      <c r="BL455" t="s">
        <v>1612</v>
      </c>
      <c r="BM455" t="s">
        <v>8659</v>
      </c>
      <c r="BN455">
        <v>21339889</v>
      </c>
      <c r="BO455" t="s">
        <v>74</v>
      </c>
      <c r="BP455" t="s">
        <v>74</v>
      </c>
      <c r="BQ455" t="s">
        <v>74</v>
      </c>
      <c r="BR455" t="s">
        <v>105</v>
      </c>
      <c r="BS455" t="s">
        <v>8675</v>
      </c>
      <c r="BT455" t="str">
        <f>HYPERLINK("https%3A%2F%2Fwww.webofscience.com%2Fwos%2Fwoscc%2Ffull-record%2FWOS:000281889600004","View Full Record in Web of Science")</f>
        <v>View Full Record in Web of Science</v>
      </c>
    </row>
    <row r="456" spans="1:72" x14ac:dyDescent="0.15">
      <c r="A456" t="s">
        <v>72</v>
      </c>
      <c r="B456" t="s">
        <v>8676</v>
      </c>
      <c r="C456" t="s">
        <v>74</v>
      </c>
      <c r="D456" t="s">
        <v>74</v>
      </c>
      <c r="E456" t="s">
        <v>74</v>
      </c>
      <c r="F456" t="s">
        <v>8677</v>
      </c>
      <c r="G456" t="s">
        <v>74</v>
      </c>
      <c r="H456" t="s">
        <v>74</v>
      </c>
      <c r="I456" t="s">
        <v>8678</v>
      </c>
      <c r="J456" t="s">
        <v>8679</v>
      </c>
      <c r="K456" t="s">
        <v>74</v>
      </c>
      <c r="L456" t="s">
        <v>74</v>
      </c>
      <c r="M456" t="s">
        <v>78</v>
      </c>
      <c r="N456" t="s">
        <v>79</v>
      </c>
      <c r="O456" t="s">
        <v>74</v>
      </c>
      <c r="P456" t="s">
        <v>74</v>
      </c>
      <c r="Q456" t="s">
        <v>74</v>
      </c>
      <c r="R456" t="s">
        <v>74</v>
      </c>
      <c r="S456" t="s">
        <v>74</v>
      </c>
      <c r="T456" t="s">
        <v>74</v>
      </c>
      <c r="U456" t="s">
        <v>8680</v>
      </c>
      <c r="V456" t="s">
        <v>8681</v>
      </c>
      <c r="W456" t="s">
        <v>8682</v>
      </c>
      <c r="X456" t="s">
        <v>8683</v>
      </c>
      <c r="Y456" t="s">
        <v>8684</v>
      </c>
      <c r="Z456" t="s">
        <v>8685</v>
      </c>
      <c r="AA456" t="s">
        <v>74</v>
      </c>
      <c r="AB456" t="s">
        <v>8686</v>
      </c>
      <c r="AC456" t="s">
        <v>74</v>
      </c>
      <c r="AD456" t="s">
        <v>74</v>
      </c>
      <c r="AE456" t="s">
        <v>74</v>
      </c>
      <c r="AF456" t="s">
        <v>74</v>
      </c>
      <c r="AG456">
        <v>7</v>
      </c>
      <c r="AH456">
        <v>0</v>
      </c>
      <c r="AI456">
        <v>0</v>
      </c>
      <c r="AJ456">
        <v>0</v>
      </c>
      <c r="AK456">
        <v>0</v>
      </c>
      <c r="AL456" t="s">
        <v>8687</v>
      </c>
      <c r="AM456" t="s">
        <v>407</v>
      </c>
      <c r="AN456" t="s">
        <v>8688</v>
      </c>
      <c r="AO456" t="s">
        <v>8689</v>
      </c>
      <c r="AP456" t="s">
        <v>8690</v>
      </c>
      <c r="AQ456" t="s">
        <v>74</v>
      </c>
      <c r="AR456" t="s">
        <v>8691</v>
      </c>
      <c r="AS456" t="s">
        <v>8692</v>
      </c>
      <c r="AT456" t="s">
        <v>74</v>
      </c>
      <c r="AU456">
        <v>2010</v>
      </c>
      <c r="AV456">
        <v>2010</v>
      </c>
      <c r="AW456" t="s">
        <v>74</v>
      </c>
      <c r="AX456" t="s">
        <v>74</v>
      </c>
      <c r="AY456" t="s">
        <v>74</v>
      </c>
      <c r="AZ456" t="s">
        <v>74</v>
      </c>
      <c r="BA456" t="s">
        <v>74</v>
      </c>
      <c r="BB456" t="s">
        <v>74</v>
      </c>
      <c r="BC456" t="s">
        <v>74</v>
      </c>
      <c r="BD456">
        <v>728470</v>
      </c>
      <c r="BE456" t="s">
        <v>8693</v>
      </c>
      <c r="BF456" t="str">
        <f>HYPERLINK("http://dx.doi.org/10.1155/2010/728470","http://dx.doi.org/10.1155/2010/728470")</f>
        <v>http://dx.doi.org/10.1155/2010/728470</v>
      </c>
      <c r="BG456" t="s">
        <v>74</v>
      </c>
      <c r="BH456" t="s">
        <v>74</v>
      </c>
      <c r="BI456">
        <v>7</v>
      </c>
      <c r="BJ456" t="s">
        <v>478</v>
      </c>
      <c r="BK456" t="s">
        <v>102</v>
      </c>
      <c r="BL456" t="s">
        <v>478</v>
      </c>
      <c r="BM456" t="s">
        <v>8694</v>
      </c>
      <c r="BN456" t="s">
        <v>74</v>
      </c>
      <c r="BO456" t="s">
        <v>8695</v>
      </c>
      <c r="BP456" t="s">
        <v>74</v>
      </c>
      <c r="BQ456" t="s">
        <v>74</v>
      </c>
      <c r="BR456" t="s">
        <v>105</v>
      </c>
      <c r="BS456" t="s">
        <v>8696</v>
      </c>
      <c r="BT456" t="str">
        <f>HYPERLINK("https%3A%2F%2Fwww.webofscience.com%2Fwos%2Fwoscc%2Ffull-record%2FWOS:000209692200058","View Full Record in Web of Science")</f>
        <v>View Full Record in Web of Science</v>
      </c>
    </row>
    <row r="457" spans="1:72" x14ac:dyDescent="0.15">
      <c r="A457" t="s">
        <v>8697</v>
      </c>
      <c r="B457" t="s">
        <v>8698</v>
      </c>
      <c r="C457" t="s">
        <v>74</v>
      </c>
      <c r="D457" t="s">
        <v>8699</v>
      </c>
      <c r="E457" t="s">
        <v>74</v>
      </c>
      <c r="F457" t="s">
        <v>8700</v>
      </c>
      <c r="G457" t="s">
        <v>74</v>
      </c>
      <c r="H457" t="s">
        <v>74</v>
      </c>
      <c r="I457" t="s">
        <v>8701</v>
      </c>
      <c r="J457" t="s">
        <v>8702</v>
      </c>
      <c r="K457" t="s">
        <v>8703</v>
      </c>
      <c r="L457" t="s">
        <v>74</v>
      </c>
      <c r="M457" t="s">
        <v>78</v>
      </c>
      <c r="N457" t="s">
        <v>8704</v>
      </c>
      <c r="O457" t="s">
        <v>74</v>
      </c>
      <c r="P457" t="s">
        <v>74</v>
      </c>
      <c r="Q457" t="s">
        <v>74</v>
      </c>
      <c r="R457" t="s">
        <v>74</v>
      </c>
      <c r="S457" t="s">
        <v>74</v>
      </c>
      <c r="T457" t="s">
        <v>74</v>
      </c>
      <c r="U457" t="s">
        <v>8705</v>
      </c>
      <c r="V457" t="s">
        <v>8706</v>
      </c>
      <c r="W457" t="s">
        <v>8707</v>
      </c>
      <c r="X457" t="s">
        <v>8708</v>
      </c>
      <c r="Y457" t="s">
        <v>8709</v>
      </c>
      <c r="Z457" t="s">
        <v>74</v>
      </c>
      <c r="AA457" t="s">
        <v>8710</v>
      </c>
      <c r="AB457" t="s">
        <v>8711</v>
      </c>
      <c r="AC457" t="s">
        <v>8712</v>
      </c>
      <c r="AD457" t="s">
        <v>1972</v>
      </c>
      <c r="AE457" t="s">
        <v>74</v>
      </c>
      <c r="AF457" t="s">
        <v>74</v>
      </c>
      <c r="AG457">
        <v>198</v>
      </c>
      <c r="AH457">
        <v>25</v>
      </c>
      <c r="AI457">
        <v>26</v>
      </c>
      <c r="AJ457">
        <v>1</v>
      </c>
      <c r="AK457">
        <v>39</v>
      </c>
      <c r="AL457" t="s">
        <v>8713</v>
      </c>
      <c r="AM457" t="s">
        <v>2418</v>
      </c>
      <c r="AN457" t="s">
        <v>8714</v>
      </c>
      <c r="AO457" t="s">
        <v>8715</v>
      </c>
      <c r="AP457" t="s">
        <v>74</v>
      </c>
      <c r="AQ457" t="s">
        <v>8716</v>
      </c>
      <c r="AR457" t="s">
        <v>8717</v>
      </c>
      <c r="AS457" t="s">
        <v>8718</v>
      </c>
      <c r="AT457" t="s">
        <v>74</v>
      </c>
      <c r="AU457">
        <v>2010</v>
      </c>
      <c r="AV457">
        <v>57</v>
      </c>
      <c r="AW457" t="s">
        <v>74</v>
      </c>
      <c r="AX457" t="s">
        <v>74</v>
      </c>
      <c r="AY457" t="s">
        <v>74</v>
      </c>
      <c r="AZ457" t="s">
        <v>74</v>
      </c>
      <c r="BA457" t="s">
        <v>74</v>
      </c>
      <c r="BB457">
        <v>1</v>
      </c>
      <c r="BC457">
        <v>40</v>
      </c>
      <c r="BD457" t="s">
        <v>74</v>
      </c>
      <c r="BE457" t="s">
        <v>8719</v>
      </c>
      <c r="BF457" t="str">
        <f>HYPERLINK("http://dx.doi.org/10.1016/S0065-2881(10)57001-9","http://dx.doi.org/10.1016/S0065-2881(10)57001-9")</f>
        <v>http://dx.doi.org/10.1016/S0065-2881(10)57001-9</v>
      </c>
      <c r="BG457" t="s">
        <v>74</v>
      </c>
      <c r="BH457" t="s">
        <v>74</v>
      </c>
      <c r="BI457">
        <v>40</v>
      </c>
      <c r="BJ457" t="s">
        <v>2186</v>
      </c>
      <c r="BK457" t="s">
        <v>8720</v>
      </c>
      <c r="BL457" t="s">
        <v>2186</v>
      </c>
      <c r="BM457" t="s">
        <v>8721</v>
      </c>
      <c r="BN457">
        <v>20955887</v>
      </c>
      <c r="BO457" t="s">
        <v>74</v>
      </c>
      <c r="BP457" t="s">
        <v>74</v>
      </c>
      <c r="BQ457" t="s">
        <v>74</v>
      </c>
      <c r="BR457" t="s">
        <v>105</v>
      </c>
      <c r="BS457" t="s">
        <v>8722</v>
      </c>
      <c r="BT457" t="str">
        <f>HYPERLINK("https%3A%2F%2Fwww.webofscience.com%2Fwos%2Fwoscc%2Ffull-record%2FWOS:000285484800001","View Full Record in Web of Science")</f>
        <v>View Full Record in Web of Science</v>
      </c>
    </row>
    <row r="458" spans="1:72" x14ac:dyDescent="0.15">
      <c r="A458" t="s">
        <v>8697</v>
      </c>
      <c r="B458" t="s">
        <v>8723</v>
      </c>
      <c r="C458" t="s">
        <v>74</v>
      </c>
      <c r="D458" t="s">
        <v>8699</v>
      </c>
      <c r="E458" t="s">
        <v>74</v>
      </c>
      <c r="F458" t="s">
        <v>8724</v>
      </c>
      <c r="G458" t="s">
        <v>74</v>
      </c>
      <c r="H458" t="s">
        <v>74</v>
      </c>
      <c r="I458" t="s">
        <v>8725</v>
      </c>
      <c r="J458" t="s">
        <v>8702</v>
      </c>
      <c r="K458" t="s">
        <v>8703</v>
      </c>
      <c r="L458" t="s">
        <v>74</v>
      </c>
      <c r="M458" t="s">
        <v>78</v>
      </c>
      <c r="N458" t="s">
        <v>8726</v>
      </c>
      <c r="O458" t="s">
        <v>74</v>
      </c>
      <c r="P458" t="s">
        <v>74</v>
      </c>
      <c r="Q458" t="s">
        <v>74</v>
      </c>
      <c r="R458" t="s">
        <v>74</v>
      </c>
      <c r="S458" t="s">
        <v>74</v>
      </c>
      <c r="T458" t="s">
        <v>74</v>
      </c>
      <c r="U458" t="s">
        <v>8727</v>
      </c>
      <c r="V458" t="s">
        <v>8728</v>
      </c>
      <c r="W458" t="s">
        <v>8729</v>
      </c>
      <c r="X458" t="s">
        <v>8730</v>
      </c>
      <c r="Y458" t="s">
        <v>8731</v>
      </c>
      <c r="Z458" t="s">
        <v>74</v>
      </c>
      <c r="AA458" t="s">
        <v>8732</v>
      </c>
      <c r="AB458" t="s">
        <v>8733</v>
      </c>
      <c r="AC458" t="s">
        <v>74</v>
      </c>
      <c r="AD458" t="s">
        <v>74</v>
      </c>
      <c r="AE458" t="s">
        <v>74</v>
      </c>
      <c r="AF458" t="s">
        <v>74</v>
      </c>
      <c r="AG458">
        <v>59</v>
      </c>
      <c r="AH458">
        <v>8</v>
      </c>
      <c r="AI458">
        <v>9</v>
      </c>
      <c r="AJ458">
        <v>0</v>
      </c>
      <c r="AK458">
        <v>18</v>
      </c>
      <c r="AL458" t="s">
        <v>8713</v>
      </c>
      <c r="AM458" t="s">
        <v>2418</v>
      </c>
      <c r="AN458" t="s">
        <v>8714</v>
      </c>
      <c r="AO458" t="s">
        <v>8715</v>
      </c>
      <c r="AP458" t="s">
        <v>74</v>
      </c>
      <c r="AQ458" t="s">
        <v>8716</v>
      </c>
      <c r="AR458" t="s">
        <v>8717</v>
      </c>
      <c r="AS458" t="s">
        <v>8718</v>
      </c>
      <c r="AT458" t="s">
        <v>74</v>
      </c>
      <c r="AU458">
        <v>2010</v>
      </c>
      <c r="AV458">
        <v>57</v>
      </c>
      <c r="AW458" t="s">
        <v>74</v>
      </c>
      <c r="AX458" t="s">
        <v>74</v>
      </c>
      <c r="AY458" t="s">
        <v>74</v>
      </c>
      <c r="AZ458" t="s">
        <v>74</v>
      </c>
      <c r="BA458" t="s">
        <v>74</v>
      </c>
      <c r="BB458">
        <v>41</v>
      </c>
      <c r="BC458">
        <v>57</v>
      </c>
      <c r="BD458" t="s">
        <v>74</v>
      </c>
      <c r="BE458" t="s">
        <v>8734</v>
      </c>
      <c r="BF458" t="str">
        <f>HYPERLINK("http://dx.doi.org/10.1016/B978-0-12-381308-4.00002-9","http://dx.doi.org/10.1016/B978-0-12-381308-4.00002-9")</f>
        <v>http://dx.doi.org/10.1016/B978-0-12-381308-4.00002-9</v>
      </c>
      <c r="BG458" t="s">
        <v>74</v>
      </c>
      <c r="BH458" t="s">
        <v>74</v>
      </c>
      <c r="BI458">
        <v>17</v>
      </c>
      <c r="BJ458" t="s">
        <v>2186</v>
      </c>
      <c r="BK458" t="s">
        <v>8720</v>
      </c>
      <c r="BL458" t="s">
        <v>2186</v>
      </c>
      <c r="BM458" t="s">
        <v>8721</v>
      </c>
      <c r="BN458">
        <v>20955888</v>
      </c>
      <c r="BO458" t="s">
        <v>74</v>
      </c>
      <c r="BP458" t="s">
        <v>74</v>
      </c>
      <c r="BQ458" t="s">
        <v>74</v>
      </c>
      <c r="BR458" t="s">
        <v>105</v>
      </c>
      <c r="BS458" t="s">
        <v>8735</v>
      </c>
      <c r="BT458" t="str">
        <f>HYPERLINK("https%3A%2F%2Fwww.webofscience.com%2Fwos%2Fwoscc%2Ffull-record%2FWOS:000285484800002","View Full Record in Web of Science")</f>
        <v>View Full Record in Web of Science</v>
      </c>
    </row>
    <row r="459" spans="1:72" x14ac:dyDescent="0.15">
      <c r="A459" t="s">
        <v>8697</v>
      </c>
      <c r="B459" t="s">
        <v>8699</v>
      </c>
      <c r="C459" t="s">
        <v>74</v>
      </c>
      <c r="D459" t="s">
        <v>8699</v>
      </c>
      <c r="E459" t="s">
        <v>74</v>
      </c>
      <c r="F459" t="s">
        <v>8736</v>
      </c>
      <c r="G459" t="s">
        <v>74</v>
      </c>
      <c r="H459" t="s">
        <v>74</v>
      </c>
      <c r="I459" t="s">
        <v>8737</v>
      </c>
      <c r="J459" t="s">
        <v>8702</v>
      </c>
      <c r="K459" t="s">
        <v>8703</v>
      </c>
      <c r="L459" t="s">
        <v>74</v>
      </c>
      <c r="M459" t="s">
        <v>78</v>
      </c>
      <c r="N459" t="s">
        <v>8726</v>
      </c>
      <c r="O459" t="s">
        <v>74</v>
      </c>
      <c r="P459" t="s">
        <v>74</v>
      </c>
      <c r="Q459" t="s">
        <v>74</v>
      </c>
      <c r="R459" t="s">
        <v>74</v>
      </c>
      <c r="S459" t="s">
        <v>74</v>
      </c>
      <c r="T459" t="s">
        <v>74</v>
      </c>
      <c r="U459" t="s">
        <v>8738</v>
      </c>
      <c r="V459" t="s">
        <v>8739</v>
      </c>
      <c r="W459" t="s">
        <v>655</v>
      </c>
      <c r="X459" t="s">
        <v>656</v>
      </c>
      <c r="Y459" t="s">
        <v>8709</v>
      </c>
      <c r="Z459" t="s">
        <v>74</v>
      </c>
      <c r="AA459" t="s">
        <v>74</v>
      </c>
      <c r="AB459" t="s">
        <v>74</v>
      </c>
      <c r="AC459" t="s">
        <v>74</v>
      </c>
      <c r="AD459" t="s">
        <v>74</v>
      </c>
      <c r="AE459" t="s">
        <v>74</v>
      </c>
      <c r="AF459" t="s">
        <v>74</v>
      </c>
      <c r="AG459">
        <v>81</v>
      </c>
      <c r="AH459">
        <v>11</v>
      </c>
      <c r="AI459">
        <v>12</v>
      </c>
      <c r="AJ459">
        <v>0</v>
      </c>
      <c r="AK459">
        <v>21</v>
      </c>
      <c r="AL459" t="s">
        <v>8713</v>
      </c>
      <c r="AM459" t="s">
        <v>2418</v>
      </c>
      <c r="AN459" t="s">
        <v>8714</v>
      </c>
      <c r="AO459" t="s">
        <v>8715</v>
      </c>
      <c r="AP459" t="s">
        <v>74</v>
      </c>
      <c r="AQ459" t="s">
        <v>8716</v>
      </c>
      <c r="AR459" t="s">
        <v>8717</v>
      </c>
      <c r="AS459" t="s">
        <v>8718</v>
      </c>
      <c r="AT459" t="s">
        <v>74</v>
      </c>
      <c r="AU459">
        <v>2010</v>
      </c>
      <c r="AV459">
        <v>57</v>
      </c>
      <c r="AW459" t="s">
        <v>74</v>
      </c>
      <c r="AX459" t="s">
        <v>74</v>
      </c>
      <c r="AY459" t="s">
        <v>74</v>
      </c>
      <c r="AZ459" t="s">
        <v>74</v>
      </c>
      <c r="BA459" t="s">
        <v>74</v>
      </c>
      <c r="BB459">
        <v>59</v>
      </c>
      <c r="BC459">
        <v>90</v>
      </c>
      <c r="BD459" t="s">
        <v>74</v>
      </c>
      <c r="BE459" t="s">
        <v>8740</v>
      </c>
      <c r="BF459" t="str">
        <f>HYPERLINK("http://dx.doi.org/10.1016/S0065-2881(10)57003-2","http://dx.doi.org/10.1016/S0065-2881(10)57003-2")</f>
        <v>http://dx.doi.org/10.1016/S0065-2881(10)57003-2</v>
      </c>
      <c r="BG459" t="s">
        <v>74</v>
      </c>
      <c r="BH459" t="s">
        <v>74</v>
      </c>
      <c r="BI459">
        <v>32</v>
      </c>
      <c r="BJ459" t="s">
        <v>2186</v>
      </c>
      <c r="BK459" t="s">
        <v>8720</v>
      </c>
      <c r="BL459" t="s">
        <v>2186</v>
      </c>
      <c r="BM459" t="s">
        <v>8721</v>
      </c>
      <c r="BN459">
        <v>20955889</v>
      </c>
      <c r="BO459" t="s">
        <v>74</v>
      </c>
      <c r="BP459" t="s">
        <v>74</v>
      </c>
      <c r="BQ459" t="s">
        <v>74</v>
      </c>
      <c r="BR459" t="s">
        <v>105</v>
      </c>
      <c r="BS459" t="s">
        <v>8741</v>
      </c>
      <c r="BT459" t="str">
        <f>HYPERLINK("https%3A%2F%2Fwww.webofscience.com%2Fwos%2Fwoscc%2Ffull-record%2FWOS:000285484800003","View Full Record in Web of Science")</f>
        <v>View Full Record in Web of Science</v>
      </c>
    </row>
    <row r="460" spans="1:72" x14ac:dyDescent="0.15">
      <c r="A460" t="s">
        <v>8697</v>
      </c>
      <c r="B460" t="s">
        <v>8742</v>
      </c>
      <c r="C460" t="s">
        <v>74</v>
      </c>
      <c r="D460" t="s">
        <v>8699</v>
      </c>
      <c r="E460" t="s">
        <v>74</v>
      </c>
      <c r="F460" t="s">
        <v>8743</v>
      </c>
      <c r="G460" t="s">
        <v>74</v>
      </c>
      <c r="H460" t="s">
        <v>74</v>
      </c>
      <c r="I460" t="s">
        <v>8744</v>
      </c>
      <c r="J460" t="s">
        <v>8702</v>
      </c>
      <c r="K460" t="s">
        <v>8703</v>
      </c>
      <c r="L460" t="s">
        <v>74</v>
      </c>
      <c r="M460" t="s">
        <v>78</v>
      </c>
      <c r="N460" t="s">
        <v>8726</v>
      </c>
      <c r="O460" t="s">
        <v>74</v>
      </c>
      <c r="P460" t="s">
        <v>74</v>
      </c>
      <c r="Q460" t="s">
        <v>74</v>
      </c>
      <c r="R460" t="s">
        <v>74</v>
      </c>
      <c r="S460" t="s">
        <v>74</v>
      </c>
      <c r="T460" t="s">
        <v>74</v>
      </c>
      <c r="U460" t="s">
        <v>8745</v>
      </c>
      <c r="V460" t="s">
        <v>8746</v>
      </c>
      <c r="W460" t="s">
        <v>8747</v>
      </c>
      <c r="X460" t="s">
        <v>8748</v>
      </c>
      <c r="Y460" t="s">
        <v>8749</v>
      </c>
      <c r="Z460" t="s">
        <v>74</v>
      </c>
      <c r="AA460" t="s">
        <v>74</v>
      </c>
      <c r="AB460" t="s">
        <v>8750</v>
      </c>
      <c r="AC460" t="s">
        <v>74</v>
      </c>
      <c r="AD460" t="s">
        <v>74</v>
      </c>
      <c r="AE460" t="s">
        <v>74</v>
      </c>
      <c r="AF460" t="s">
        <v>74</v>
      </c>
      <c r="AG460">
        <v>86</v>
      </c>
      <c r="AH460">
        <v>17</v>
      </c>
      <c r="AI460">
        <v>18</v>
      </c>
      <c r="AJ460">
        <v>2</v>
      </c>
      <c r="AK460">
        <v>33</v>
      </c>
      <c r="AL460" t="s">
        <v>8713</v>
      </c>
      <c r="AM460" t="s">
        <v>2418</v>
      </c>
      <c r="AN460" t="s">
        <v>8714</v>
      </c>
      <c r="AO460" t="s">
        <v>8715</v>
      </c>
      <c r="AP460" t="s">
        <v>74</v>
      </c>
      <c r="AQ460" t="s">
        <v>8716</v>
      </c>
      <c r="AR460" t="s">
        <v>8717</v>
      </c>
      <c r="AS460" t="s">
        <v>8718</v>
      </c>
      <c r="AT460" t="s">
        <v>74</v>
      </c>
      <c r="AU460">
        <v>2010</v>
      </c>
      <c r="AV460">
        <v>57</v>
      </c>
      <c r="AW460" t="s">
        <v>74</v>
      </c>
      <c r="AX460" t="s">
        <v>74</v>
      </c>
      <c r="AY460" t="s">
        <v>74</v>
      </c>
      <c r="AZ460" t="s">
        <v>74</v>
      </c>
      <c r="BA460" t="s">
        <v>74</v>
      </c>
      <c r="BB460">
        <v>91</v>
      </c>
      <c r="BC460">
        <v>126</v>
      </c>
      <c r="BD460" t="s">
        <v>74</v>
      </c>
      <c r="BE460" t="s">
        <v>8751</v>
      </c>
      <c r="BF460" t="str">
        <f>HYPERLINK("http://dx.doi.org/10.1016/S0065-2881(10)57004-4","http://dx.doi.org/10.1016/S0065-2881(10)57004-4")</f>
        <v>http://dx.doi.org/10.1016/S0065-2881(10)57004-4</v>
      </c>
      <c r="BG460" t="s">
        <v>74</v>
      </c>
      <c r="BH460" t="s">
        <v>74</v>
      </c>
      <c r="BI460">
        <v>36</v>
      </c>
      <c r="BJ460" t="s">
        <v>2186</v>
      </c>
      <c r="BK460" t="s">
        <v>8720</v>
      </c>
      <c r="BL460" t="s">
        <v>2186</v>
      </c>
      <c r="BM460" t="s">
        <v>8721</v>
      </c>
      <c r="BN460">
        <v>20955890</v>
      </c>
      <c r="BO460" t="s">
        <v>74</v>
      </c>
      <c r="BP460" t="s">
        <v>74</v>
      </c>
      <c r="BQ460" t="s">
        <v>74</v>
      </c>
      <c r="BR460" t="s">
        <v>105</v>
      </c>
      <c r="BS460" t="s">
        <v>8752</v>
      </c>
      <c r="BT460" t="str">
        <f>HYPERLINK("https%3A%2F%2Fwww.webofscience.com%2Fwos%2Fwoscc%2Ffull-record%2FWOS:000285484800004","View Full Record in Web of Science")</f>
        <v>View Full Record in Web of Science</v>
      </c>
    </row>
    <row r="461" spans="1:72" x14ac:dyDescent="0.15">
      <c r="A461" t="s">
        <v>8697</v>
      </c>
      <c r="B461" t="s">
        <v>8753</v>
      </c>
      <c r="C461" t="s">
        <v>74</v>
      </c>
      <c r="D461" t="s">
        <v>8699</v>
      </c>
      <c r="E461" t="s">
        <v>74</v>
      </c>
      <c r="F461" t="s">
        <v>8754</v>
      </c>
      <c r="G461" t="s">
        <v>74</v>
      </c>
      <c r="H461" t="s">
        <v>74</v>
      </c>
      <c r="I461" t="s">
        <v>8755</v>
      </c>
      <c r="J461" t="s">
        <v>8702</v>
      </c>
      <c r="K461" t="s">
        <v>8703</v>
      </c>
      <c r="L461" t="s">
        <v>74</v>
      </c>
      <c r="M461" t="s">
        <v>78</v>
      </c>
      <c r="N461" t="s">
        <v>8726</v>
      </c>
      <c r="O461" t="s">
        <v>74</v>
      </c>
      <c r="P461" t="s">
        <v>74</v>
      </c>
      <c r="Q461" t="s">
        <v>74</v>
      </c>
      <c r="R461" t="s">
        <v>74</v>
      </c>
      <c r="S461" t="s">
        <v>74</v>
      </c>
      <c r="T461" t="s">
        <v>74</v>
      </c>
      <c r="U461" t="s">
        <v>8756</v>
      </c>
      <c r="V461" t="s">
        <v>8757</v>
      </c>
      <c r="W461" t="s">
        <v>655</v>
      </c>
      <c r="X461" t="s">
        <v>656</v>
      </c>
      <c r="Y461" t="s">
        <v>8758</v>
      </c>
      <c r="Z461" t="s">
        <v>74</v>
      </c>
      <c r="AA461" t="s">
        <v>74</v>
      </c>
      <c r="AB461" t="s">
        <v>74</v>
      </c>
      <c r="AC461" t="s">
        <v>74</v>
      </c>
      <c r="AD461" t="s">
        <v>74</v>
      </c>
      <c r="AE461" t="s">
        <v>74</v>
      </c>
      <c r="AF461" t="s">
        <v>74</v>
      </c>
      <c r="AG461">
        <v>99</v>
      </c>
      <c r="AH461">
        <v>43</v>
      </c>
      <c r="AI461">
        <v>44</v>
      </c>
      <c r="AJ461">
        <v>2</v>
      </c>
      <c r="AK461">
        <v>38</v>
      </c>
      <c r="AL461" t="s">
        <v>8713</v>
      </c>
      <c r="AM461" t="s">
        <v>2418</v>
      </c>
      <c r="AN461" t="s">
        <v>8714</v>
      </c>
      <c r="AO461" t="s">
        <v>8715</v>
      </c>
      <c r="AP461" t="s">
        <v>74</v>
      </c>
      <c r="AQ461" t="s">
        <v>8716</v>
      </c>
      <c r="AR461" t="s">
        <v>8717</v>
      </c>
      <c r="AS461" t="s">
        <v>8718</v>
      </c>
      <c r="AT461" t="s">
        <v>74</v>
      </c>
      <c r="AU461">
        <v>2010</v>
      </c>
      <c r="AV461">
        <v>57</v>
      </c>
      <c r="AW461" t="s">
        <v>74</v>
      </c>
      <c r="AX461" t="s">
        <v>74</v>
      </c>
      <c r="AY461" t="s">
        <v>74</v>
      </c>
      <c r="AZ461" t="s">
        <v>74</v>
      </c>
      <c r="BA461" t="s">
        <v>74</v>
      </c>
      <c r="BB461">
        <v>127</v>
      </c>
      <c r="BC461">
        <v>171</v>
      </c>
      <c r="BD461" t="s">
        <v>74</v>
      </c>
      <c r="BE461" t="s">
        <v>8759</v>
      </c>
      <c r="BF461" t="str">
        <f>HYPERLINK("http://dx.doi.org/10.1016/S0065-2881(10)57005-6","http://dx.doi.org/10.1016/S0065-2881(10)57005-6")</f>
        <v>http://dx.doi.org/10.1016/S0065-2881(10)57005-6</v>
      </c>
      <c r="BG461" t="s">
        <v>74</v>
      </c>
      <c r="BH461" t="s">
        <v>74</v>
      </c>
      <c r="BI461">
        <v>45</v>
      </c>
      <c r="BJ461" t="s">
        <v>2186</v>
      </c>
      <c r="BK461" t="s">
        <v>8720</v>
      </c>
      <c r="BL461" t="s">
        <v>2186</v>
      </c>
      <c r="BM461" t="s">
        <v>8721</v>
      </c>
      <c r="BN461">
        <v>20955891</v>
      </c>
      <c r="BO461" t="s">
        <v>74</v>
      </c>
      <c r="BP461" t="s">
        <v>74</v>
      </c>
      <c r="BQ461" t="s">
        <v>74</v>
      </c>
      <c r="BR461" t="s">
        <v>105</v>
      </c>
      <c r="BS461" t="s">
        <v>8760</v>
      </c>
      <c r="BT461" t="str">
        <f>HYPERLINK("https%3A%2F%2Fwww.webofscience.com%2Fwos%2Fwoscc%2Ffull-record%2FWOS:000285484800005","View Full Record in Web of Science")</f>
        <v>View Full Record in Web of Science</v>
      </c>
    </row>
    <row r="462" spans="1:72" x14ac:dyDescent="0.15">
      <c r="A462" t="s">
        <v>8697</v>
      </c>
      <c r="B462" t="s">
        <v>8761</v>
      </c>
      <c r="C462" t="s">
        <v>74</v>
      </c>
      <c r="D462" t="s">
        <v>8699</v>
      </c>
      <c r="E462" t="s">
        <v>74</v>
      </c>
      <c r="F462" t="s">
        <v>8762</v>
      </c>
      <c r="G462" t="s">
        <v>74</v>
      </c>
      <c r="H462" t="s">
        <v>74</v>
      </c>
      <c r="I462" t="s">
        <v>8763</v>
      </c>
      <c r="J462" t="s">
        <v>8702</v>
      </c>
      <c r="K462" t="s">
        <v>8703</v>
      </c>
      <c r="L462" t="s">
        <v>74</v>
      </c>
      <c r="M462" t="s">
        <v>78</v>
      </c>
      <c r="N462" t="s">
        <v>8726</v>
      </c>
      <c r="O462" t="s">
        <v>74</v>
      </c>
      <c r="P462" t="s">
        <v>74</v>
      </c>
      <c r="Q462" t="s">
        <v>74</v>
      </c>
      <c r="R462" t="s">
        <v>74</v>
      </c>
      <c r="S462" t="s">
        <v>74</v>
      </c>
      <c r="T462" t="s">
        <v>74</v>
      </c>
      <c r="U462" t="s">
        <v>8764</v>
      </c>
      <c r="V462" t="s">
        <v>8765</v>
      </c>
      <c r="W462" t="s">
        <v>8766</v>
      </c>
      <c r="X462" t="s">
        <v>2278</v>
      </c>
      <c r="Y462" t="s">
        <v>8767</v>
      </c>
      <c r="Z462" t="s">
        <v>74</v>
      </c>
      <c r="AA462" t="s">
        <v>74</v>
      </c>
      <c r="AB462" t="s">
        <v>8768</v>
      </c>
      <c r="AC462" t="s">
        <v>74</v>
      </c>
      <c r="AD462" t="s">
        <v>74</v>
      </c>
      <c r="AE462" t="s">
        <v>74</v>
      </c>
      <c r="AF462" t="s">
        <v>74</v>
      </c>
      <c r="AG462">
        <v>51</v>
      </c>
      <c r="AH462">
        <v>10</v>
      </c>
      <c r="AI462">
        <v>12</v>
      </c>
      <c r="AJ462">
        <v>0</v>
      </c>
      <c r="AK462">
        <v>23</v>
      </c>
      <c r="AL462" t="s">
        <v>8713</v>
      </c>
      <c r="AM462" t="s">
        <v>2418</v>
      </c>
      <c r="AN462" t="s">
        <v>8714</v>
      </c>
      <c r="AO462" t="s">
        <v>8715</v>
      </c>
      <c r="AP462" t="s">
        <v>74</v>
      </c>
      <c r="AQ462" t="s">
        <v>8716</v>
      </c>
      <c r="AR462" t="s">
        <v>8717</v>
      </c>
      <c r="AS462" t="s">
        <v>8718</v>
      </c>
      <c r="AT462" t="s">
        <v>74</v>
      </c>
      <c r="AU462">
        <v>2010</v>
      </c>
      <c r="AV462">
        <v>57</v>
      </c>
      <c r="AW462" t="s">
        <v>74</v>
      </c>
      <c r="AX462" t="s">
        <v>74</v>
      </c>
      <c r="AY462" t="s">
        <v>74</v>
      </c>
      <c r="AZ462" t="s">
        <v>74</v>
      </c>
      <c r="BA462" t="s">
        <v>74</v>
      </c>
      <c r="BB462">
        <v>173</v>
      </c>
      <c r="BC462">
        <v>197</v>
      </c>
      <c r="BD462" t="s">
        <v>74</v>
      </c>
      <c r="BE462" t="s">
        <v>8769</v>
      </c>
      <c r="BF462" t="str">
        <f>HYPERLINK("http://dx.doi.org/10.1016/S0065-2881(10)57006-8","http://dx.doi.org/10.1016/S0065-2881(10)57006-8")</f>
        <v>http://dx.doi.org/10.1016/S0065-2881(10)57006-8</v>
      </c>
      <c r="BG462" t="s">
        <v>74</v>
      </c>
      <c r="BH462" t="s">
        <v>74</v>
      </c>
      <c r="BI462">
        <v>25</v>
      </c>
      <c r="BJ462" t="s">
        <v>2186</v>
      </c>
      <c r="BK462" t="s">
        <v>8720</v>
      </c>
      <c r="BL462" t="s">
        <v>2186</v>
      </c>
      <c r="BM462" t="s">
        <v>8721</v>
      </c>
      <c r="BN462">
        <v>20955892</v>
      </c>
      <c r="BO462" t="s">
        <v>74</v>
      </c>
      <c r="BP462" t="s">
        <v>74</v>
      </c>
      <c r="BQ462" t="s">
        <v>74</v>
      </c>
      <c r="BR462" t="s">
        <v>105</v>
      </c>
      <c r="BS462" t="s">
        <v>8770</v>
      </c>
      <c r="BT462" t="str">
        <f>HYPERLINK("https%3A%2F%2Fwww.webofscience.com%2Fwos%2Fwoscc%2Ffull-record%2FWOS:000285484800006","View Full Record in Web of Science")</f>
        <v>View Full Record in Web of Science</v>
      </c>
    </row>
    <row r="463" spans="1:72" x14ac:dyDescent="0.15">
      <c r="A463" t="s">
        <v>8697</v>
      </c>
      <c r="B463" t="s">
        <v>8771</v>
      </c>
      <c r="C463" t="s">
        <v>74</v>
      </c>
      <c r="D463" t="s">
        <v>8699</v>
      </c>
      <c r="E463" t="s">
        <v>74</v>
      </c>
      <c r="F463" t="s">
        <v>8772</v>
      </c>
      <c r="G463" t="s">
        <v>74</v>
      </c>
      <c r="H463" t="s">
        <v>74</v>
      </c>
      <c r="I463" t="s">
        <v>8773</v>
      </c>
      <c r="J463" t="s">
        <v>8702</v>
      </c>
      <c r="K463" t="s">
        <v>8703</v>
      </c>
      <c r="L463" t="s">
        <v>74</v>
      </c>
      <c r="M463" t="s">
        <v>78</v>
      </c>
      <c r="N463" t="s">
        <v>8726</v>
      </c>
      <c r="O463" t="s">
        <v>74</v>
      </c>
      <c r="P463" t="s">
        <v>74</v>
      </c>
      <c r="Q463" t="s">
        <v>74</v>
      </c>
      <c r="R463" t="s">
        <v>74</v>
      </c>
      <c r="S463" t="s">
        <v>74</v>
      </c>
      <c r="T463" t="s">
        <v>74</v>
      </c>
      <c r="U463" t="s">
        <v>8774</v>
      </c>
      <c r="V463" t="s">
        <v>8775</v>
      </c>
      <c r="W463" t="s">
        <v>8776</v>
      </c>
      <c r="X463" t="s">
        <v>8777</v>
      </c>
      <c r="Y463" t="s">
        <v>8778</v>
      </c>
      <c r="Z463" t="s">
        <v>74</v>
      </c>
      <c r="AA463" t="s">
        <v>74</v>
      </c>
      <c r="AB463" t="s">
        <v>74</v>
      </c>
      <c r="AC463" t="s">
        <v>74</v>
      </c>
      <c r="AD463" t="s">
        <v>74</v>
      </c>
      <c r="AE463" t="s">
        <v>74</v>
      </c>
      <c r="AF463" t="s">
        <v>74</v>
      </c>
      <c r="AG463">
        <v>65</v>
      </c>
      <c r="AH463">
        <v>6</v>
      </c>
      <c r="AI463">
        <v>7</v>
      </c>
      <c r="AJ463">
        <v>0</v>
      </c>
      <c r="AK463">
        <v>22</v>
      </c>
      <c r="AL463" t="s">
        <v>8713</v>
      </c>
      <c r="AM463" t="s">
        <v>2418</v>
      </c>
      <c r="AN463" t="s">
        <v>8714</v>
      </c>
      <c r="AO463" t="s">
        <v>8715</v>
      </c>
      <c r="AP463" t="s">
        <v>74</v>
      </c>
      <c r="AQ463" t="s">
        <v>8716</v>
      </c>
      <c r="AR463" t="s">
        <v>8717</v>
      </c>
      <c r="AS463" t="s">
        <v>8718</v>
      </c>
      <c r="AT463" t="s">
        <v>74</v>
      </c>
      <c r="AU463">
        <v>2010</v>
      </c>
      <c r="AV463">
        <v>57</v>
      </c>
      <c r="AW463" t="s">
        <v>74</v>
      </c>
      <c r="AX463" t="s">
        <v>74</v>
      </c>
      <c r="AY463" t="s">
        <v>74</v>
      </c>
      <c r="AZ463" t="s">
        <v>74</v>
      </c>
      <c r="BA463" t="s">
        <v>74</v>
      </c>
      <c r="BB463">
        <v>199</v>
      </c>
      <c r="BC463">
        <v>230</v>
      </c>
      <c r="BD463" t="s">
        <v>74</v>
      </c>
      <c r="BE463" t="s">
        <v>8779</v>
      </c>
      <c r="BF463" t="str">
        <f>HYPERLINK("http://dx.doi.org/10.1016/S0065-2881(10)57007-X","http://dx.doi.org/10.1016/S0065-2881(10)57007-X")</f>
        <v>http://dx.doi.org/10.1016/S0065-2881(10)57007-X</v>
      </c>
      <c r="BG463" t="s">
        <v>74</v>
      </c>
      <c r="BH463" t="s">
        <v>74</v>
      </c>
      <c r="BI463">
        <v>32</v>
      </c>
      <c r="BJ463" t="s">
        <v>2186</v>
      </c>
      <c r="BK463" t="s">
        <v>8720</v>
      </c>
      <c r="BL463" t="s">
        <v>2186</v>
      </c>
      <c r="BM463" t="s">
        <v>8721</v>
      </c>
      <c r="BN463">
        <v>20955893</v>
      </c>
      <c r="BO463" t="s">
        <v>74</v>
      </c>
      <c r="BP463" t="s">
        <v>74</v>
      </c>
      <c r="BQ463" t="s">
        <v>74</v>
      </c>
      <c r="BR463" t="s">
        <v>105</v>
      </c>
      <c r="BS463" t="s">
        <v>8780</v>
      </c>
      <c r="BT463" t="str">
        <f>HYPERLINK("https%3A%2F%2Fwww.webofscience.com%2Fwos%2Fwoscc%2Ffull-record%2FWOS:000285484800007","View Full Record in Web of Science")</f>
        <v>View Full Record in Web of Science</v>
      </c>
    </row>
    <row r="464" spans="1:72" x14ac:dyDescent="0.15">
      <c r="A464" t="s">
        <v>8697</v>
      </c>
      <c r="B464" t="s">
        <v>8781</v>
      </c>
      <c r="C464" t="s">
        <v>74</v>
      </c>
      <c r="D464" t="s">
        <v>8699</v>
      </c>
      <c r="E464" t="s">
        <v>74</v>
      </c>
      <c r="F464" t="s">
        <v>8782</v>
      </c>
      <c r="G464" t="s">
        <v>74</v>
      </c>
      <c r="H464" t="s">
        <v>74</v>
      </c>
      <c r="I464" t="s">
        <v>8783</v>
      </c>
      <c r="J464" t="s">
        <v>8702</v>
      </c>
      <c r="K464" t="s">
        <v>8703</v>
      </c>
      <c r="L464" t="s">
        <v>74</v>
      </c>
      <c r="M464" t="s">
        <v>78</v>
      </c>
      <c r="N464" t="s">
        <v>8726</v>
      </c>
      <c r="O464" t="s">
        <v>74</v>
      </c>
      <c r="P464" t="s">
        <v>74</v>
      </c>
      <c r="Q464" t="s">
        <v>74</v>
      </c>
      <c r="R464" t="s">
        <v>74</v>
      </c>
      <c r="S464" t="s">
        <v>74</v>
      </c>
      <c r="T464" t="s">
        <v>74</v>
      </c>
      <c r="U464" t="s">
        <v>8784</v>
      </c>
      <c r="V464" t="s">
        <v>8785</v>
      </c>
      <c r="W464" t="s">
        <v>8786</v>
      </c>
      <c r="X464" t="s">
        <v>8787</v>
      </c>
      <c r="Y464" t="s">
        <v>8788</v>
      </c>
      <c r="Z464" t="s">
        <v>74</v>
      </c>
      <c r="AA464" t="s">
        <v>74</v>
      </c>
      <c r="AB464" t="s">
        <v>8789</v>
      </c>
      <c r="AC464" t="s">
        <v>8790</v>
      </c>
      <c r="AD464" t="s">
        <v>4729</v>
      </c>
      <c r="AE464" t="s">
        <v>74</v>
      </c>
      <c r="AF464" t="s">
        <v>74</v>
      </c>
      <c r="AG464">
        <v>78</v>
      </c>
      <c r="AH464">
        <v>3</v>
      </c>
      <c r="AI464">
        <v>3</v>
      </c>
      <c r="AJ464">
        <v>0</v>
      </c>
      <c r="AK464">
        <v>12</v>
      </c>
      <c r="AL464" t="s">
        <v>8713</v>
      </c>
      <c r="AM464" t="s">
        <v>2418</v>
      </c>
      <c r="AN464" t="s">
        <v>8714</v>
      </c>
      <c r="AO464" t="s">
        <v>8715</v>
      </c>
      <c r="AP464" t="s">
        <v>74</v>
      </c>
      <c r="AQ464" t="s">
        <v>8716</v>
      </c>
      <c r="AR464" t="s">
        <v>8717</v>
      </c>
      <c r="AS464" t="s">
        <v>8718</v>
      </c>
      <c r="AT464" t="s">
        <v>74</v>
      </c>
      <c r="AU464">
        <v>2010</v>
      </c>
      <c r="AV464">
        <v>57</v>
      </c>
      <c r="AW464" t="s">
        <v>74</v>
      </c>
      <c r="AX464" t="s">
        <v>74</v>
      </c>
      <c r="AY464" t="s">
        <v>74</v>
      </c>
      <c r="AZ464" t="s">
        <v>74</v>
      </c>
      <c r="BA464" t="s">
        <v>74</v>
      </c>
      <c r="BB464">
        <v>231</v>
      </c>
      <c r="BC464">
        <v>253</v>
      </c>
      <c r="BD464" t="s">
        <v>74</v>
      </c>
      <c r="BE464" t="s">
        <v>8791</v>
      </c>
      <c r="BF464" t="str">
        <f>HYPERLINK("http://dx.doi.org/10.1016/S0065-2881(10)57008-1","http://dx.doi.org/10.1016/S0065-2881(10)57008-1")</f>
        <v>http://dx.doi.org/10.1016/S0065-2881(10)57008-1</v>
      </c>
      <c r="BG464" t="s">
        <v>74</v>
      </c>
      <c r="BH464" t="s">
        <v>74</v>
      </c>
      <c r="BI464">
        <v>23</v>
      </c>
      <c r="BJ464" t="s">
        <v>2186</v>
      </c>
      <c r="BK464" t="s">
        <v>8720</v>
      </c>
      <c r="BL464" t="s">
        <v>2186</v>
      </c>
      <c r="BM464" t="s">
        <v>8721</v>
      </c>
      <c r="BN464">
        <v>20955894</v>
      </c>
      <c r="BO464" t="s">
        <v>74</v>
      </c>
      <c r="BP464" t="s">
        <v>74</v>
      </c>
      <c r="BQ464" t="s">
        <v>74</v>
      </c>
      <c r="BR464" t="s">
        <v>105</v>
      </c>
      <c r="BS464" t="s">
        <v>8792</v>
      </c>
      <c r="BT464" t="str">
        <f>HYPERLINK("https%3A%2F%2Fwww.webofscience.com%2Fwos%2Fwoscc%2Ffull-record%2FWOS:000285484800008","View Full Record in Web of Science")</f>
        <v>View Full Record in Web of Science</v>
      </c>
    </row>
    <row r="465" spans="1:72" x14ac:dyDescent="0.15">
      <c r="A465" t="s">
        <v>8697</v>
      </c>
      <c r="B465" t="s">
        <v>8793</v>
      </c>
      <c r="C465" t="s">
        <v>74</v>
      </c>
      <c r="D465" t="s">
        <v>8699</v>
      </c>
      <c r="E465" t="s">
        <v>74</v>
      </c>
      <c r="F465" t="s">
        <v>8794</v>
      </c>
      <c r="G465" t="s">
        <v>74</v>
      </c>
      <c r="H465" t="s">
        <v>74</v>
      </c>
      <c r="I465" t="s">
        <v>8795</v>
      </c>
      <c r="J465" t="s">
        <v>8702</v>
      </c>
      <c r="K465" t="s">
        <v>8703</v>
      </c>
      <c r="L465" t="s">
        <v>74</v>
      </c>
      <c r="M465" t="s">
        <v>78</v>
      </c>
      <c r="N465" t="s">
        <v>8726</v>
      </c>
      <c r="O465" t="s">
        <v>74</v>
      </c>
      <c r="P465" t="s">
        <v>74</v>
      </c>
      <c r="Q465" t="s">
        <v>74</v>
      </c>
      <c r="R465" t="s">
        <v>74</v>
      </c>
      <c r="S465" t="s">
        <v>74</v>
      </c>
      <c r="T465" t="s">
        <v>74</v>
      </c>
      <c r="U465" t="s">
        <v>8796</v>
      </c>
      <c r="V465" t="s">
        <v>8797</v>
      </c>
      <c r="W465" t="s">
        <v>8798</v>
      </c>
      <c r="X465" t="s">
        <v>8799</v>
      </c>
      <c r="Y465" t="s">
        <v>8800</v>
      </c>
      <c r="Z465" t="s">
        <v>74</v>
      </c>
      <c r="AA465" t="s">
        <v>74</v>
      </c>
      <c r="AB465" t="s">
        <v>74</v>
      </c>
      <c r="AC465" t="s">
        <v>74</v>
      </c>
      <c r="AD465" t="s">
        <v>74</v>
      </c>
      <c r="AE465" t="s">
        <v>74</v>
      </c>
      <c r="AF465" t="s">
        <v>74</v>
      </c>
      <c r="AG465">
        <v>98</v>
      </c>
      <c r="AH465">
        <v>37</v>
      </c>
      <c r="AI465">
        <v>38</v>
      </c>
      <c r="AJ465">
        <v>0</v>
      </c>
      <c r="AK465">
        <v>34</v>
      </c>
      <c r="AL465" t="s">
        <v>8713</v>
      </c>
      <c r="AM465" t="s">
        <v>2418</v>
      </c>
      <c r="AN465" t="s">
        <v>8714</v>
      </c>
      <c r="AO465" t="s">
        <v>8715</v>
      </c>
      <c r="AP465" t="s">
        <v>74</v>
      </c>
      <c r="AQ465" t="s">
        <v>8716</v>
      </c>
      <c r="AR465" t="s">
        <v>8717</v>
      </c>
      <c r="AS465" t="s">
        <v>8718</v>
      </c>
      <c r="AT465" t="s">
        <v>74</v>
      </c>
      <c r="AU465">
        <v>2010</v>
      </c>
      <c r="AV465">
        <v>57</v>
      </c>
      <c r="AW465" t="s">
        <v>74</v>
      </c>
      <c r="AX465" t="s">
        <v>74</v>
      </c>
      <c r="AY465" t="s">
        <v>74</v>
      </c>
      <c r="AZ465" t="s">
        <v>74</v>
      </c>
      <c r="BA465" t="s">
        <v>74</v>
      </c>
      <c r="BB465">
        <v>255</v>
      </c>
      <c r="BC465">
        <v>275</v>
      </c>
      <c r="BD465" t="s">
        <v>74</v>
      </c>
      <c r="BE465" t="s">
        <v>8801</v>
      </c>
      <c r="BF465" t="str">
        <f>HYPERLINK("http://dx.doi.org/10.1016/S0065-2881(10)57009-3","http://dx.doi.org/10.1016/S0065-2881(10)57009-3")</f>
        <v>http://dx.doi.org/10.1016/S0065-2881(10)57009-3</v>
      </c>
      <c r="BG465" t="s">
        <v>74</v>
      </c>
      <c r="BH465" t="s">
        <v>74</v>
      </c>
      <c r="BI465">
        <v>21</v>
      </c>
      <c r="BJ465" t="s">
        <v>2186</v>
      </c>
      <c r="BK465" t="s">
        <v>8720</v>
      </c>
      <c r="BL465" t="s">
        <v>2186</v>
      </c>
      <c r="BM465" t="s">
        <v>8721</v>
      </c>
      <c r="BN465">
        <v>20955895</v>
      </c>
      <c r="BO465" t="s">
        <v>74</v>
      </c>
      <c r="BP465" t="s">
        <v>74</v>
      </c>
      <c r="BQ465" t="s">
        <v>74</v>
      </c>
      <c r="BR465" t="s">
        <v>105</v>
      </c>
      <c r="BS465" t="s">
        <v>8802</v>
      </c>
      <c r="BT465" t="str">
        <f>HYPERLINK("https%3A%2F%2Fwww.webofscience.com%2Fwos%2Fwoscc%2Ffull-record%2FWOS:000285484800009","View Full Record in Web of Science")</f>
        <v>View Full Record in Web of Science</v>
      </c>
    </row>
    <row r="466" spans="1:72" x14ac:dyDescent="0.15">
      <c r="A466" t="s">
        <v>8697</v>
      </c>
      <c r="B466" t="s">
        <v>8803</v>
      </c>
      <c r="C466" t="s">
        <v>74</v>
      </c>
      <c r="D466" t="s">
        <v>8804</v>
      </c>
      <c r="E466" t="s">
        <v>74</v>
      </c>
      <c r="F466" t="s">
        <v>8805</v>
      </c>
      <c r="G466" t="s">
        <v>74</v>
      </c>
      <c r="H466" t="s">
        <v>74</v>
      </c>
      <c r="I466" t="s">
        <v>8806</v>
      </c>
      <c r="J466" t="s">
        <v>8807</v>
      </c>
      <c r="K466" t="s">
        <v>8703</v>
      </c>
      <c r="L466" t="s">
        <v>74</v>
      </c>
      <c r="M466" t="s">
        <v>78</v>
      </c>
      <c r="N466" t="s">
        <v>8726</v>
      </c>
      <c r="O466" t="s">
        <v>74</v>
      </c>
      <c r="P466" t="s">
        <v>74</v>
      </c>
      <c r="Q466" t="s">
        <v>74</v>
      </c>
      <c r="R466" t="s">
        <v>74</v>
      </c>
      <c r="S466" t="s">
        <v>74</v>
      </c>
      <c r="T466" t="s">
        <v>74</v>
      </c>
      <c r="U466" t="s">
        <v>8808</v>
      </c>
      <c r="V466" t="s">
        <v>8809</v>
      </c>
      <c r="W466" t="s">
        <v>8810</v>
      </c>
      <c r="X466" t="s">
        <v>8811</v>
      </c>
      <c r="Y466" t="s">
        <v>8812</v>
      </c>
      <c r="Z466" t="s">
        <v>74</v>
      </c>
      <c r="AA466" t="s">
        <v>8813</v>
      </c>
      <c r="AB466" t="s">
        <v>8814</v>
      </c>
      <c r="AC466" t="s">
        <v>8815</v>
      </c>
      <c r="AD466" t="s">
        <v>404</v>
      </c>
      <c r="AE466" t="s">
        <v>74</v>
      </c>
      <c r="AF466" t="s">
        <v>74</v>
      </c>
      <c r="AG466">
        <v>301</v>
      </c>
      <c r="AH466">
        <v>131</v>
      </c>
      <c r="AI466">
        <v>149</v>
      </c>
      <c r="AJ466">
        <v>6</v>
      </c>
      <c r="AK466">
        <v>162</v>
      </c>
      <c r="AL466" t="s">
        <v>8713</v>
      </c>
      <c r="AM466" t="s">
        <v>2418</v>
      </c>
      <c r="AN466" t="s">
        <v>8714</v>
      </c>
      <c r="AO466" t="s">
        <v>8715</v>
      </c>
      <c r="AP466" t="s">
        <v>8816</v>
      </c>
      <c r="AQ466" t="s">
        <v>8817</v>
      </c>
      <c r="AR466" t="s">
        <v>8717</v>
      </c>
      <c r="AS466" t="s">
        <v>8718</v>
      </c>
      <c r="AT466" t="s">
        <v>74</v>
      </c>
      <c r="AU466">
        <v>2010</v>
      </c>
      <c r="AV466">
        <v>58</v>
      </c>
      <c r="AW466" t="s">
        <v>74</v>
      </c>
      <c r="AX466" t="s">
        <v>74</v>
      </c>
      <c r="AY466" t="s">
        <v>74</v>
      </c>
      <c r="AZ466" t="s">
        <v>74</v>
      </c>
      <c r="BA466" t="s">
        <v>74</v>
      </c>
      <c r="BB466">
        <v>1</v>
      </c>
      <c r="BC466">
        <v>95</v>
      </c>
      <c r="BD466" t="s">
        <v>74</v>
      </c>
      <c r="BE466" t="s">
        <v>8818</v>
      </c>
      <c r="BF466" t="str">
        <f>HYPERLINK("http://dx.doi.org/10.1016/S0065-2881(10)58001-5","http://dx.doi.org/10.1016/S0065-2881(10)58001-5")</f>
        <v>http://dx.doi.org/10.1016/S0065-2881(10)58001-5</v>
      </c>
      <c r="BG466" t="s">
        <v>74</v>
      </c>
      <c r="BH466" t="s">
        <v>74</v>
      </c>
      <c r="BI466">
        <v>95</v>
      </c>
      <c r="BJ466" t="s">
        <v>2186</v>
      </c>
      <c r="BK466" t="s">
        <v>8720</v>
      </c>
      <c r="BL466" t="s">
        <v>2186</v>
      </c>
      <c r="BM466" t="s">
        <v>8819</v>
      </c>
      <c r="BN466">
        <v>20959156</v>
      </c>
      <c r="BO466" t="s">
        <v>74</v>
      </c>
      <c r="BP466" t="s">
        <v>74</v>
      </c>
      <c r="BQ466" t="s">
        <v>74</v>
      </c>
      <c r="BR466" t="s">
        <v>105</v>
      </c>
      <c r="BS466" t="s">
        <v>8820</v>
      </c>
      <c r="BT466" t="str">
        <f>HYPERLINK("https%3A%2F%2Fwww.webofscience.com%2Fwos%2Fwoscc%2Ffull-record%2FWOS:000285482700001","View Full Record in Web of Science")</f>
        <v>View Full Record in Web of Science</v>
      </c>
    </row>
    <row r="467" spans="1:72" x14ac:dyDescent="0.15">
      <c r="A467" t="s">
        <v>8697</v>
      </c>
      <c r="B467" t="s">
        <v>8821</v>
      </c>
      <c r="C467" t="s">
        <v>74</v>
      </c>
      <c r="D467" t="s">
        <v>8804</v>
      </c>
      <c r="E467" t="s">
        <v>74</v>
      </c>
      <c r="F467" t="s">
        <v>8822</v>
      </c>
      <c r="G467" t="s">
        <v>74</v>
      </c>
      <c r="H467" t="s">
        <v>74</v>
      </c>
      <c r="I467" t="s">
        <v>8823</v>
      </c>
      <c r="J467" t="s">
        <v>8807</v>
      </c>
      <c r="K467" t="s">
        <v>8703</v>
      </c>
      <c r="L467" t="s">
        <v>74</v>
      </c>
      <c r="M467" t="s">
        <v>78</v>
      </c>
      <c r="N467" t="s">
        <v>8726</v>
      </c>
      <c r="O467" t="s">
        <v>74</v>
      </c>
      <c r="P467" t="s">
        <v>74</v>
      </c>
      <c r="Q467" t="s">
        <v>74</v>
      </c>
      <c r="R467" t="s">
        <v>74</v>
      </c>
      <c r="S467" t="s">
        <v>74</v>
      </c>
      <c r="T467" t="s">
        <v>74</v>
      </c>
      <c r="U467" t="s">
        <v>8824</v>
      </c>
      <c r="V467" t="s">
        <v>8825</v>
      </c>
      <c r="W467" t="s">
        <v>8826</v>
      </c>
      <c r="X467" t="s">
        <v>8827</v>
      </c>
      <c r="Y467" t="s">
        <v>74</v>
      </c>
      <c r="Z467" t="s">
        <v>74</v>
      </c>
      <c r="AA467" t="s">
        <v>8828</v>
      </c>
      <c r="AB467" t="s">
        <v>8829</v>
      </c>
      <c r="AC467" t="s">
        <v>74</v>
      </c>
      <c r="AD467" t="s">
        <v>74</v>
      </c>
      <c r="AE467" t="s">
        <v>74</v>
      </c>
      <c r="AF467" t="s">
        <v>74</v>
      </c>
      <c r="AG467">
        <v>225</v>
      </c>
      <c r="AH467">
        <v>96</v>
      </c>
      <c r="AI467">
        <v>100</v>
      </c>
      <c r="AJ467">
        <v>1</v>
      </c>
      <c r="AK467">
        <v>64</v>
      </c>
      <c r="AL467" t="s">
        <v>8713</v>
      </c>
      <c r="AM467" t="s">
        <v>2418</v>
      </c>
      <c r="AN467" t="s">
        <v>8714</v>
      </c>
      <c r="AO467" t="s">
        <v>8715</v>
      </c>
      <c r="AP467" t="s">
        <v>74</v>
      </c>
      <c r="AQ467" t="s">
        <v>8817</v>
      </c>
      <c r="AR467" t="s">
        <v>8717</v>
      </c>
      <c r="AS467" t="s">
        <v>8718</v>
      </c>
      <c r="AT467" t="s">
        <v>74</v>
      </c>
      <c r="AU467">
        <v>2010</v>
      </c>
      <c r="AV467">
        <v>58</v>
      </c>
      <c r="AW467" t="s">
        <v>74</v>
      </c>
      <c r="AX467" t="s">
        <v>74</v>
      </c>
      <c r="AY467" t="s">
        <v>74</v>
      </c>
      <c r="AZ467" t="s">
        <v>74</v>
      </c>
      <c r="BA467" t="s">
        <v>74</v>
      </c>
      <c r="BB467">
        <v>227</v>
      </c>
      <c r="BC467">
        <v>300</v>
      </c>
      <c r="BD467" t="s">
        <v>74</v>
      </c>
      <c r="BE467" t="s">
        <v>8830</v>
      </c>
      <c r="BF467" t="str">
        <f>HYPERLINK("http://dx.doi.org/10.1016/S0065.2881(10)58004.0","http://dx.doi.org/10.1016/S0065.2881(10)58004.0")</f>
        <v>http://dx.doi.org/10.1016/S0065.2881(10)58004.0</v>
      </c>
      <c r="BG467" t="s">
        <v>74</v>
      </c>
      <c r="BH467" t="s">
        <v>74</v>
      </c>
      <c r="BI467">
        <v>74</v>
      </c>
      <c r="BJ467" t="s">
        <v>2186</v>
      </c>
      <c r="BK467" t="s">
        <v>8720</v>
      </c>
      <c r="BL467" t="s">
        <v>2186</v>
      </c>
      <c r="BM467" t="s">
        <v>8819</v>
      </c>
      <c r="BN467">
        <v>20959159</v>
      </c>
      <c r="BO467" t="s">
        <v>74</v>
      </c>
      <c r="BP467" t="s">
        <v>74</v>
      </c>
      <c r="BQ467" t="s">
        <v>74</v>
      </c>
      <c r="BR467" t="s">
        <v>105</v>
      </c>
      <c r="BS467" t="s">
        <v>8831</v>
      </c>
      <c r="BT467" t="str">
        <f>HYPERLINK("https%3A%2F%2Fwww.webofscience.com%2Fwos%2Fwoscc%2Ffull-record%2FWOS:000285482700004","View Full Record in Web of Science")</f>
        <v>View Full Record in Web of Science</v>
      </c>
    </row>
    <row r="468" spans="1:72" x14ac:dyDescent="0.15">
      <c r="A468" t="s">
        <v>72</v>
      </c>
      <c r="B468" t="s">
        <v>8832</v>
      </c>
      <c r="C468" t="s">
        <v>74</v>
      </c>
      <c r="D468" t="s">
        <v>74</v>
      </c>
      <c r="E468" t="s">
        <v>74</v>
      </c>
      <c r="F468" t="s">
        <v>8833</v>
      </c>
      <c r="G468" t="s">
        <v>74</v>
      </c>
      <c r="H468" t="s">
        <v>74</v>
      </c>
      <c r="I468" t="s">
        <v>8834</v>
      </c>
      <c r="J468" t="s">
        <v>8835</v>
      </c>
      <c r="K468" t="s">
        <v>74</v>
      </c>
      <c r="L468" t="s">
        <v>74</v>
      </c>
      <c r="M468" t="s">
        <v>78</v>
      </c>
      <c r="N468" t="s">
        <v>79</v>
      </c>
      <c r="O468" t="s">
        <v>74</v>
      </c>
      <c r="P468" t="s">
        <v>74</v>
      </c>
      <c r="Q468" t="s">
        <v>74</v>
      </c>
      <c r="R468" t="s">
        <v>74</v>
      </c>
      <c r="S468" t="s">
        <v>74</v>
      </c>
      <c r="T468" t="s">
        <v>74</v>
      </c>
      <c r="U468" t="s">
        <v>8836</v>
      </c>
      <c r="V468" t="s">
        <v>8837</v>
      </c>
      <c r="W468" t="s">
        <v>8838</v>
      </c>
      <c r="X468" t="s">
        <v>8839</v>
      </c>
      <c r="Y468" t="s">
        <v>8840</v>
      </c>
      <c r="Z468" t="s">
        <v>8841</v>
      </c>
      <c r="AA468" t="s">
        <v>8842</v>
      </c>
      <c r="AB468" t="s">
        <v>8843</v>
      </c>
      <c r="AC468" t="s">
        <v>8844</v>
      </c>
      <c r="AD468" t="s">
        <v>3326</v>
      </c>
      <c r="AE468" t="s">
        <v>8845</v>
      </c>
      <c r="AF468" t="s">
        <v>74</v>
      </c>
      <c r="AG468">
        <v>42</v>
      </c>
      <c r="AH468">
        <v>9</v>
      </c>
      <c r="AI468">
        <v>9</v>
      </c>
      <c r="AJ468">
        <v>0</v>
      </c>
      <c r="AK468">
        <v>13</v>
      </c>
      <c r="AL468" t="s">
        <v>8687</v>
      </c>
      <c r="AM468" t="s">
        <v>407</v>
      </c>
      <c r="AN468" t="s">
        <v>8688</v>
      </c>
      <c r="AO468" t="s">
        <v>8846</v>
      </c>
      <c r="AP468" t="s">
        <v>8847</v>
      </c>
      <c r="AQ468" t="s">
        <v>74</v>
      </c>
      <c r="AR468" t="s">
        <v>8848</v>
      </c>
      <c r="AS468" t="s">
        <v>8849</v>
      </c>
      <c r="AT468" t="s">
        <v>74</v>
      </c>
      <c r="AU468">
        <v>2010</v>
      </c>
      <c r="AV468">
        <v>2010</v>
      </c>
      <c r="AW468" t="s">
        <v>74</v>
      </c>
      <c r="AX468" t="s">
        <v>74</v>
      </c>
      <c r="AY468" t="s">
        <v>74</v>
      </c>
      <c r="AZ468" t="s">
        <v>74</v>
      </c>
      <c r="BA468" t="s">
        <v>74</v>
      </c>
      <c r="BB468" t="s">
        <v>74</v>
      </c>
      <c r="BC468" t="s">
        <v>74</v>
      </c>
      <c r="BD468">
        <v>327172</v>
      </c>
      <c r="BE468" t="s">
        <v>8850</v>
      </c>
      <c r="BF468" t="str">
        <f>HYPERLINK("http://dx.doi.org/10.1155/2010/327172","http://dx.doi.org/10.1155/2010/327172")</f>
        <v>http://dx.doi.org/10.1155/2010/327172</v>
      </c>
      <c r="BG468" t="s">
        <v>74</v>
      </c>
      <c r="BH468" t="s">
        <v>74</v>
      </c>
      <c r="BI468">
        <v>14</v>
      </c>
      <c r="BJ468" t="s">
        <v>258</v>
      </c>
      <c r="BK468" t="s">
        <v>102</v>
      </c>
      <c r="BL468" t="s">
        <v>258</v>
      </c>
      <c r="BM468" t="s">
        <v>8851</v>
      </c>
      <c r="BN468" t="s">
        <v>74</v>
      </c>
      <c r="BO468" t="s">
        <v>1663</v>
      </c>
      <c r="BP468" t="s">
        <v>74</v>
      </c>
      <c r="BQ468" t="s">
        <v>74</v>
      </c>
      <c r="BR468" t="s">
        <v>105</v>
      </c>
      <c r="BS468" t="s">
        <v>8852</v>
      </c>
      <c r="BT468" t="str">
        <f>HYPERLINK("https%3A%2F%2Fwww.webofscience.com%2Fwos%2Fwoscc%2Ffull-record%2FWOS:000208403000016","View Full Record in Web of Science")</f>
        <v>View Full Record in Web of Science</v>
      </c>
    </row>
    <row r="469" spans="1:72" x14ac:dyDescent="0.15">
      <c r="A469" t="s">
        <v>8697</v>
      </c>
      <c r="B469" t="s">
        <v>8853</v>
      </c>
      <c r="C469" t="s">
        <v>74</v>
      </c>
      <c r="D469" t="s">
        <v>8854</v>
      </c>
      <c r="E469" t="s">
        <v>74</v>
      </c>
      <c r="F469" t="s">
        <v>8855</v>
      </c>
      <c r="G469" t="s">
        <v>74</v>
      </c>
      <c r="H469" t="s">
        <v>74</v>
      </c>
      <c r="I469" t="s">
        <v>8856</v>
      </c>
      <c r="J469" t="s">
        <v>8857</v>
      </c>
      <c r="K469" t="s">
        <v>8858</v>
      </c>
      <c r="L469" t="s">
        <v>74</v>
      </c>
      <c r="M469" t="s">
        <v>78</v>
      </c>
      <c r="N469" t="s">
        <v>8859</v>
      </c>
      <c r="O469" t="s">
        <v>74</v>
      </c>
      <c r="P469" t="s">
        <v>74</v>
      </c>
      <c r="Q469" t="s">
        <v>74</v>
      </c>
      <c r="R469" t="s">
        <v>74</v>
      </c>
      <c r="S469" t="s">
        <v>74</v>
      </c>
      <c r="T469" t="s">
        <v>74</v>
      </c>
      <c r="U469" t="s">
        <v>8860</v>
      </c>
      <c r="V469" t="s">
        <v>8861</v>
      </c>
      <c r="W469" t="s">
        <v>8862</v>
      </c>
      <c r="X469" t="s">
        <v>8863</v>
      </c>
      <c r="Y469" t="s">
        <v>8864</v>
      </c>
      <c r="Z469" t="s">
        <v>8865</v>
      </c>
      <c r="AA469" t="s">
        <v>74</v>
      </c>
      <c r="AB469" t="s">
        <v>74</v>
      </c>
      <c r="AC469" t="s">
        <v>74</v>
      </c>
      <c r="AD469" t="s">
        <v>74</v>
      </c>
      <c r="AE469" t="s">
        <v>74</v>
      </c>
      <c r="AF469" t="s">
        <v>74</v>
      </c>
      <c r="AG469">
        <v>110</v>
      </c>
      <c r="AH469">
        <v>66</v>
      </c>
      <c r="AI469">
        <v>72</v>
      </c>
      <c r="AJ469">
        <v>4</v>
      </c>
      <c r="AK469">
        <v>26</v>
      </c>
      <c r="AL469" t="s">
        <v>8866</v>
      </c>
      <c r="AM469" t="s">
        <v>6462</v>
      </c>
      <c r="AN469" t="s">
        <v>8867</v>
      </c>
      <c r="AO469" t="s">
        <v>8868</v>
      </c>
      <c r="AP469" t="s">
        <v>74</v>
      </c>
      <c r="AQ469" t="s">
        <v>8869</v>
      </c>
      <c r="AR469" t="s">
        <v>8870</v>
      </c>
      <c r="AS469" t="s">
        <v>8871</v>
      </c>
      <c r="AT469" t="s">
        <v>74</v>
      </c>
      <c r="AU469">
        <v>2010</v>
      </c>
      <c r="AV469">
        <v>49</v>
      </c>
      <c r="AW469" t="s">
        <v>74</v>
      </c>
      <c r="AX469" t="s">
        <v>74</v>
      </c>
      <c r="AY469" t="s">
        <v>74</v>
      </c>
      <c r="AZ469" t="s">
        <v>74</v>
      </c>
      <c r="BA469" t="s">
        <v>74</v>
      </c>
      <c r="BB469">
        <v>209</v>
      </c>
      <c r="BC469">
        <v>229</v>
      </c>
      <c r="BD469" t="s">
        <v>74</v>
      </c>
      <c r="BE469" t="s">
        <v>8872</v>
      </c>
      <c r="BF469" t="str">
        <f>HYPERLINK("http://dx.doi.org/10.1007/978-3-642-02421-4_10","http://dx.doi.org/10.1007/978-3-642-02421-4_10")</f>
        <v>http://dx.doi.org/10.1007/978-3-642-02421-4_10</v>
      </c>
      <c r="BG469" t="s">
        <v>8873</v>
      </c>
      <c r="BH469" t="s">
        <v>74</v>
      </c>
      <c r="BI469">
        <v>21</v>
      </c>
      <c r="BJ469" t="s">
        <v>7136</v>
      </c>
      <c r="BK469" t="s">
        <v>8579</v>
      </c>
      <c r="BL469" t="s">
        <v>7136</v>
      </c>
      <c r="BM469" t="s">
        <v>8874</v>
      </c>
      <c r="BN469">
        <v>20069411</v>
      </c>
      <c r="BO469" t="s">
        <v>74</v>
      </c>
      <c r="BP469" t="s">
        <v>74</v>
      </c>
      <c r="BQ469" t="s">
        <v>74</v>
      </c>
      <c r="BR469" t="s">
        <v>105</v>
      </c>
      <c r="BS469" t="s">
        <v>8875</v>
      </c>
      <c r="BT469" t="str">
        <f>HYPERLINK("https%3A%2F%2Fwww.webofscience.com%2Fwos%2Fwoscc%2Ffull-record%2FWOS:000273345600010","View Full Record in Web of Science")</f>
        <v>View Full Record in Web of Science</v>
      </c>
    </row>
    <row r="470" spans="1:72" x14ac:dyDescent="0.15">
      <c r="A470" t="s">
        <v>72</v>
      </c>
      <c r="B470" t="s">
        <v>8876</v>
      </c>
      <c r="C470" t="s">
        <v>74</v>
      </c>
      <c r="D470" t="s">
        <v>74</v>
      </c>
      <c r="E470" t="s">
        <v>74</v>
      </c>
      <c r="F470" t="s">
        <v>8877</v>
      </c>
      <c r="G470" t="s">
        <v>74</v>
      </c>
      <c r="H470" t="s">
        <v>74</v>
      </c>
      <c r="I470" t="s">
        <v>8878</v>
      </c>
      <c r="J470" t="s">
        <v>8879</v>
      </c>
      <c r="K470" t="s">
        <v>74</v>
      </c>
      <c r="L470" t="s">
        <v>74</v>
      </c>
      <c r="M470" t="s">
        <v>78</v>
      </c>
      <c r="N470" t="s">
        <v>600</v>
      </c>
      <c r="O470" t="s">
        <v>74</v>
      </c>
      <c r="P470" t="s">
        <v>74</v>
      </c>
      <c r="Q470" t="s">
        <v>74</v>
      </c>
      <c r="R470" t="s">
        <v>74</v>
      </c>
      <c r="S470" t="s">
        <v>74</v>
      </c>
      <c r="T470" t="s">
        <v>8880</v>
      </c>
      <c r="U470" t="s">
        <v>8881</v>
      </c>
      <c r="V470" t="s">
        <v>8882</v>
      </c>
      <c r="W470" t="s">
        <v>8883</v>
      </c>
      <c r="X470" t="s">
        <v>8884</v>
      </c>
      <c r="Y470" t="s">
        <v>8885</v>
      </c>
      <c r="Z470" t="s">
        <v>8886</v>
      </c>
      <c r="AA470" t="s">
        <v>74</v>
      </c>
      <c r="AB470" t="s">
        <v>74</v>
      </c>
      <c r="AC470" t="s">
        <v>8887</v>
      </c>
      <c r="AD470" t="s">
        <v>8888</v>
      </c>
      <c r="AE470" t="s">
        <v>8889</v>
      </c>
      <c r="AF470" t="s">
        <v>74</v>
      </c>
      <c r="AG470">
        <v>37</v>
      </c>
      <c r="AH470">
        <v>37</v>
      </c>
      <c r="AI470">
        <v>43</v>
      </c>
      <c r="AJ470">
        <v>10</v>
      </c>
      <c r="AK470">
        <v>79</v>
      </c>
      <c r="AL470" t="s">
        <v>8890</v>
      </c>
      <c r="AM470" t="s">
        <v>8891</v>
      </c>
      <c r="AN470" t="s">
        <v>8892</v>
      </c>
      <c r="AO470" t="s">
        <v>8893</v>
      </c>
      <c r="AP470" t="s">
        <v>74</v>
      </c>
      <c r="AQ470" t="s">
        <v>74</v>
      </c>
      <c r="AR470" t="s">
        <v>8894</v>
      </c>
      <c r="AS470" t="s">
        <v>8895</v>
      </c>
      <c r="AT470" t="s">
        <v>74</v>
      </c>
      <c r="AU470">
        <v>2010</v>
      </c>
      <c r="AV470">
        <v>32</v>
      </c>
      <c r="AW470">
        <v>2</v>
      </c>
      <c r="AX470" t="s">
        <v>74</v>
      </c>
      <c r="AY470" t="s">
        <v>74</v>
      </c>
      <c r="AZ470" t="s">
        <v>74</v>
      </c>
      <c r="BA470" t="s">
        <v>74</v>
      </c>
      <c r="BB470">
        <v>171</v>
      </c>
      <c r="BC470">
        <v>186</v>
      </c>
      <c r="BD470" t="s">
        <v>74</v>
      </c>
      <c r="BE470" t="s">
        <v>8896</v>
      </c>
      <c r="BF470" t="str">
        <f>HYPERLINK("http://dx.doi.org/10.2989/1814232X.2010.501544","http://dx.doi.org/10.2989/1814232X.2010.501544")</f>
        <v>http://dx.doi.org/10.2989/1814232X.2010.501544</v>
      </c>
      <c r="BG470" t="s">
        <v>74</v>
      </c>
      <c r="BH470" t="s">
        <v>74</v>
      </c>
      <c r="BI470">
        <v>16</v>
      </c>
      <c r="BJ470" t="s">
        <v>2186</v>
      </c>
      <c r="BK470" t="s">
        <v>102</v>
      </c>
      <c r="BL470" t="s">
        <v>2186</v>
      </c>
      <c r="BM470" t="s">
        <v>8897</v>
      </c>
      <c r="BN470" t="s">
        <v>74</v>
      </c>
      <c r="BO470" t="s">
        <v>74</v>
      </c>
      <c r="BP470" t="s">
        <v>74</v>
      </c>
      <c r="BQ470" t="s">
        <v>74</v>
      </c>
      <c r="BR470" t="s">
        <v>105</v>
      </c>
      <c r="BS470" t="s">
        <v>8898</v>
      </c>
      <c r="BT470" t="str">
        <f>HYPERLINK("https%3A%2F%2Fwww.webofscience.com%2Fwos%2Fwoscc%2Ffull-record%2FWOS:000284002100001","View Full Record in Web of Science")</f>
        <v>View Full Record in Web of Science</v>
      </c>
    </row>
    <row r="471" spans="1:72" x14ac:dyDescent="0.15">
      <c r="A471" t="s">
        <v>72</v>
      </c>
      <c r="B471" t="s">
        <v>8899</v>
      </c>
      <c r="C471" t="s">
        <v>74</v>
      </c>
      <c r="D471" t="s">
        <v>74</v>
      </c>
      <c r="E471" t="s">
        <v>74</v>
      </c>
      <c r="F471" t="s">
        <v>8900</v>
      </c>
      <c r="G471" t="s">
        <v>74</v>
      </c>
      <c r="H471" t="s">
        <v>74</v>
      </c>
      <c r="I471" t="s">
        <v>8901</v>
      </c>
      <c r="J471" t="s">
        <v>8879</v>
      </c>
      <c r="K471" t="s">
        <v>74</v>
      </c>
      <c r="L471" t="s">
        <v>74</v>
      </c>
      <c r="M471" t="s">
        <v>78</v>
      </c>
      <c r="N471" t="s">
        <v>79</v>
      </c>
      <c r="O471" t="s">
        <v>74</v>
      </c>
      <c r="P471" t="s">
        <v>74</v>
      </c>
      <c r="Q471" t="s">
        <v>74</v>
      </c>
      <c r="R471" t="s">
        <v>74</v>
      </c>
      <c r="S471" t="s">
        <v>74</v>
      </c>
      <c r="T471" t="s">
        <v>8902</v>
      </c>
      <c r="U471" t="s">
        <v>8903</v>
      </c>
      <c r="V471" t="s">
        <v>8904</v>
      </c>
      <c r="W471" t="s">
        <v>8905</v>
      </c>
      <c r="X471" t="s">
        <v>8906</v>
      </c>
      <c r="Y471" t="s">
        <v>8907</v>
      </c>
      <c r="Z471" t="s">
        <v>8908</v>
      </c>
      <c r="AA471" t="s">
        <v>8909</v>
      </c>
      <c r="AB471" t="s">
        <v>8910</v>
      </c>
      <c r="AC471" t="s">
        <v>8911</v>
      </c>
      <c r="AD471" t="s">
        <v>8912</v>
      </c>
      <c r="AE471" t="s">
        <v>8913</v>
      </c>
      <c r="AF471" t="s">
        <v>74</v>
      </c>
      <c r="AG471">
        <v>35</v>
      </c>
      <c r="AH471">
        <v>130</v>
      </c>
      <c r="AI471">
        <v>139</v>
      </c>
      <c r="AJ471">
        <v>0</v>
      </c>
      <c r="AK471">
        <v>24</v>
      </c>
      <c r="AL471" t="s">
        <v>546</v>
      </c>
      <c r="AM471" t="s">
        <v>547</v>
      </c>
      <c r="AN471" t="s">
        <v>548</v>
      </c>
      <c r="AO471" t="s">
        <v>8893</v>
      </c>
      <c r="AP471" t="s">
        <v>8914</v>
      </c>
      <c r="AQ471" t="s">
        <v>74</v>
      </c>
      <c r="AR471" t="s">
        <v>8894</v>
      </c>
      <c r="AS471" t="s">
        <v>8895</v>
      </c>
      <c r="AT471" t="s">
        <v>74</v>
      </c>
      <c r="AU471">
        <v>2010</v>
      </c>
      <c r="AV471">
        <v>32</v>
      </c>
      <c r="AW471">
        <v>2</v>
      </c>
      <c r="AX471" t="s">
        <v>74</v>
      </c>
      <c r="AY471" t="s">
        <v>74</v>
      </c>
      <c r="AZ471" t="s">
        <v>74</v>
      </c>
      <c r="BA471" t="s">
        <v>74</v>
      </c>
      <c r="BB471">
        <v>237</v>
      </c>
      <c r="BC471">
        <v>246</v>
      </c>
      <c r="BD471" t="s">
        <v>74</v>
      </c>
      <c r="BE471" t="s">
        <v>8915</v>
      </c>
      <c r="BF471" t="str">
        <f>HYPERLINK("http://dx.doi.org/10.2989/1814232X.2010.501563","http://dx.doi.org/10.2989/1814232X.2010.501563")</f>
        <v>http://dx.doi.org/10.2989/1814232X.2010.501563</v>
      </c>
      <c r="BG471" t="s">
        <v>74</v>
      </c>
      <c r="BH471" t="s">
        <v>74</v>
      </c>
      <c r="BI471">
        <v>10</v>
      </c>
      <c r="BJ471" t="s">
        <v>2186</v>
      </c>
      <c r="BK471" t="s">
        <v>102</v>
      </c>
      <c r="BL471" t="s">
        <v>2186</v>
      </c>
      <c r="BM471" t="s">
        <v>8897</v>
      </c>
      <c r="BN471" t="s">
        <v>74</v>
      </c>
      <c r="BO471" t="s">
        <v>555</v>
      </c>
      <c r="BP471" t="s">
        <v>74</v>
      </c>
      <c r="BQ471" t="s">
        <v>74</v>
      </c>
      <c r="BR471" t="s">
        <v>105</v>
      </c>
      <c r="BS471" t="s">
        <v>8916</v>
      </c>
      <c r="BT471" t="str">
        <f>HYPERLINK("https%3A%2F%2Fwww.webofscience.com%2Fwos%2Fwoscc%2Ffull-record%2FWOS:000284002100005","View Full Record in Web of Science")</f>
        <v>View Full Record in Web of Science</v>
      </c>
    </row>
    <row r="472" spans="1:72" x14ac:dyDescent="0.15">
      <c r="A472" t="s">
        <v>72</v>
      </c>
      <c r="B472" t="s">
        <v>8917</v>
      </c>
      <c r="C472" t="s">
        <v>74</v>
      </c>
      <c r="D472" t="s">
        <v>74</v>
      </c>
      <c r="E472" t="s">
        <v>74</v>
      </c>
      <c r="F472" t="s">
        <v>8918</v>
      </c>
      <c r="G472" t="s">
        <v>74</v>
      </c>
      <c r="H472" t="s">
        <v>74</v>
      </c>
      <c r="I472" t="s">
        <v>8919</v>
      </c>
      <c r="J472" t="s">
        <v>8920</v>
      </c>
      <c r="K472" t="s">
        <v>74</v>
      </c>
      <c r="L472" t="s">
        <v>74</v>
      </c>
      <c r="M472" t="s">
        <v>78</v>
      </c>
      <c r="N472" t="s">
        <v>79</v>
      </c>
      <c r="O472" t="s">
        <v>74</v>
      </c>
      <c r="P472" t="s">
        <v>74</v>
      </c>
      <c r="Q472" t="s">
        <v>74</v>
      </c>
      <c r="R472" t="s">
        <v>74</v>
      </c>
      <c r="S472" t="s">
        <v>74</v>
      </c>
      <c r="T472" t="s">
        <v>8921</v>
      </c>
      <c r="U472" t="s">
        <v>8922</v>
      </c>
      <c r="V472" t="s">
        <v>8923</v>
      </c>
      <c r="W472" t="s">
        <v>8924</v>
      </c>
      <c r="X472" t="s">
        <v>8925</v>
      </c>
      <c r="Y472" t="s">
        <v>8926</v>
      </c>
      <c r="Z472" t="s">
        <v>8927</v>
      </c>
      <c r="AA472" t="s">
        <v>74</v>
      </c>
      <c r="AB472" t="s">
        <v>8928</v>
      </c>
      <c r="AC472" t="s">
        <v>8929</v>
      </c>
      <c r="AD472" t="s">
        <v>8930</v>
      </c>
      <c r="AE472" t="s">
        <v>8931</v>
      </c>
      <c r="AF472" t="s">
        <v>74</v>
      </c>
      <c r="AG472">
        <v>62</v>
      </c>
      <c r="AH472">
        <v>12</v>
      </c>
      <c r="AI472">
        <v>12</v>
      </c>
      <c r="AJ472">
        <v>0</v>
      </c>
      <c r="AK472">
        <v>1</v>
      </c>
      <c r="AL472" t="s">
        <v>546</v>
      </c>
      <c r="AM472" t="s">
        <v>547</v>
      </c>
      <c r="AN472" t="s">
        <v>8932</v>
      </c>
      <c r="AO472" t="s">
        <v>8933</v>
      </c>
      <c r="AP472" t="s">
        <v>74</v>
      </c>
      <c r="AQ472" t="s">
        <v>74</v>
      </c>
      <c r="AR472" t="s">
        <v>8920</v>
      </c>
      <c r="AS472" t="s">
        <v>8934</v>
      </c>
      <c r="AT472" t="s">
        <v>74</v>
      </c>
      <c r="AU472">
        <v>2010</v>
      </c>
      <c r="AV472">
        <v>34</v>
      </c>
      <c r="AW472">
        <v>3</v>
      </c>
      <c r="AX472" t="s">
        <v>74</v>
      </c>
      <c r="AY472" t="s">
        <v>74</v>
      </c>
      <c r="AZ472" t="s">
        <v>74</v>
      </c>
      <c r="BA472" t="s">
        <v>74</v>
      </c>
      <c r="BB472">
        <v>345</v>
      </c>
      <c r="BC472">
        <v>357</v>
      </c>
      <c r="BD472" t="s">
        <v>8935</v>
      </c>
      <c r="BE472" t="s">
        <v>8936</v>
      </c>
      <c r="BF472" t="str">
        <f>HYPERLINK("http://dx.doi.org/10.1080/03115511003789023","http://dx.doi.org/10.1080/03115511003789023")</f>
        <v>http://dx.doi.org/10.1080/03115511003789023</v>
      </c>
      <c r="BG472" t="s">
        <v>74</v>
      </c>
      <c r="BH472" t="s">
        <v>74</v>
      </c>
      <c r="BI472">
        <v>13</v>
      </c>
      <c r="BJ472" t="s">
        <v>1882</v>
      </c>
      <c r="BK472" t="s">
        <v>102</v>
      </c>
      <c r="BL472" t="s">
        <v>1882</v>
      </c>
      <c r="BM472" t="s">
        <v>8937</v>
      </c>
      <c r="BN472" t="s">
        <v>74</v>
      </c>
      <c r="BO472" t="s">
        <v>74</v>
      </c>
      <c r="BP472" t="s">
        <v>74</v>
      </c>
      <c r="BQ472" t="s">
        <v>74</v>
      </c>
      <c r="BR472" t="s">
        <v>105</v>
      </c>
      <c r="BS472" t="s">
        <v>8938</v>
      </c>
      <c r="BT472" t="str">
        <f>HYPERLINK("https%3A%2F%2Fwww.webofscience.com%2Fwos%2Fwoscc%2Ffull-record%2FWOS:000281065400012","View Full Record in Web of Science")</f>
        <v>View Full Record in Web of Science</v>
      </c>
    </row>
    <row r="473" spans="1:72" x14ac:dyDescent="0.15">
      <c r="A473" t="s">
        <v>72</v>
      </c>
      <c r="B473" t="s">
        <v>8939</v>
      </c>
      <c r="C473" t="s">
        <v>74</v>
      </c>
      <c r="D473" t="s">
        <v>74</v>
      </c>
      <c r="E473" t="s">
        <v>74</v>
      </c>
      <c r="F473" t="s">
        <v>8940</v>
      </c>
      <c r="G473" t="s">
        <v>74</v>
      </c>
      <c r="H473" t="s">
        <v>74</v>
      </c>
      <c r="I473" t="s">
        <v>8941</v>
      </c>
      <c r="J473" t="s">
        <v>8942</v>
      </c>
      <c r="K473" t="s">
        <v>74</v>
      </c>
      <c r="L473" t="s">
        <v>74</v>
      </c>
      <c r="M473" t="s">
        <v>78</v>
      </c>
      <c r="N473" t="s">
        <v>79</v>
      </c>
      <c r="O473" t="s">
        <v>74</v>
      </c>
      <c r="P473" t="s">
        <v>74</v>
      </c>
      <c r="Q473" t="s">
        <v>74</v>
      </c>
      <c r="R473" t="s">
        <v>74</v>
      </c>
      <c r="S473" t="s">
        <v>74</v>
      </c>
      <c r="T473" t="s">
        <v>8943</v>
      </c>
      <c r="U473" t="s">
        <v>8944</v>
      </c>
      <c r="V473" t="s">
        <v>8945</v>
      </c>
      <c r="W473" t="s">
        <v>8946</v>
      </c>
      <c r="X473" t="s">
        <v>8947</v>
      </c>
      <c r="Y473" t="s">
        <v>8948</v>
      </c>
      <c r="Z473" t="s">
        <v>8949</v>
      </c>
      <c r="AA473" t="s">
        <v>8950</v>
      </c>
      <c r="AB473" t="s">
        <v>8951</v>
      </c>
      <c r="AC473" t="s">
        <v>8952</v>
      </c>
      <c r="AD473" t="s">
        <v>8953</v>
      </c>
      <c r="AE473" t="s">
        <v>8954</v>
      </c>
      <c r="AF473" t="s">
        <v>74</v>
      </c>
      <c r="AG473">
        <v>28</v>
      </c>
      <c r="AH473">
        <v>33</v>
      </c>
      <c r="AI473">
        <v>35</v>
      </c>
      <c r="AJ473">
        <v>0</v>
      </c>
      <c r="AK473">
        <v>20</v>
      </c>
      <c r="AL473" t="s">
        <v>4693</v>
      </c>
      <c r="AM473" t="s">
        <v>5313</v>
      </c>
      <c r="AN473" t="s">
        <v>5314</v>
      </c>
      <c r="AO473" t="s">
        <v>8955</v>
      </c>
      <c r="AP473" t="s">
        <v>8956</v>
      </c>
      <c r="AQ473" t="s">
        <v>74</v>
      </c>
      <c r="AR473" t="s">
        <v>8942</v>
      </c>
      <c r="AS473" t="s">
        <v>8957</v>
      </c>
      <c r="AT473" t="s">
        <v>8958</v>
      </c>
      <c r="AU473">
        <v>2010</v>
      </c>
      <c r="AV473">
        <v>38</v>
      </c>
      <c r="AW473">
        <v>1</v>
      </c>
      <c r="AX473" t="s">
        <v>74</v>
      </c>
      <c r="AY473" t="s">
        <v>74</v>
      </c>
      <c r="AZ473" t="s">
        <v>74</v>
      </c>
      <c r="BA473" t="s">
        <v>74</v>
      </c>
      <c r="BB473">
        <v>213</v>
      </c>
      <c r="BC473">
        <v>222</v>
      </c>
      <c r="BD473" t="s">
        <v>74</v>
      </c>
      <c r="BE473" t="s">
        <v>8959</v>
      </c>
      <c r="BF473" t="str">
        <f>HYPERLINK("http://dx.doi.org/10.1007/s00726-008-0229-0","http://dx.doi.org/10.1007/s00726-008-0229-0")</f>
        <v>http://dx.doi.org/10.1007/s00726-008-0229-0</v>
      </c>
      <c r="BG473" t="s">
        <v>74</v>
      </c>
      <c r="BH473" t="s">
        <v>74</v>
      </c>
      <c r="BI473">
        <v>10</v>
      </c>
      <c r="BJ473" t="s">
        <v>7136</v>
      </c>
      <c r="BK473" t="s">
        <v>102</v>
      </c>
      <c r="BL473" t="s">
        <v>7136</v>
      </c>
      <c r="BM473" t="s">
        <v>8960</v>
      </c>
      <c r="BN473">
        <v>19165574</v>
      </c>
      <c r="BO473" t="s">
        <v>74</v>
      </c>
      <c r="BP473" t="s">
        <v>74</v>
      </c>
      <c r="BQ473" t="s">
        <v>74</v>
      </c>
      <c r="BR473" t="s">
        <v>105</v>
      </c>
      <c r="BS473" t="s">
        <v>8961</v>
      </c>
      <c r="BT473" t="str">
        <f>HYPERLINK("https%3A%2F%2Fwww.webofscience.com%2Fwos%2Fwoscc%2Ffull-record%2FWOS:000274384000022","View Full Record in Web of Science")</f>
        <v>View Full Record in Web of Science</v>
      </c>
    </row>
    <row r="474" spans="1:72" x14ac:dyDescent="0.15">
      <c r="A474" t="s">
        <v>72</v>
      </c>
      <c r="B474" t="s">
        <v>8962</v>
      </c>
      <c r="C474" t="s">
        <v>74</v>
      </c>
      <c r="D474" t="s">
        <v>74</v>
      </c>
      <c r="E474" t="s">
        <v>74</v>
      </c>
      <c r="F474" t="s">
        <v>8963</v>
      </c>
      <c r="G474" t="s">
        <v>74</v>
      </c>
      <c r="H474" t="s">
        <v>74</v>
      </c>
      <c r="I474" t="s">
        <v>8964</v>
      </c>
      <c r="J474" t="s">
        <v>8965</v>
      </c>
      <c r="K474" t="s">
        <v>74</v>
      </c>
      <c r="L474" t="s">
        <v>74</v>
      </c>
      <c r="M474" t="s">
        <v>78</v>
      </c>
      <c r="N474" t="s">
        <v>79</v>
      </c>
      <c r="O474" t="s">
        <v>74</v>
      </c>
      <c r="P474" t="s">
        <v>74</v>
      </c>
      <c r="Q474" t="s">
        <v>74</v>
      </c>
      <c r="R474" t="s">
        <v>74</v>
      </c>
      <c r="S474" t="s">
        <v>74</v>
      </c>
      <c r="T474" t="s">
        <v>8966</v>
      </c>
      <c r="U474" t="s">
        <v>8967</v>
      </c>
      <c r="V474" t="s">
        <v>8968</v>
      </c>
      <c r="W474" t="s">
        <v>8969</v>
      </c>
      <c r="X474" t="s">
        <v>8970</v>
      </c>
      <c r="Y474" t="s">
        <v>8971</v>
      </c>
      <c r="Z474" t="s">
        <v>8972</v>
      </c>
      <c r="AA474" t="s">
        <v>74</v>
      </c>
      <c r="AB474" t="s">
        <v>74</v>
      </c>
      <c r="AC474" t="s">
        <v>8973</v>
      </c>
      <c r="AD474" t="s">
        <v>8973</v>
      </c>
      <c r="AE474" t="s">
        <v>8974</v>
      </c>
      <c r="AF474" t="s">
        <v>74</v>
      </c>
      <c r="AG474">
        <v>62</v>
      </c>
      <c r="AH474">
        <v>11</v>
      </c>
      <c r="AI474">
        <v>14</v>
      </c>
      <c r="AJ474">
        <v>0</v>
      </c>
      <c r="AK474">
        <v>1</v>
      </c>
      <c r="AL474" t="s">
        <v>6332</v>
      </c>
      <c r="AM474" t="s">
        <v>6333</v>
      </c>
      <c r="AN474" t="s">
        <v>6334</v>
      </c>
      <c r="AO474" t="s">
        <v>8975</v>
      </c>
      <c r="AP474" t="s">
        <v>8976</v>
      </c>
      <c r="AQ474" t="s">
        <v>74</v>
      </c>
      <c r="AR474" t="s">
        <v>8977</v>
      </c>
      <c r="AS474" t="s">
        <v>8978</v>
      </c>
      <c r="AT474" t="s">
        <v>74</v>
      </c>
      <c r="AU474">
        <v>2010</v>
      </c>
      <c r="AV474">
        <v>46</v>
      </c>
      <c r="AW474">
        <v>4</v>
      </c>
      <c r="AX474" t="s">
        <v>74</v>
      </c>
      <c r="AY474" t="s">
        <v>74</v>
      </c>
      <c r="AZ474" t="s">
        <v>74</v>
      </c>
      <c r="BA474" t="s">
        <v>74</v>
      </c>
      <c r="BB474">
        <v>249</v>
      </c>
      <c r="BC474">
        <v>280</v>
      </c>
      <c r="BD474" t="s">
        <v>74</v>
      </c>
      <c r="BE474" t="s">
        <v>8979</v>
      </c>
      <c r="BF474" t="str">
        <f>HYPERLINK("http://dx.doi.org/10.1051/limn/2010021","http://dx.doi.org/10.1051/limn/2010021")</f>
        <v>http://dx.doi.org/10.1051/limn/2010021</v>
      </c>
      <c r="BG474" t="s">
        <v>74</v>
      </c>
      <c r="BH474" t="s">
        <v>74</v>
      </c>
      <c r="BI474">
        <v>32</v>
      </c>
      <c r="BJ474" t="s">
        <v>8980</v>
      </c>
      <c r="BK474" t="s">
        <v>102</v>
      </c>
      <c r="BL474" t="s">
        <v>2186</v>
      </c>
      <c r="BM474" t="s">
        <v>8981</v>
      </c>
      <c r="BN474" t="s">
        <v>74</v>
      </c>
      <c r="BO474" t="s">
        <v>104</v>
      </c>
      <c r="BP474" t="s">
        <v>74</v>
      </c>
      <c r="BQ474" t="s">
        <v>74</v>
      </c>
      <c r="BR474" t="s">
        <v>105</v>
      </c>
      <c r="BS474" t="s">
        <v>8982</v>
      </c>
      <c r="BT474" t="str">
        <f>HYPERLINK("https%3A%2F%2Fwww.webofscience.com%2Fwos%2Fwoscc%2Ffull-record%2FWOS:000285772500005","View Full Record in Web of Science")</f>
        <v>View Full Record in Web of Science</v>
      </c>
    </row>
    <row r="475" spans="1:72" x14ac:dyDescent="0.15">
      <c r="A475" t="s">
        <v>72</v>
      </c>
      <c r="B475" t="s">
        <v>8983</v>
      </c>
      <c r="C475" t="s">
        <v>74</v>
      </c>
      <c r="D475" t="s">
        <v>74</v>
      </c>
      <c r="E475" t="s">
        <v>74</v>
      </c>
      <c r="F475" t="s">
        <v>8984</v>
      </c>
      <c r="G475" t="s">
        <v>74</v>
      </c>
      <c r="H475" t="s">
        <v>74</v>
      </c>
      <c r="I475" t="s">
        <v>8985</v>
      </c>
      <c r="J475" t="s">
        <v>8986</v>
      </c>
      <c r="K475" t="s">
        <v>74</v>
      </c>
      <c r="L475" t="s">
        <v>74</v>
      </c>
      <c r="M475" t="s">
        <v>78</v>
      </c>
      <c r="N475" t="s">
        <v>79</v>
      </c>
      <c r="O475" t="s">
        <v>74</v>
      </c>
      <c r="P475" t="s">
        <v>74</v>
      </c>
      <c r="Q475" t="s">
        <v>74</v>
      </c>
      <c r="R475" t="s">
        <v>74</v>
      </c>
      <c r="S475" t="s">
        <v>74</v>
      </c>
      <c r="T475" t="s">
        <v>8987</v>
      </c>
      <c r="U475" t="s">
        <v>8988</v>
      </c>
      <c r="V475" t="s">
        <v>8989</v>
      </c>
      <c r="W475" t="s">
        <v>8990</v>
      </c>
      <c r="X475" t="s">
        <v>8991</v>
      </c>
      <c r="Y475" t="s">
        <v>8992</v>
      </c>
      <c r="Z475" t="s">
        <v>8993</v>
      </c>
      <c r="AA475" t="s">
        <v>8994</v>
      </c>
      <c r="AB475" t="s">
        <v>8995</v>
      </c>
      <c r="AC475" t="s">
        <v>8996</v>
      </c>
      <c r="AD475" t="s">
        <v>8997</v>
      </c>
      <c r="AE475" t="s">
        <v>8998</v>
      </c>
      <c r="AF475" t="s">
        <v>74</v>
      </c>
      <c r="AG475">
        <v>44</v>
      </c>
      <c r="AH475">
        <v>15</v>
      </c>
      <c r="AI475">
        <v>16</v>
      </c>
      <c r="AJ475">
        <v>0</v>
      </c>
      <c r="AK475">
        <v>4</v>
      </c>
      <c r="AL475" t="s">
        <v>8999</v>
      </c>
      <c r="AM475" t="s">
        <v>9000</v>
      </c>
      <c r="AN475" t="s">
        <v>9001</v>
      </c>
      <c r="AO475" t="s">
        <v>9002</v>
      </c>
      <c r="AP475" t="s">
        <v>9003</v>
      </c>
      <c r="AQ475" t="s">
        <v>74</v>
      </c>
      <c r="AR475" t="s">
        <v>9004</v>
      </c>
      <c r="AS475" t="s">
        <v>9005</v>
      </c>
      <c r="AT475" t="s">
        <v>74</v>
      </c>
      <c r="AU475">
        <v>2010</v>
      </c>
      <c r="AV475">
        <v>28</v>
      </c>
      <c r="AW475">
        <v>1</v>
      </c>
      <c r="AX475" t="s">
        <v>74</v>
      </c>
      <c r="AY475" t="s">
        <v>74</v>
      </c>
      <c r="AZ475" t="s">
        <v>74</v>
      </c>
      <c r="BA475" t="s">
        <v>74</v>
      </c>
      <c r="BB475">
        <v>47</v>
      </c>
      <c r="BC475">
        <v>59</v>
      </c>
      <c r="BD475" t="s">
        <v>74</v>
      </c>
      <c r="BE475" t="s">
        <v>9006</v>
      </c>
      <c r="BF475" t="str">
        <f>HYPERLINK("http://dx.doi.org/10.5194/angeo-28-47-2010","http://dx.doi.org/10.5194/angeo-28-47-2010")</f>
        <v>http://dx.doi.org/10.5194/angeo-28-47-2010</v>
      </c>
      <c r="BG475" t="s">
        <v>74</v>
      </c>
      <c r="BH475" t="s">
        <v>74</v>
      </c>
      <c r="BI475">
        <v>13</v>
      </c>
      <c r="BJ475" t="s">
        <v>9007</v>
      </c>
      <c r="BK475" t="s">
        <v>102</v>
      </c>
      <c r="BL475" t="s">
        <v>9008</v>
      </c>
      <c r="BM475" t="s">
        <v>9009</v>
      </c>
      <c r="BN475" t="s">
        <v>74</v>
      </c>
      <c r="BO475" t="s">
        <v>5253</v>
      </c>
      <c r="BP475" t="s">
        <v>74</v>
      </c>
      <c r="BQ475" t="s">
        <v>74</v>
      </c>
      <c r="BR475" t="s">
        <v>105</v>
      </c>
      <c r="BS475" t="s">
        <v>9010</v>
      </c>
      <c r="BT475" t="str">
        <f>HYPERLINK("https%3A%2F%2Fwww.webofscience.com%2Fwos%2Fwoscc%2Ffull-record%2FWOS:000274136900006","View Full Record in Web of Science")</f>
        <v>View Full Record in Web of Science</v>
      </c>
    </row>
    <row r="476" spans="1:72" x14ac:dyDescent="0.15">
      <c r="A476" t="s">
        <v>72</v>
      </c>
      <c r="B476" t="s">
        <v>9011</v>
      </c>
      <c r="C476" t="s">
        <v>74</v>
      </c>
      <c r="D476" t="s">
        <v>74</v>
      </c>
      <c r="E476" t="s">
        <v>74</v>
      </c>
      <c r="F476" t="s">
        <v>9012</v>
      </c>
      <c r="G476" t="s">
        <v>74</v>
      </c>
      <c r="H476" t="s">
        <v>74</v>
      </c>
      <c r="I476" t="s">
        <v>9013</v>
      </c>
      <c r="J476" t="s">
        <v>8986</v>
      </c>
      <c r="K476" t="s">
        <v>74</v>
      </c>
      <c r="L476" t="s">
        <v>74</v>
      </c>
      <c r="M476" t="s">
        <v>78</v>
      </c>
      <c r="N476" t="s">
        <v>79</v>
      </c>
      <c r="O476" t="s">
        <v>74</v>
      </c>
      <c r="P476" t="s">
        <v>74</v>
      </c>
      <c r="Q476" t="s">
        <v>74</v>
      </c>
      <c r="R476" t="s">
        <v>74</v>
      </c>
      <c r="S476" t="s">
        <v>74</v>
      </c>
      <c r="T476" t="s">
        <v>9014</v>
      </c>
      <c r="U476" t="s">
        <v>74</v>
      </c>
      <c r="V476" t="s">
        <v>9015</v>
      </c>
      <c r="W476" t="s">
        <v>9016</v>
      </c>
      <c r="X476" t="s">
        <v>9017</v>
      </c>
      <c r="Y476" t="s">
        <v>9018</v>
      </c>
      <c r="Z476" t="s">
        <v>9019</v>
      </c>
      <c r="AA476" t="s">
        <v>9020</v>
      </c>
      <c r="AB476" t="s">
        <v>9021</v>
      </c>
      <c r="AC476" t="s">
        <v>9022</v>
      </c>
      <c r="AD476" t="s">
        <v>9023</v>
      </c>
      <c r="AE476" t="s">
        <v>9024</v>
      </c>
      <c r="AF476" t="s">
        <v>74</v>
      </c>
      <c r="AG476">
        <v>24</v>
      </c>
      <c r="AH476">
        <v>7</v>
      </c>
      <c r="AI476">
        <v>9</v>
      </c>
      <c r="AJ476">
        <v>1</v>
      </c>
      <c r="AK476">
        <v>8</v>
      </c>
      <c r="AL476" t="s">
        <v>8999</v>
      </c>
      <c r="AM476" t="s">
        <v>9000</v>
      </c>
      <c r="AN476" t="s">
        <v>9001</v>
      </c>
      <c r="AO476" t="s">
        <v>9002</v>
      </c>
      <c r="AP476" t="s">
        <v>74</v>
      </c>
      <c r="AQ476" t="s">
        <v>74</v>
      </c>
      <c r="AR476" t="s">
        <v>9004</v>
      </c>
      <c r="AS476" t="s">
        <v>9005</v>
      </c>
      <c r="AT476" t="s">
        <v>74</v>
      </c>
      <c r="AU476">
        <v>2010</v>
      </c>
      <c r="AV476">
        <v>28</v>
      </c>
      <c r="AW476">
        <v>1</v>
      </c>
      <c r="AX476" t="s">
        <v>74</v>
      </c>
      <c r="AY476" t="s">
        <v>74</v>
      </c>
      <c r="AZ476" t="s">
        <v>74</v>
      </c>
      <c r="BA476" t="s">
        <v>74</v>
      </c>
      <c r="BB476">
        <v>267</v>
      </c>
      <c r="BC476">
        <v>276</v>
      </c>
      <c r="BD476" t="s">
        <v>74</v>
      </c>
      <c r="BE476" t="s">
        <v>9025</v>
      </c>
      <c r="BF476" t="str">
        <f>HYPERLINK("http://dx.doi.org/10.5194/angeo-28-267-2010","http://dx.doi.org/10.5194/angeo-28-267-2010")</f>
        <v>http://dx.doi.org/10.5194/angeo-28-267-2010</v>
      </c>
      <c r="BG476" t="s">
        <v>74</v>
      </c>
      <c r="BH476" t="s">
        <v>74</v>
      </c>
      <c r="BI476">
        <v>10</v>
      </c>
      <c r="BJ476" t="s">
        <v>9007</v>
      </c>
      <c r="BK476" t="s">
        <v>102</v>
      </c>
      <c r="BL476" t="s">
        <v>9008</v>
      </c>
      <c r="BM476" t="s">
        <v>9009</v>
      </c>
      <c r="BN476" t="s">
        <v>74</v>
      </c>
      <c r="BO476" t="s">
        <v>8695</v>
      </c>
      <c r="BP476" t="s">
        <v>74</v>
      </c>
      <c r="BQ476" t="s">
        <v>74</v>
      </c>
      <c r="BR476" t="s">
        <v>105</v>
      </c>
      <c r="BS476" t="s">
        <v>9026</v>
      </c>
      <c r="BT476" t="str">
        <f>HYPERLINK("https%3A%2F%2Fwww.webofscience.com%2Fwos%2Fwoscc%2Ffull-record%2FWOS:000274136900024","View Full Record in Web of Science")</f>
        <v>View Full Record in Web of Science</v>
      </c>
    </row>
    <row r="477" spans="1:72" x14ac:dyDescent="0.15">
      <c r="A477" t="s">
        <v>72</v>
      </c>
      <c r="B477" t="s">
        <v>9027</v>
      </c>
      <c r="C477" t="s">
        <v>74</v>
      </c>
      <c r="D477" t="s">
        <v>74</v>
      </c>
      <c r="E477" t="s">
        <v>74</v>
      </c>
      <c r="F477" t="s">
        <v>9028</v>
      </c>
      <c r="G477" t="s">
        <v>74</v>
      </c>
      <c r="H477" t="s">
        <v>74</v>
      </c>
      <c r="I477" t="s">
        <v>9029</v>
      </c>
      <c r="J477" t="s">
        <v>8986</v>
      </c>
      <c r="K477" t="s">
        <v>74</v>
      </c>
      <c r="L477" t="s">
        <v>74</v>
      </c>
      <c r="M477" t="s">
        <v>78</v>
      </c>
      <c r="N477" t="s">
        <v>79</v>
      </c>
      <c r="O477" t="s">
        <v>74</v>
      </c>
      <c r="P477" t="s">
        <v>74</v>
      </c>
      <c r="Q477" t="s">
        <v>74</v>
      </c>
      <c r="R477" t="s">
        <v>74</v>
      </c>
      <c r="S477" t="s">
        <v>74</v>
      </c>
      <c r="T477" t="s">
        <v>9030</v>
      </c>
      <c r="U477" t="s">
        <v>9031</v>
      </c>
      <c r="V477" t="s">
        <v>9032</v>
      </c>
      <c r="W477" t="s">
        <v>9033</v>
      </c>
      <c r="X477" t="s">
        <v>9034</v>
      </c>
      <c r="Y477" t="s">
        <v>9035</v>
      </c>
      <c r="Z477" t="s">
        <v>9036</v>
      </c>
      <c r="AA477" t="s">
        <v>9037</v>
      </c>
      <c r="AB477" t="s">
        <v>9038</v>
      </c>
      <c r="AC477" t="s">
        <v>9039</v>
      </c>
      <c r="AD477" t="s">
        <v>9040</v>
      </c>
      <c r="AE477" t="s">
        <v>9041</v>
      </c>
      <c r="AF477" t="s">
        <v>74</v>
      </c>
      <c r="AG477">
        <v>37</v>
      </c>
      <c r="AH477">
        <v>21</v>
      </c>
      <c r="AI477">
        <v>21</v>
      </c>
      <c r="AJ477">
        <v>0</v>
      </c>
      <c r="AK477">
        <v>9</v>
      </c>
      <c r="AL477" t="s">
        <v>8999</v>
      </c>
      <c r="AM477" t="s">
        <v>9000</v>
      </c>
      <c r="AN477" t="s">
        <v>9001</v>
      </c>
      <c r="AO477" t="s">
        <v>9002</v>
      </c>
      <c r="AP477" t="s">
        <v>9003</v>
      </c>
      <c r="AQ477" t="s">
        <v>74</v>
      </c>
      <c r="AR477" t="s">
        <v>9004</v>
      </c>
      <c r="AS477" t="s">
        <v>9005</v>
      </c>
      <c r="AT477" t="s">
        <v>74</v>
      </c>
      <c r="AU477">
        <v>2010</v>
      </c>
      <c r="AV477">
        <v>28</v>
      </c>
      <c r="AW477">
        <v>2</v>
      </c>
      <c r="AX477" t="s">
        <v>74</v>
      </c>
      <c r="AY477" t="s">
        <v>74</v>
      </c>
      <c r="AZ477" t="s">
        <v>74</v>
      </c>
      <c r="BA477" t="s">
        <v>74</v>
      </c>
      <c r="BB477">
        <v>587</v>
      </c>
      <c r="BC477">
        <v>595</v>
      </c>
      <c r="BD477" t="s">
        <v>74</v>
      </c>
      <c r="BE477" t="s">
        <v>9042</v>
      </c>
      <c r="BF477" t="str">
        <f>HYPERLINK("http://dx.doi.org/10.5194/angeo-28-587-2010","http://dx.doi.org/10.5194/angeo-28-587-2010")</f>
        <v>http://dx.doi.org/10.5194/angeo-28-587-2010</v>
      </c>
      <c r="BG477" t="s">
        <v>74</v>
      </c>
      <c r="BH477" t="s">
        <v>74</v>
      </c>
      <c r="BI477">
        <v>9</v>
      </c>
      <c r="BJ477" t="s">
        <v>9007</v>
      </c>
      <c r="BK477" t="s">
        <v>102</v>
      </c>
      <c r="BL477" t="s">
        <v>9008</v>
      </c>
      <c r="BM477" t="s">
        <v>9043</v>
      </c>
      <c r="BN477" t="s">
        <v>74</v>
      </c>
      <c r="BO477" t="s">
        <v>5454</v>
      </c>
      <c r="BP477" t="s">
        <v>74</v>
      </c>
      <c r="BQ477" t="s">
        <v>74</v>
      </c>
      <c r="BR477" t="s">
        <v>105</v>
      </c>
      <c r="BS477" t="s">
        <v>9044</v>
      </c>
      <c r="BT477" t="str">
        <f>HYPERLINK("https%3A%2F%2Fwww.webofscience.com%2Fwos%2Fwoscc%2Ffull-record%2FWOS:000274995800023","View Full Record in Web of Science")</f>
        <v>View Full Record in Web of Science</v>
      </c>
    </row>
    <row r="478" spans="1:72" x14ac:dyDescent="0.15">
      <c r="A478" t="s">
        <v>72</v>
      </c>
      <c r="B478" t="s">
        <v>9045</v>
      </c>
      <c r="C478" t="s">
        <v>74</v>
      </c>
      <c r="D478" t="s">
        <v>74</v>
      </c>
      <c r="E478" t="s">
        <v>74</v>
      </c>
      <c r="F478" t="s">
        <v>9046</v>
      </c>
      <c r="G478" t="s">
        <v>74</v>
      </c>
      <c r="H478" t="s">
        <v>74</v>
      </c>
      <c r="I478" t="s">
        <v>9047</v>
      </c>
      <c r="J478" t="s">
        <v>8986</v>
      </c>
      <c r="K478" t="s">
        <v>74</v>
      </c>
      <c r="L478" t="s">
        <v>74</v>
      </c>
      <c r="M478" t="s">
        <v>78</v>
      </c>
      <c r="N478" t="s">
        <v>79</v>
      </c>
      <c r="O478" t="s">
        <v>74</v>
      </c>
      <c r="P478" t="s">
        <v>74</v>
      </c>
      <c r="Q478" t="s">
        <v>74</v>
      </c>
      <c r="R478" t="s">
        <v>74</v>
      </c>
      <c r="S478" t="s">
        <v>74</v>
      </c>
      <c r="T478" t="s">
        <v>9048</v>
      </c>
      <c r="U478" t="s">
        <v>9049</v>
      </c>
      <c r="V478" t="s">
        <v>9050</v>
      </c>
      <c r="W478" t="s">
        <v>9051</v>
      </c>
      <c r="X478" t="s">
        <v>9052</v>
      </c>
      <c r="Y478" t="s">
        <v>9053</v>
      </c>
      <c r="Z478" t="s">
        <v>9054</v>
      </c>
      <c r="AA478" t="s">
        <v>9055</v>
      </c>
      <c r="AB478" t="s">
        <v>9056</v>
      </c>
      <c r="AC478" t="s">
        <v>74</v>
      </c>
      <c r="AD478" t="s">
        <v>74</v>
      </c>
      <c r="AE478" t="s">
        <v>74</v>
      </c>
      <c r="AF478" t="s">
        <v>74</v>
      </c>
      <c r="AG478">
        <v>30</v>
      </c>
      <c r="AH478">
        <v>25</v>
      </c>
      <c r="AI478">
        <v>25</v>
      </c>
      <c r="AJ478">
        <v>1</v>
      </c>
      <c r="AK478">
        <v>4</v>
      </c>
      <c r="AL478" t="s">
        <v>8999</v>
      </c>
      <c r="AM478" t="s">
        <v>9000</v>
      </c>
      <c r="AN478" t="s">
        <v>9001</v>
      </c>
      <c r="AO478" t="s">
        <v>9002</v>
      </c>
      <c r="AP478" t="s">
        <v>9003</v>
      </c>
      <c r="AQ478" t="s">
        <v>74</v>
      </c>
      <c r="AR478" t="s">
        <v>9004</v>
      </c>
      <c r="AS478" t="s">
        <v>9005</v>
      </c>
      <c r="AT478" t="s">
        <v>74</v>
      </c>
      <c r="AU478">
        <v>2010</v>
      </c>
      <c r="AV478">
        <v>28</v>
      </c>
      <c r="AW478">
        <v>7</v>
      </c>
      <c r="AX478" t="s">
        <v>74</v>
      </c>
      <c r="AY478" t="s">
        <v>74</v>
      </c>
      <c r="AZ478" t="s">
        <v>74</v>
      </c>
      <c r="BA478" t="s">
        <v>74</v>
      </c>
      <c r="BB478">
        <v>1449</v>
      </c>
      <c r="BC478">
        <v>1462</v>
      </c>
      <c r="BD478" t="s">
        <v>74</v>
      </c>
      <c r="BE478" t="s">
        <v>9057</v>
      </c>
      <c r="BF478" t="str">
        <f>HYPERLINK("http://dx.doi.org/10.5194/angeo-28-1449-2010","http://dx.doi.org/10.5194/angeo-28-1449-2010")</f>
        <v>http://dx.doi.org/10.5194/angeo-28-1449-2010</v>
      </c>
      <c r="BG478" t="s">
        <v>74</v>
      </c>
      <c r="BH478" t="s">
        <v>74</v>
      </c>
      <c r="BI478">
        <v>14</v>
      </c>
      <c r="BJ478" t="s">
        <v>9007</v>
      </c>
      <c r="BK478" t="s">
        <v>102</v>
      </c>
      <c r="BL478" t="s">
        <v>9008</v>
      </c>
      <c r="BM478" t="s">
        <v>9058</v>
      </c>
      <c r="BN478" t="s">
        <v>74</v>
      </c>
      <c r="BO478" t="s">
        <v>5253</v>
      </c>
      <c r="BP478" t="s">
        <v>74</v>
      </c>
      <c r="BQ478" t="s">
        <v>74</v>
      </c>
      <c r="BR478" t="s">
        <v>105</v>
      </c>
      <c r="BS478" t="s">
        <v>9059</v>
      </c>
      <c r="BT478" t="str">
        <f>HYPERLINK("https%3A%2F%2Fwww.webofscience.com%2Fwos%2Fwoscc%2Ffull-record%2FWOS:000280515400007","View Full Record in Web of Science")</f>
        <v>View Full Record in Web of Science</v>
      </c>
    </row>
    <row r="479" spans="1:72" x14ac:dyDescent="0.15">
      <c r="A479" t="s">
        <v>72</v>
      </c>
      <c r="B479" t="s">
        <v>9060</v>
      </c>
      <c r="C479" t="s">
        <v>74</v>
      </c>
      <c r="D479" t="s">
        <v>74</v>
      </c>
      <c r="E479" t="s">
        <v>74</v>
      </c>
      <c r="F479" t="s">
        <v>9061</v>
      </c>
      <c r="G479" t="s">
        <v>74</v>
      </c>
      <c r="H479" t="s">
        <v>74</v>
      </c>
      <c r="I479" t="s">
        <v>9062</v>
      </c>
      <c r="J479" t="s">
        <v>8986</v>
      </c>
      <c r="K479" t="s">
        <v>74</v>
      </c>
      <c r="L479" t="s">
        <v>74</v>
      </c>
      <c r="M479" t="s">
        <v>78</v>
      </c>
      <c r="N479" t="s">
        <v>79</v>
      </c>
      <c r="O479" t="s">
        <v>74</v>
      </c>
      <c r="P479" t="s">
        <v>74</v>
      </c>
      <c r="Q479" t="s">
        <v>74</v>
      </c>
      <c r="R479" t="s">
        <v>74</v>
      </c>
      <c r="S479" t="s">
        <v>74</v>
      </c>
      <c r="T479" t="s">
        <v>9063</v>
      </c>
      <c r="U479" t="s">
        <v>9064</v>
      </c>
      <c r="V479" t="s">
        <v>9065</v>
      </c>
      <c r="W479" t="s">
        <v>9066</v>
      </c>
      <c r="X479" t="s">
        <v>9067</v>
      </c>
      <c r="Y479" t="s">
        <v>9068</v>
      </c>
      <c r="Z479" t="s">
        <v>9069</v>
      </c>
      <c r="AA479" t="s">
        <v>9070</v>
      </c>
      <c r="AB479" t="s">
        <v>9071</v>
      </c>
      <c r="AC479" t="s">
        <v>9072</v>
      </c>
      <c r="AD479" t="s">
        <v>9073</v>
      </c>
      <c r="AE479" t="s">
        <v>9074</v>
      </c>
      <c r="AF479" t="s">
        <v>74</v>
      </c>
      <c r="AG479">
        <v>55</v>
      </c>
      <c r="AH479">
        <v>37</v>
      </c>
      <c r="AI479">
        <v>40</v>
      </c>
      <c r="AJ479">
        <v>0</v>
      </c>
      <c r="AK479">
        <v>1</v>
      </c>
      <c r="AL479" t="s">
        <v>8999</v>
      </c>
      <c r="AM479" t="s">
        <v>9000</v>
      </c>
      <c r="AN479" t="s">
        <v>9001</v>
      </c>
      <c r="AO479" t="s">
        <v>9002</v>
      </c>
      <c r="AP479" t="s">
        <v>9003</v>
      </c>
      <c r="AQ479" t="s">
        <v>74</v>
      </c>
      <c r="AR479" t="s">
        <v>9004</v>
      </c>
      <c r="AS479" t="s">
        <v>9005</v>
      </c>
      <c r="AT479" t="s">
        <v>74</v>
      </c>
      <c r="AU479">
        <v>2010</v>
      </c>
      <c r="AV479">
        <v>28</v>
      </c>
      <c r="AW479">
        <v>9</v>
      </c>
      <c r="AX479" t="s">
        <v>74</v>
      </c>
      <c r="AY479" t="s">
        <v>74</v>
      </c>
      <c r="AZ479" t="s">
        <v>74</v>
      </c>
      <c r="BA479" t="s">
        <v>74</v>
      </c>
      <c r="BB479">
        <v>1659</v>
      </c>
      <c r="BC479">
        <v>1678</v>
      </c>
      <c r="BD479" t="s">
        <v>74</v>
      </c>
      <c r="BE479" t="s">
        <v>9075</v>
      </c>
      <c r="BF479" t="str">
        <f>HYPERLINK("http://dx.doi.org/10.5194/angeo-28-1659-2010","http://dx.doi.org/10.5194/angeo-28-1659-2010")</f>
        <v>http://dx.doi.org/10.5194/angeo-28-1659-2010</v>
      </c>
      <c r="BG479" t="s">
        <v>74</v>
      </c>
      <c r="BH479" t="s">
        <v>74</v>
      </c>
      <c r="BI479">
        <v>20</v>
      </c>
      <c r="BJ479" t="s">
        <v>9007</v>
      </c>
      <c r="BK479" t="s">
        <v>102</v>
      </c>
      <c r="BL479" t="s">
        <v>9008</v>
      </c>
      <c r="BM479" t="s">
        <v>9076</v>
      </c>
      <c r="BN479" t="s">
        <v>74</v>
      </c>
      <c r="BO479" t="s">
        <v>9077</v>
      </c>
      <c r="BP479" t="s">
        <v>74</v>
      </c>
      <c r="BQ479" t="s">
        <v>74</v>
      </c>
      <c r="BR479" t="s">
        <v>105</v>
      </c>
      <c r="BS479" t="s">
        <v>9078</v>
      </c>
      <c r="BT479" t="str">
        <f>HYPERLINK("https%3A%2F%2Fwww.webofscience.com%2Fwos%2Fwoscc%2Ffull-record%2FWOS:000282424600004","View Full Record in Web of Science")</f>
        <v>View Full Record in Web of Science</v>
      </c>
    </row>
    <row r="480" spans="1:72" x14ac:dyDescent="0.15">
      <c r="A480" t="s">
        <v>72</v>
      </c>
      <c r="B480" t="s">
        <v>9079</v>
      </c>
      <c r="C480" t="s">
        <v>74</v>
      </c>
      <c r="D480" t="s">
        <v>74</v>
      </c>
      <c r="E480" t="s">
        <v>74</v>
      </c>
      <c r="F480" t="s">
        <v>9080</v>
      </c>
      <c r="G480" t="s">
        <v>74</v>
      </c>
      <c r="H480" t="s">
        <v>74</v>
      </c>
      <c r="I480" t="s">
        <v>9081</v>
      </c>
      <c r="J480" t="s">
        <v>8986</v>
      </c>
      <c r="K480" t="s">
        <v>74</v>
      </c>
      <c r="L480" t="s">
        <v>74</v>
      </c>
      <c r="M480" t="s">
        <v>78</v>
      </c>
      <c r="N480" t="s">
        <v>79</v>
      </c>
      <c r="O480" t="s">
        <v>74</v>
      </c>
      <c r="P480" t="s">
        <v>74</v>
      </c>
      <c r="Q480" t="s">
        <v>74</v>
      </c>
      <c r="R480" t="s">
        <v>74</v>
      </c>
      <c r="S480" t="s">
        <v>74</v>
      </c>
      <c r="T480" t="s">
        <v>9082</v>
      </c>
      <c r="U480" t="s">
        <v>9083</v>
      </c>
      <c r="V480" t="s">
        <v>9084</v>
      </c>
      <c r="W480" t="s">
        <v>9085</v>
      </c>
      <c r="X480" t="s">
        <v>9086</v>
      </c>
      <c r="Y480" t="s">
        <v>9087</v>
      </c>
      <c r="Z480" t="s">
        <v>9088</v>
      </c>
      <c r="AA480" t="s">
        <v>9089</v>
      </c>
      <c r="AB480" t="s">
        <v>9090</v>
      </c>
      <c r="AC480" t="s">
        <v>9091</v>
      </c>
      <c r="AD480" t="s">
        <v>9092</v>
      </c>
      <c r="AE480" t="s">
        <v>9093</v>
      </c>
      <c r="AF480" t="s">
        <v>74</v>
      </c>
      <c r="AG480">
        <v>28</v>
      </c>
      <c r="AH480">
        <v>19</v>
      </c>
      <c r="AI480">
        <v>19</v>
      </c>
      <c r="AJ480">
        <v>0</v>
      </c>
      <c r="AK480">
        <v>6</v>
      </c>
      <c r="AL480" t="s">
        <v>8999</v>
      </c>
      <c r="AM480" t="s">
        <v>9000</v>
      </c>
      <c r="AN480" t="s">
        <v>9001</v>
      </c>
      <c r="AO480" t="s">
        <v>9002</v>
      </c>
      <c r="AP480" t="s">
        <v>74</v>
      </c>
      <c r="AQ480" t="s">
        <v>74</v>
      </c>
      <c r="AR480" t="s">
        <v>9004</v>
      </c>
      <c r="AS480" t="s">
        <v>9005</v>
      </c>
      <c r="AT480" t="s">
        <v>74</v>
      </c>
      <c r="AU480">
        <v>2010</v>
      </c>
      <c r="AV480">
        <v>28</v>
      </c>
      <c r="AW480">
        <v>10</v>
      </c>
      <c r="AX480" t="s">
        <v>74</v>
      </c>
      <c r="AY480" t="s">
        <v>74</v>
      </c>
      <c r="AZ480" t="s">
        <v>74</v>
      </c>
      <c r="BA480" t="s">
        <v>74</v>
      </c>
      <c r="BB480">
        <v>1993</v>
      </c>
      <c r="BC480">
        <v>2005</v>
      </c>
      <c r="BD480" t="s">
        <v>74</v>
      </c>
      <c r="BE480" t="s">
        <v>9094</v>
      </c>
      <c r="BF480" t="str">
        <f>HYPERLINK("http://dx.doi.org/10.5194/angeo-28-1993-2010","http://dx.doi.org/10.5194/angeo-28-1993-2010")</f>
        <v>http://dx.doi.org/10.5194/angeo-28-1993-2010</v>
      </c>
      <c r="BG480" t="s">
        <v>74</v>
      </c>
      <c r="BH480" t="s">
        <v>74</v>
      </c>
      <c r="BI480">
        <v>13</v>
      </c>
      <c r="BJ480" t="s">
        <v>9007</v>
      </c>
      <c r="BK480" t="s">
        <v>102</v>
      </c>
      <c r="BL480" t="s">
        <v>9008</v>
      </c>
      <c r="BM480" t="s">
        <v>9095</v>
      </c>
      <c r="BN480" t="s">
        <v>74</v>
      </c>
      <c r="BO480" t="s">
        <v>8695</v>
      </c>
      <c r="BP480" t="s">
        <v>74</v>
      </c>
      <c r="BQ480" t="s">
        <v>74</v>
      </c>
      <c r="BR480" t="s">
        <v>105</v>
      </c>
      <c r="BS480" t="s">
        <v>9096</v>
      </c>
      <c r="BT480" t="str">
        <f>HYPERLINK("https%3A%2F%2Fwww.webofscience.com%2Fwos%2Fwoscc%2Ffull-record%2FWOS:000283653700014","View Full Record in Web of Science")</f>
        <v>View Full Record in Web of Science</v>
      </c>
    </row>
    <row r="481" spans="1:72" x14ac:dyDescent="0.15">
      <c r="A481" t="s">
        <v>72</v>
      </c>
      <c r="B481" t="s">
        <v>9097</v>
      </c>
      <c r="C481" t="s">
        <v>74</v>
      </c>
      <c r="D481" t="s">
        <v>74</v>
      </c>
      <c r="E481" t="s">
        <v>74</v>
      </c>
      <c r="F481" t="s">
        <v>9098</v>
      </c>
      <c r="G481" t="s">
        <v>74</v>
      </c>
      <c r="H481" t="s">
        <v>74</v>
      </c>
      <c r="I481" t="s">
        <v>9099</v>
      </c>
      <c r="J481" t="s">
        <v>8986</v>
      </c>
      <c r="K481" t="s">
        <v>74</v>
      </c>
      <c r="L481" t="s">
        <v>74</v>
      </c>
      <c r="M481" t="s">
        <v>78</v>
      </c>
      <c r="N481" t="s">
        <v>79</v>
      </c>
      <c r="O481" t="s">
        <v>74</v>
      </c>
      <c r="P481" t="s">
        <v>74</v>
      </c>
      <c r="Q481" t="s">
        <v>74</v>
      </c>
      <c r="R481" t="s">
        <v>74</v>
      </c>
      <c r="S481" t="s">
        <v>74</v>
      </c>
      <c r="T481" t="s">
        <v>9100</v>
      </c>
      <c r="U481" t="s">
        <v>9101</v>
      </c>
      <c r="V481" t="s">
        <v>9102</v>
      </c>
      <c r="W481" t="s">
        <v>9103</v>
      </c>
      <c r="X481" t="s">
        <v>9104</v>
      </c>
      <c r="Y481" t="s">
        <v>9105</v>
      </c>
      <c r="Z481" t="s">
        <v>9106</v>
      </c>
      <c r="AA481" t="s">
        <v>9107</v>
      </c>
      <c r="AB481" t="s">
        <v>74</v>
      </c>
      <c r="AC481" t="s">
        <v>9108</v>
      </c>
      <c r="AD481" t="s">
        <v>9109</v>
      </c>
      <c r="AE481" t="s">
        <v>9110</v>
      </c>
      <c r="AF481" t="s">
        <v>74</v>
      </c>
      <c r="AG481">
        <v>43</v>
      </c>
      <c r="AH481">
        <v>11</v>
      </c>
      <c r="AI481">
        <v>13</v>
      </c>
      <c r="AJ481">
        <v>0</v>
      </c>
      <c r="AK481">
        <v>9</v>
      </c>
      <c r="AL481" t="s">
        <v>8999</v>
      </c>
      <c r="AM481" t="s">
        <v>9000</v>
      </c>
      <c r="AN481" t="s">
        <v>9001</v>
      </c>
      <c r="AO481" t="s">
        <v>9002</v>
      </c>
      <c r="AP481" t="s">
        <v>9003</v>
      </c>
      <c r="AQ481" t="s">
        <v>74</v>
      </c>
      <c r="AR481" t="s">
        <v>9004</v>
      </c>
      <c r="AS481" t="s">
        <v>9005</v>
      </c>
      <c r="AT481" t="s">
        <v>74</v>
      </c>
      <c r="AU481">
        <v>2010</v>
      </c>
      <c r="AV481">
        <v>28</v>
      </c>
      <c r="AW481">
        <v>11</v>
      </c>
      <c r="AX481" t="s">
        <v>74</v>
      </c>
      <c r="AY481" t="s">
        <v>74</v>
      </c>
      <c r="AZ481" t="s">
        <v>74</v>
      </c>
      <c r="BA481" t="s">
        <v>74</v>
      </c>
      <c r="BB481">
        <v>2133</v>
      </c>
      <c r="BC481">
        <v>2148</v>
      </c>
      <c r="BD481" t="s">
        <v>74</v>
      </c>
      <c r="BE481" t="s">
        <v>9111</v>
      </c>
      <c r="BF481" t="str">
        <f>HYPERLINK("http://dx.doi.org/10.5194/angeo-28-2133-2010","http://dx.doi.org/10.5194/angeo-28-2133-2010")</f>
        <v>http://dx.doi.org/10.5194/angeo-28-2133-2010</v>
      </c>
      <c r="BG481" t="s">
        <v>74</v>
      </c>
      <c r="BH481" t="s">
        <v>74</v>
      </c>
      <c r="BI481">
        <v>16</v>
      </c>
      <c r="BJ481" t="s">
        <v>9007</v>
      </c>
      <c r="BK481" t="s">
        <v>102</v>
      </c>
      <c r="BL481" t="s">
        <v>9008</v>
      </c>
      <c r="BM481" t="s">
        <v>9112</v>
      </c>
      <c r="BN481" t="s">
        <v>74</v>
      </c>
      <c r="BO481" t="s">
        <v>5253</v>
      </c>
      <c r="BP481" t="s">
        <v>74</v>
      </c>
      <c r="BQ481" t="s">
        <v>74</v>
      </c>
      <c r="BR481" t="s">
        <v>105</v>
      </c>
      <c r="BS481" t="s">
        <v>9113</v>
      </c>
      <c r="BT481" t="str">
        <f>HYPERLINK("https%3A%2F%2Fwww.webofscience.com%2Fwos%2Fwoscc%2Ffull-record%2FWOS:000284760900013","View Full Record in Web of Science")</f>
        <v>View Full Record in Web of Science</v>
      </c>
    </row>
    <row r="482" spans="1:72" x14ac:dyDescent="0.15">
      <c r="A482" t="s">
        <v>72</v>
      </c>
      <c r="B482" t="s">
        <v>9114</v>
      </c>
      <c r="C482" t="s">
        <v>74</v>
      </c>
      <c r="D482" t="s">
        <v>74</v>
      </c>
      <c r="E482" t="s">
        <v>74</v>
      </c>
      <c r="F482" t="s">
        <v>9115</v>
      </c>
      <c r="G482" t="s">
        <v>74</v>
      </c>
      <c r="H482" t="s">
        <v>74</v>
      </c>
      <c r="I482" t="s">
        <v>9116</v>
      </c>
      <c r="J482" t="s">
        <v>9117</v>
      </c>
      <c r="K482" t="s">
        <v>74</v>
      </c>
      <c r="L482" t="s">
        <v>74</v>
      </c>
      <c r="M482" t="s">
        <v>78</v>
      </c>
      <c r="N482" t="s">
        <v>79</v>
      </c>
      <c r="O482" t="s">
        <v>74</v>
      </c>
      <c r="P482" t="s">
        <v>74</v>
      </c>
      <c r="Q482" t="s">
        <v>74</v>
      </c>
      <c r="R482" t="s">
        <v>74</v>
      </c>
      <c r="S482" t="s">
        <v>74</v>
      </c>
      <c r="T482" t="s">
        <v>74</v>
      </c>
      <c r="U482" t="s">
        <v>9118</v>
      </c>
      <c r="V482" t="s">
        <v>9119</v>
      </c>
      <c r="W482" t="s">
        <v>9120</v>
      </c>
      <c r="X482" t="s">
        <v>9121</v>
      </c>
      <c r="Y482" t="s">
        <v>9122</v>
      </c>
      <c r="Z482" t="s">
        <v>9123</v>
      </c>
      <c r="AA482" t="s">
        <v>9124</v>
      </c>
      <c r="AB482" t="s">
        <v>9125</v>
      </c>
      <c r="AC482" t="s">
        <v>9126</v>
      </c>
      <c r="AD482" t="s">
        <v>9127</v>
      </c>
      <c r="AE482" t="s">
        <v>9128</v>
      </c>
      <c r="AF482" t="s">
        <v>74</v>
      </c>
      <c r="AG482">
        <v>27</v>
      </c>
      <c r="AH482">
        <v>5</v>
      </c>
      <c r="AI482">
        <v>7</v>
      </c>
      <c r="AJ482">
        <v>1</v>
      </c>
      <c r="AK482">
        <v>9</v>
      </c>
      <c r="AL482" t="s">
        <v>9129</v>
      </c>
      <c r="AM482" t="s">
        <v>9130</v>
      </c>
      <c r="AN482" t="s">
        <v>9131</v>
      </c>
      <c r="AO482" t="s">
        <v>9132</v>
      </c>
      <c r="AP482" t="s">
        <v>74</v>
      </c>
      <c r="AQ482" t="s">
        <v>74</v>
      </c>
      <c r="AR482" t="s">
        <v>9133</v>
      </c>
      <c r="AS482" t="s">
        <v>9005</v>
      </c>
      <c r="AT482" t="s">
        <v>74</v>
      </c>
      <c r="AU482">
        <v>2010</v>
      </c>
      <c r="AV482">
        <v>53</v>
      </c>
      <c r="AW482">
        <v>2</v>
      </c>
      <c r="AX482" t="s">
        <v>74</v>
      </c>
      <c r="AY482" t="s">
        <v>74</v>
      </c>
      <c r="AZ482" t="s">
        <v>74</v>
      </c>
      <c r="BA482" t="s">
        <v>74</v>
      </c>
      <c r="BB482">
        <v>79</v>
      </c>
      <c r="BC482">
        <v>87</v>
      </c>
      <c r="BD482" t="s">
        <v>74</v>
      </c>
      <c r="BE482" t="s">
        <v>9134</v>
      </c>
      <c r="BF482" t="str">
        <f>HYPERLINK("http://dx.doi.org/10.4401/ag-4563","http://dx.doi.org/10.4401/ag-4563")</f>
        <v>http://dx.doi.org/10.4401/ag-4563</v>
      </c>
      <c r="BG482" t="s">
        <v>74</v>
      </c>
      <c r="BH482" t="s">
        <v>74</v>
      </c>
      <c r="BI482">
        <v>9</v>
      </c>
      <c r="BJ482" t="s">
        <v>507</v>
      </c>
      <c r="BK482" t="s">
        <v>102</v>
      </c>
      <c r="BL482" t="s">
        <v>507</v>
      </c>
      <c r="BM482" t="s">
        <v>9135</v>
      </c>
      <c r="BN482" t="s">
        <v>74</v>
      </c>
      <c r="BO482" t="s">
        <v>1663</v>
      </c>
      <c r="BP482" t="s">
        <v>74</v>
      </c>
      <c r="BQ482" t="s">
        <v>74</v>
      </c>
      <c r="BR482" t="s">
        <v>105</v>
      </c>
      <c r="BS482" t="s">
        <v>9136</v>
      </c>
      <c r="BT482" t="str">
        <f>HYPERLINK("https%3A%2F%2Fwww.webofscience.com%2Fwos%2Fwoscc%2Ffull-record%2FWOS:000282355200007","View Full Record in Web of Science")</f>
        <v>View Full Record in Web of Science</v>
      </c>
    </row>
    <row r="483" spans="1:72" x14ac:dyDescent="0.15">
      <c r="A483" t="s">
        <v>72</v>
      </c>
      <c r="B483" t="s">
        <v>9137</v>
      </c>
      <c r="C483" t="s">
        <v>74</v>
      </c>
      <c r="D483" t="s">
        <v>74</v>
      </c>
      <c r="E483" t="s">
        <v>74</v>
      </c>
      <c r="F483" t="s">
        <v>9138</v>
      </c>
      <c r="G483" t="s">
        <v>74</v>
      </c>
      <c r="H483" t="s">
        <v>74</v>
      </c>
      <c r="I483" t="s">
        <v>9139</v>
      </c>
      <c r="J483" t="s">
        <v>8237</v>
      </c>
      <c r="K483" t="s">
        <v>74</v>
      </c>
      <c r="L483" t="s">
        <v>74</v>
      </c>
      <c r="M483" t="s">
        <v>78</v>
      </c>
      <c r="N483" t="s">
        <v>79</v>
      </c>
      <c r="O483" t="s">
        <v>74</v>
      </c>
      <c r="P483" t="s">
        <v>74</v>
      </c>
      <c r="Q483" t="s">
        <v>74</v>
      </c>
      <c r="R483" t="s">
        <v>74</v>
      </c>
      <c r="S483" t="s">
        <v>74</v>
      </c>
      <c r="T483" t="s">
        <v>74</v>
      </c>
      <c r="U483" t="s">
        <v>9140</v>
      </c>
      <c r="V483" t="s">
        <v>9141</v>
      </c>
      <c r="W483" t="s">
        <v>9142</v>
      </c>
      <c r="X483" t="s">
        <v>9143</v>
      </c>
      <c r="Y483" t="s">
        <v>9144</v>
      </c>
      <c r="Z483" t="s">
        <v>9145</v>
      </c>
      <c r="AA483" t="s">
        <v>74</v>
      </c>
      <c r="AB483" t="s">
        <v>9146</v>
      </c>
      <c r="AC483" t="s">
        <v>9147</v>
      </c>
      <c r="AD483" t="s">
        <v>9148</v>
      </c>
      <c r="AE483" t="s">
        <v>9149</v>
      </c>
      <c r="AF483" t="s">
        <v>74</v>
      </c>
      <c r="AG483">
        <v>38</v>
      </c>
      <c r="AH483">
        <v>21</v>
      </c>
      <c r="AI483">
        <v>22</v>
      </c>
      <c r="AJ483">
        <v>0</v>
      </c>
      <c r="AK483">
        <v>11</v>
      </c>
      <c r="AL483" t="s">
        <v>9150</v>
      </c>
      <c r="AM483" t="s">
        <v>1896</v>
      </c>
      <c r="AN483" t="s">
        <v>9151</v>
      </c>
      <c r="AO483" t="s">
        <v>8250</v>
      </c>
      <c r="AP483" t="s">
        <v>74</v>
      </c>
      <c r="AQ483" t="s">
        <v>74</v>
      </c>
      <c r="AR483" t="s">
        <v>8252</v>
      </c>
      <c r="AS483" t="s">
        <v>8253</v>
      </c>
      <c r="AT483" t="s">
        <v>74</v>
      </c>
      <c r="AU483">
        <v>2010</v>
      </c>
      <c r="AV483">
        <v>51</v>
      </c>
      <c r="AW483">
        <v>55</v>
      </c>
      <c r="AX483" t="s">
        <v>74</v>
      </c>
      <c r="AY483" t="s">
        <v>74</v>
      </c>
      <c r="AZ483" t="s">
        <v>74</v>
      </c>
      <c r="BA483" t="s">
        <v>74</v>
      </c>
      <c r="BB483">
        <v>1</v>
      </c>
      <c r="BC483">
        <v>8</v>
      </c>
      <c r="BD483" t="s">
        <v>74</v>
      </c>
      <c r="BE483" t="s">
        <v>74</v>
      </c>
      <c r="BF483" t="s">
        <v>74</v>
      </c>
      <c r="BG483" t="s">
        <v>74</v>
      </c>
      <c r="BH483" t="s">
        <v>74</v>
      </c>
      <c r="BI483">
        <v>8</v>
      </c>
      <c r="BJ483" t="s">
        <v>2881</v>
      </c>
      <c r="BK483" t="s">
        <v>102</v>
      </c>
      <c r="BL483" t="s">
        <v>2628</v>
      </c>
      <c r="BM483" t="s">
        <v>9152</v>
      </c>
      <c r="BN483" t="s">
        <v>74</v>
      </c>
      <c r="BO483" t="s">
        <v>260</v>
      </c>
      <c r="BP483" t="s">
        <v>74</v>
      </c>
      <c r="BQ483" t="s">
        <v>74</v>
      </c>
      <c r="BR483" t="s">
        <v>105</v>
      </c>
      <c r="BS483" t="s">
        <v>9153</v>
      </c>
      <c r="BT483" t="str">
        <f>HYPERLINK("https%3A%2F%2Fwww.webofscience.com%2Fwos%2Fwoscc%2Ffull-record%2FWOS:000281034000002","View Full Record in Web of Science")</f>
        <v>View Full Record in Web of Science</v>
      </c>
    </row>
    <row r="484" spans="1:72" x14ac:dyDescent="0.15">
      <c r="A484" t="s">
        <v>72</v>
      </c>
      <c r="B484" t="s">
        <v>9154</v>
      </c>
      <c r="C484" t="s">
        <v>74</v>
      </c>
      <c r="D484" t="s">
        <v>74</v>
      </c>
      <c r="E484" t="s">
        <v>74</v>
      </c>
      <c r="F484" t="s">
        <v>9155</v>
      </c>
      <c r="G484" t="s">
        <v>74</v>
      </c>
      <c r="H484" t="s">
        <v>74</v>
      </c>
      <c r="I484" t="s">
        <v>9156</v>
      </c>
      <c r="J484" t="s">
        <v>8237</v>
      </c>
      <c r="K484" t="s">
        <v>74</v>
      </c>
      <c r="L484" t="s">
        <v>74</v>
      </c>
      <c r="M484" t="s">
        <v>78</v>
      </c>
      <c r="N484" t="s">
        <v>79</v>
      </c>
      <c r="O484" t="s">
        <v>74</v>
      </c>
      <c r="P484" t="s">
        <v>74</v>
      </c>
      <c r="Q484" t="s">
        <v>74</v>
      </c>
      <c r="R484" t="s">
        <v>74</v>
      </c>
      <c r="S484" t="s">
        <v>74</v>
      </c>
      <c r="T484" t="s">
        <v>74</v>
      </c>
      <c r="U484" t="s">
        <v>9157</v>
      </c>
      <c r="V484" t="s">
        <v>9158</v>
      </c>
      <c r="W484" t="s">
        <v>9159</v>
      </c>
      <c r="X484" t="s">
        <v>9160</v>
      </c>
      <c r="Y484" t="s">
        <v>9161</v>
      </c>
      <c r="Z484" t="s">
        <v>9162</v>
      </c>
      <c r="AA484" t="s">
        <v>9163</v>
      </c>
      <c r="AB484" t="s">
        <v>9164</v>
      </c>
      <c r="AC484" t="s">
        <v>9165</v>
      </c>
      <c r="AD484" t="s">
        <v>9166</v>
      </c>
      <c r="AE484" t="s">
        <v>9167</v>
      </c>
      <c r="AF484" t="s">
        <v>74</v>
      </c>
      <c r="AG484">
        <v>32</v>
      </c>
      <c r="AH484">
        <v>18</v>
      </c>
      <c r="AI484">
        <v>21</v>
      </c>
      <c r="AJ484">
        <v>0</v>
      </c>
      <c r="AK484">
        <v>17</v>
      </c>
      <c r="AL484" t="s">
        <v>9150</v>
      </c>
      <c r="AM484" t="s">
        <v>1896</v>
      </c>
      <c r="AN484" t="s">
        <v>9151</v>
      </c>
      <c r="AO484" t="s">
        <v>8250</v>
      </c>
      <c r="AP484" t="s">
        <v>74</v>
      </c>
      <c r="AQ484" t="s">
        <v>74</v>
      </c>
      <c r="AR484" t="s">
        <v>8252</v>
      </c>
      <c r="AS484" t="s">
        <v>8253</v>
      </c>
      <c r="AT484" t="s">
        <v>74</v>
      </c>
      <c r="AU484">
        <v>2010</v>
      </c>
      <c r="AV484">
        <v>51</v>
      </c>
      <c r="AW484">
        <v>55</v>
      </c>
      <c r="AX484" t="s">
        <v>74</v>
      </c>
      <c r="AY484" t="s">
        <v>74</v>
      </c>
      <c r="AZ484" t="s">
        <v>74</v>
      </c>
      <c r="BA484" t="s">
        <v>74</v>
      </c>
      <c r="BB484">
        <v>9</v>
      </c>
      <c r="BC484">
        <v>15</v>
      </c>
      <c r="BD484" t="s">
        <v>74</v>
      </c>
      <c r="BE484" t="s">
        <v>9168</v>
      </c>
      <c r="BF484" t="str">
        <f>HYPERLINK("http://dx.doi.org/10.3189/172756410791392745","http://dx.doi.org/10.3189/172756410791392745")</f>
        <v>http://dx.doi.org/10.3189/172756410791392745</v>
      </c>
      <c r="BG484" t="s">
        <v>74</v>
      </c>
      <c r="BH484" t="s">
        <v>74</v>
      </c>
      <c r="BI484">
        <v>7</v>
      </c>
      <c r="BJ484" t="s">
        <v>2881</v>
      </c>
      <c r="BK484" t="s">
        <v>102</v>
      </c>
      <c r="BL484" t="s">
        <v>2628</v>
      </c>
      <c r="BM484" t="s">
        <v>9152</v>
      </c>
      <c r="BN484" t="s">
        <v>74</v>
      </c>
      <c r="BO484" t="s">
        <v>1561</v>
      </c>
      <c r="BP484" t="s">
        <v>74</v>
      </c>
      <c r="BQ484" t="s">
        <v>74</v>
      </c>
      <c r="BR484" t="s">
        <v>105</v>
      </c>
      <c r="BS484" t="s">
        <v>9169</v>
      </c>
      <c r="BT484" t="str">
        <f>HYPERLINK("https%3A%2F%2Fwww.webofscience.com%2Fwos%2Fwoscc%2Ffull-record%2FWOS:000281034000003","View Full Record in Web of Science")</f>
        <v>View Full Record in Web of Science</v>
      </c>
    </row>
    <row r="485" spans="1:72" x14ac:dyDescent="0.15">
      <c r="A485" t="s">
        <v>72</v>
      </c>
      <c r="B485" t="s">
        <v>9170</v>
      </c>
      <c r="C485" t="s">
        <v>74</v>
      </c>
      <c r="D485" t="s">
        <v>74</v>
      </c>
      <c r="E485" t="s">
        <v>74</v>
      </c>
      <c r="F485" t="s">
        <v>9171</v>
      </c>
      <c r="G485" t="s">
        <v>74</v>
      </c>
      <c r="H485" t="s">
        <v>74</v>
      </c>
      <c r="I485" t="s">
        <v>9172</v>
      </c>
      <c r="J485" t="s">
        <v>8237</v>
      </c>
      <c r="K485" t="s">
        <v>74</v>
      </c>
      <c r="L485" t="s">
        <v>74</v>
      </c>
      <c r="M485" t="s">
        <v>78</v>
      </c>
      <c r="N485" t="s">
        <v>79</v>
      </c>
      <c r="O485" t="s">
        <v>74</v>
      </c>
      <c r="P485" t="s">
        <v>74</v>
      </c>
      <c r="Q485" t="s">
        <v>74</v>
      </c>
      <c r="R485" t="s">
        <v>74</v>
      </c>
      <c r="S485" t="s">
        <v>74</v>
      </c>
      <c r="T485" t="s">
        <v>74</v>
      </c>
      <c r="U485" t="s">
        <v>9173</v>
      </c>
      <c r="V485" t="s">
        <v>9174</v>
      </c>
      <c r="W485" t="s">
        <v>9175</v>
      </c>
      <c r="X485" t="s">
        <v>9176</v>
      </c>
      <c r="Y485" t="s">
        <v>9177</v>
      </c>
      <c r="Z485" t="s">
        <v>9178</v>
      </c>
      <c r="AA485" t="s">
        <v>9179</v>
      </c>
      <c r="AB485" t="s">
        <v>9180</v>
      </c>
      <c r="AC485" t="s">
        <v>9181</v>
      </c>
      <c r="AD485" t="s">
        <v>9182</v>
      </c>
      <c r="AE485" t="s">
        <v>9183</v>
      </c>
      <c r="AF485" t="s">
        <v>74</v>
      </c>
      <c r="AG485">
        <v>67</v>
      </c>
      <c r="AH485">
        <v>19</v>
      </c>
      <c r="AI485">
        <v>21</v>
      </c>
      <c r="AJ485">
        <v>1</v>
      </c>
      <c r="AK485">
        <v>28</v>
      </c>
      <c r="AL485" t="s">
        <v>587</v>
      </c>
      <c r="AM485" t="s">
        <v>1896</v>
      </c>
      <c r="AN485" t="s">
        <v>8249</v>
      </c>
      <c r="AO485" t="s">
        <v>8250</v>
      </c>
      <c r="AP485" t="s">
        <v>8251</v>
      </c>
      <c r="AQ485" t="s">
        <v>74</v>
      </c>
      <c r="AR485" t="s">
        <v>8252</v>
      </c>
      <c r="AS485" t="s">
        <v>8253</v>
      </c>
      <c r="AT485" t="s">
        <v>74</v>
      </c>
      <c r="AU485">
        <v>2010</v>
      </c>
      <c r="AV485">
        <v>51</v>
      </c>
      <c r="AW485">
        <v>56</v>
      </c>
      <c r="AX485" t="s">
        <v>74</v>
      </c>
      <c r="AY485" t="s">
        <v>74</v>
      </c>
      <c r="AZ485" t="s">
        <v>74</v>
      </c>
      <c r="BA485" t="s">
        <v>74</v>
      </c>
      <c r="BB485">
        <v>15</v>
      </c>
      <c r="BC485">
        <v>22</v>
      </c>
      <c r="BD485" t="s">
        <v>74</v>
      </c>
      <c r="BE485" t="s">
        <v>9184</v>
      </c>
      <c r="BF485" t="str">
        <f>HYPERLINK("http://dx.doi.org/10.3189/172756411795932029","http://dx.doi.org/10.3189/172756411795932029")</f>
        <v>http://dx.doi.org/10.3189/172756411795932029</v>
      </c>
      <c r="BG485" t="s">
        <v>74</v>
      </c>
      <c r="BH485" t="s">
        <v>74</v>
      </c>
      <c r="BI485">
        <v>8</v>
      </c>
      <c r="BJ485" t="s">
        <v>2881</v>
      </c>
      <c r="BK485" t="s">
        <v>102</v>
      </c>
      <c r="BL485" t="s">
        <v>2628</v>
      </c>
      <c r="BM485" t="s">
        <v>8255</v>
      </c>
      <c r="BN485" t="s">
        <v>74</v>
      </c>
      <c r="BO485" t="s">
        <v>104</v>
      </c>
      <c r="BP485" t="s">
        <v>74</v>
      </c>
      <c r="BQ485" t="s">
        <v>74</v>
      </c>
      <c r="BR485" t="s">
        <v>105</v>
      </c>
      <c r="BS485" t="s">
        <v>9185</v>
      </c>
      <c r="BT485" t="str">
        <f>HYPERLINK("https%3A%2F%2Fwww.webofscience.com%2Fwos%2Fwoscc%2Ffull-record%2FWOS:000290290600003","View Full Record in Web of Science")</f>
        <v>View Full Record in Web of Science</v>
      </c>
    </row>
    <row r="486" spans="1:72" x14ac:dyDescent="0.15">
      <c r="A486" t="s">
        <v>72</v>
      </c>
      <c r="B486" t="s">
        <v>9186</v>
      </c>
      <c r="C486" t="s">
        <v>74</v>
      </c>
      <c r="D486" t="s">
        <v>74</v>
      </c>
      <c r="E486" t="s">
        <v>74</v>
      </c>
      <c r="F486" t="s">
        <v>9187</v>
      </c>
      <c r="G486" t="s">
        <v>74</v>
      </c>
      <c r="H486" t="s">
        <v>74</v>
      </c>
      <c r="I486" t="s">
        <v>9188</v>
      </c>
      <c r="J486" t="s">
        <v>8237</v>
      </c>
      <c r="K486" t="s">
        <v>74</v>
      </c>
      <c r="L486" t="s">
        <v>74</v>
      </c>
      <c r="M486" t="s">
        <v>78</v>
      </c>
      <c r="N486" t="s">
        <v>79</v>
      </c>
      <c r="O486" t="s">
        <v>74</v>
      </c>
      <c r="P486" t="s">
        <v>74</v>
      </c>
      <c r="Q486" t="s">
        <v>74</v>
      </c>
      <c r="R486" t="s">
        <v>74</v>
      </c>
      <c r="S486" t="s">
        <v>74</v>
      </c>
      <c r="T486" t="s">
        <v>74</v>
      </c>
      <c r="U486" t="s">
        <v>9189</v>
      </c>
      <c r="V486" t="s">
        <v>9190</v>
      </c>
      <c r="W486" t="s">
        <v>9191</v>
      </c>
      <c r="X486" t="s">
        <v>9192</v>
      </c>
      <c r="Y486" t="s">
        <v>9193</v>
      </c>
      <c r="Z486" t="s">
        <v>9194</v>
      </c>
      <c r="AA486" t="s">
        <v>9195</v>
      </c>
      <c r="AB486" t="s">
        <v>9196</v>
      </c>
      <c r="AC486" t="s">
        <v>9197</v>
      </c>
      <c r="AD486" t="s">
        <v>9198</v>
      </c>
      <c r="AE486" t="s">
        <v>9199</v>
      </c>
      <c r="AF486" t="s">
        <v>74</v>
      </c>
      <c r="AG486">
        <v>38</v>
      </c>
      <c r="AH486">
        <v>143</v>
      </c>
      <c r="AI486">
        <v>150</v>
      </c>
      <c r="AJ486">
        <v>4</v>
      </c>
      <c r="AK486">
        <v>34</v>
      </c>
      <c r="AL486" t="s">
        <v>587</v>
      </c>
      <c r="AM486" t="s">
        <v>1896</v>
      </c>
      <c r="AN486" t="s">
        <v>8249</v>
      </c>
      <c r="AO486" t="s">
        <v>8250</v>
      </c>
      <c r="AP486" t="s">
        <v>8251</v>
      </c>
      <c r="AQ486" t="s">
        <v>74</v>
      </c>
      <c r="AR486" t="s">
        <v>8252</v>
      </c>
      <c r="AS486" t="s">
        <v>8253</v>
      </c>
      <c r="AT486" t="s">
        <v>74</v>
      </c>
      <c r="AU486">
        <v>2010</v>
      </c>
      <c r="AV486">
        <v>51</v>
      </c>
      <c r="AW486">
        <v>55</v>
      </c>
      <c r="AX486" t="s">
        <v>74</v>
      </c>
      <c r="AY486" t="s">
        <v>74</v>
      </c>
      <c r="AZ486" t="s">
        <v>74</v>
      </c>
      <c r="BA486" t="s">
        <v>74</v>
      </c>
      <c r="BB486">
        <v>23</v>
      </c>
      <c r="BC486">
        <v>33</v>
      </c>
      <c r="BD486" t="s">
        <v>74</v>
      </c>
      <c r="BE486" t="s">
        <v>9200</v>
      </c>
      <c r="BF486" t="str">
        <f>HYPERLINK("http://dx.doi.org/10.3189/172756410791392736","http://dx.doi.org/10.3189/172756410791392736")</f>
        <v>http://dx.doi.org/10.3189/172756410791392736</v>
      </c>
      <c r="BG486" t="s">
        <v>74</v>
      </c>
      <c r="BH486" t="s">
        <v>74</v>
      </c>
      <c r="BI486">
        <v>11</v>
      </c>
      <c r="BJ486" t="s">
        <v>2881</v>
      </c>
      <c r="BK486" t="s">
        <v>102</v>
      </c>
      <c r="BL486" t="s">
        <v>2628</v>
      </c>
      <c r="BM486" t="s">
        <v>9152</v>
      </c>
      <c r="BN486" t="s">
        <v>74</v>
      </c>
      <c r="BO486" t="s">
        <v>104</v>
      </c>
      <c r="BP486" t="s">
        <v>74</v>
      </c>
      <c r="BQ486" t="s">
        <v>74</v>
      </c>
      <c r="BR486" t="s">
        <v>105</v>
      </c>
      <c r="BS486" t="s">
        <v>9201</v>
      </c>
      <c r="BT486" t="str">
        <f>HYPERLINK("https%3A%2F%2Fwww.webofscience.com%2Fwos%2Fwoscc%2Ffull-record%2FWOS:000281034000005","View Full Record in Web of Science")</f>
        <v>View Full Record in Web of Science</v>
      </c>
    </row>
    <row r="487" spans="1:72" x14ac:dyDescent="0.15">
      <c r="A487" t="s">
        <v>72</v>
      </c>
      <c r="B487" t="s">
        <v>9202</v>
      </c>
      <c r="C487" t="s">
        <v>74</v>
      </c>
      <c r="D487" t="s">
        <v>74</v>
      </c>
      <c r="E487" t="s">
        <v>74</v>
      </c>
      <c r="F487" t="s">
        <v>9203</v>
      </c>
      <c r="G487" t="s">
        <v>74</v>
      </c>
      <c r="H487" t="s">
        <v>74</v>
      </c>
      <c r="I487" t="s">
        <v>9204</v>
      </c>
      <c r="J487" t="s">
        <v>8237</v>
      </c>
      <c r="K487" t="s">
        <v>74</v>
      </c>
      <c r="L487" t="s">
        <v>74</v>
      </c>
      <c r="M487" t="s">
        <v>78</v>
      </c>
      <c r="N487" t="s">
        <v>79</v>
      </c>
      <c r="O487" t="s">
        <v>74</v>
      </c>
      <c r="P487" t="s">
        <v>74</v>
      </c>
      <c r="Q487" t="s">
        <v>74</v>
      </c>
      <c r="R487" t="s">
        <v>74</v>
      </c>
      <c r="S487" t="s">
        <v>74</v>
      </c>
      <c r="T487" t="s">
        <v>74</v>
      </c>
      <c r="U487" t="s">
        <v>9205</v>
      </c>
      <c r="V487" t="s">
        <v>9206</v>
      </c>
      <c r="W487" t="s">
        <v>9207</v>
      </c>
      <c r="X487" t="s">
        <v>9208</v>
      </c>
      <c r="Y487" t="s">
        <v>9209</v>
      </c>
      <c r="Z487" t="s">
        <v>9210</v>
      </c>
      <c r="AA487" t="s">
        <v>9211</v>
      </c>
      <c r="AB487" t="s">
        <v>9212</v>
      </c>
      <c r="AC487" t="s">
        <v>9213</v>
      </c>
      <c r="AD487" t="s">
        <v>9214</v>
      </c>
      <c r="AE487" t="s">
        <v>9215</v>
      </c>
      <c r="AF487" t="s">
        <v>74</v>
      </c>
      <c r="AG487">
        <v>53</v>
      </c>
      <c r="AH487">
        <v>88</v>
      </c>
      <c r="AI487">
        <v>91</v>
      </c>
      <c r="AJ487">
        <v>1</v>
      </c>
      <c r="AK487">
        <v>50</v>
      </c>
      <c r="AL487" t="s">
        <v>587</v>
      </c>
      <c r="AM487" t="s">
        <v>1896</v>
      </c>
      <c r="AN487" t="s">
        <v>8249</v>
      </c>
      <c r="AO487" t="s">
        <v>8250</v>
      </c>
      <c r="AP487" t="s">
        <v>8251</v>
      </c>
      <c r="AQ487" t="s">
        <v>74</v>
      </c>
      <c r="AR487" t="s">
        <v>8252</v>
      </c>
      <c r="AS487" t="s">
        <v>8253</v>
      </c>
      <c r="AT487" t="s">
        <v>74</v>
      </c>
      <c r="AU487">
        <v>2010</v>
      </c>
      <c r="AV487">
        <v>51</v>
      </c>
      <c r="AW487">
        <v>56</v>
      </c>
      <c r="AX487" t="s">
        <v>74</v>
      </c>
      <c r="AY487" t="s">
        <v>74</v>
      </c>
      <c r="AZ487" t="s">
        <v>74</v>
      </c>
      <c r="BA487" t="s">
        <v>74</v>
      </c>
      <c r="BB487">
        <v>32</v>
      </c>
      <c r="BC487">
        <v>40</v>
      </c>
      <c r="BD487" t="s">
        <v>74</v>
      </c>
      <c r="BE487" t="s">
        <v>9216</v>
      </c>
      <c r="BF487" t="str">
        <f>HYPERLINK("http://dx.doi.org/10.3189/172756411795932092","http://dx.doi.org/10.3189/172756411795932092")</f>
        <v>http://dx.doi.org/10.3189/172756411795932092</v>
      </c>
      <c r="BG487" t="s">
        <v>74</v>
      </c>
      <c r="BH487" t="s">
        <v>74</v>
      </c>
      <c r="BI487">
        <v>9</v>
      </c>
      <c r="BJ487" t="s">
        <v>2881</v>
      </c>
      <c r="BK487" t="s">
        <v>102</v>
      </c>
      <c r="BL487" t="s">
        <v>2628</v>
      </c>
      <c r="BM487" t="s">
        <v>8255</v>
      </c>
      <c r="BN487" t="s">
        <v>74</v>
      </c>
      <c r="BO487" t="s">
        <v>1807</v>
      </c>
      <c r="BP487" t="s">
        <v>74</v>
      </c>
      <c r="BQ487" t="s">
        <v>74</v>
      </c>
      <c r="BR487" t="s">
        <v>105</v>
      </c>
      <c r="BS487" t="s">
        <v>9217</v>
      </c>
      <c r="BT487" t="str">
        <f>HYPERLINK("https%3A%2F%2Fwww.webofscience.com%2Fwos%2Fwoscc%2Ffull-record%2FWOS:000290290600005","View Full Record in Web of Science")</f>
        <v>View Full Record in Web of Science</v>
      </c>
    </row>
    <row r="488" spans="1:72" x14ac:dyDescent="0.15">
      <c r="A488" t="s">
        <v>72</v>
      </c>
      <c r="B488" t="s">
        <v>9218</v>
      </c>
      <c r="C488" t="s">
        <v>74</v>
      </c>
      <c r="D488" t="s">
        <v>74</v>
      </c>
      <c r="E488" t="s">
        <v>74</v>
      </c>
      <c r="F488" t="s">
        <v>9219</v>
      </c>
      <c r="G488" t="s">
        <v>74</v>
      </c>
      <c r="H488" t="s">
        <v>74</v>
      </c>
      <c r="I488" t="s">
        <v>9220</v>
      </c>
      <c r="J488" t="s">
        <v>8237</v>
      </c>
      <c r="K488" t="s">
        <v>74</v>
      </c>
      <c r="L488" t="s">
        <v>74</v>
      </c>
      <c r="M488" t="s">
        <v>78</v>
      </c>
      <c r="N488" t="s">
        <v>79</v>
      </c>
      <c r="O488" t="s">
        <v>74</v>
      </c>
      <c r="P488" t="s">
        <v>74</v>
      </c>
      <c r="Q488" t="s">
        <v>74</v>
      </c>
      <c r="R488" t="s">
        <v>74</v>
      </c>
      <c r="S488" t="s">
        <v>74</v>
      </c>
      <c r="T488" t="s">
        <v>74</v>
      </c>
      <c r="U488" t="s">
        <v>9221</v>
      </c>
      <c r="V488" t="s">
        <v>9222</v>
      </c>
      <c r="W488" t="s">
        <v>9223</v>
      </c>
      <c r="X488" t="s">
        <v>9224</v>
      </c>
      <c r="Y488" t="s">
        <v>9225</v>
      </c>
      <c r="Z488" t="s">
        <v>9226</v>
      </c>
      <c r="AA488" t="s">
        <v>9227</v>
      </c>
      <c r="AB488" t="s">
        <v>9228</v>
      </c>
      <c r="AC488" t="s">
        <v>9229</v>
      </c>
      <c r="AD488" t="s">
        <v>9230</v>
      </c>
      <c r="AE488" t="s">
        <v>9231</v>
      </c>
      <c r="AF488" t="s">
        <v>74</v>
      </c>
      <c r="AG488">
        <v>43</v>
      </c>
      <c r="AH488">
        <v>13</v>
      </c>
      <c r="AI488">
        <v>13</v>
      </c>
      <c r="AJ488">
        <v>0</v>
      </c>
      <c r="AK488">
        <v>8</v>
      </c>
      <c r="AL488" t="s">
        <v>9150</v>
      </c>
      <c r="AM488" t="s">
        <v>1896</v>
      </c>
      <c r="AN488" t="s">
        <v>9151</v>
      </c>
      <c r="AO488" t="s">
        <v>8250</v>
      </c>
      <c r="AP488" t="s">
        <v>74</v>
      </c>
      <c r="AQ488" t="s">
        <v>74</v>
      </c>
      <c r="AR488" t="s">
        <v>8252</v>
      </c>
      <c r="AS488" t="s">
        <v>8253</v>
      </c>
      <c r="AT488" t="s">
        <v>74</v>
      </c>
      <c r="AU488">
        <v>2010</v>
      </c>
      <c r="AV488">
        <v>51</v>
      </c>
      <c r="AW488">
        <v>55</v>
      </c>
      <c r="AX488" t="s">
        <v>74</v>
      </c>
      <c r="AY488" t="s">
        <v>74</v>
      </c>
      <c r="AZ488" t="s">
        <v>74</v>
      </c>
      <c r="BA488" t="s">
        <v>74</v>
      </c>
      <c r="BB488">
        <v>41</v>
      </c>
      <c r="BC488">
        <v>48</v>
      </c>
      <c r="BD488" t="s">
        <v>74</v>
      </c>
      <c r="BE488" t="s">
        <v>9232</v>
      </c>
      <c r="BF488" t="str">
        <f>HYPERLINK("http://dx.doi.org/10.3189/172756410791392808","http://dx.doi.org/10.3189/172756410791392808")</f>
        <v>http://dx.doi.org/10.3189/172756410791392808</v>
      </c>
      <c r="BG488" t="s">
        <v>74</v>
      </c>
      <c r="BH488" t="s">
        <v>74</v>
      </c>
      <c r="BI488">
        <v>8</v>
      </c>
      <c r="BJ488" t="s">
        <v>2881</v>
      </c>
      <c r="BK488" t="s">
        <v>102</v>
      </c>
      <c r="BL488" t="s">
        <v>2628</v>
      </c>
      <c r="BM488" t="s">
        <v>9152</v>
      </c>
      <c r="BN488" t="s">
        <v>74</v>
      </c>
      <c r="BO488" t="s">
        <v>104</v>
      </c>
      <c r="BP488" t="s">
        <v>74</v>
      </c>
      <c r="BQ488" t="s">
        <v>74</v>
      </c>
      <c r="BR488" t="s">
        <v>105</v>
      </c>
      <c r="BS488" t="s">
        <v>9233</v>
      </c>
      <c r="BT488" t="str">
        <f>HYPERLINK("https%3A%2F%2Fwww.webofscience.com%2Fwos%2Fwoscc%2Ffull-record%2FWOS:000281034000007","View Full Record in Web of Science")</f>
        <v>View Full Record in Web of Science</v>
      </c>
    </row>
    <row r="489" spans="1:72" x14ac:dyDescent="0.15">
      <c r="A489" t="s">
        <v>72</v>
      </c>
      <c r="B489" t="s">
        <v>9234</v>
      </c>
      <c r="C489" t="s">
        <v>74</v>
      </c>
      <c r="D489" t="s">
        <v>74</v>
      </c>
      <c r="E489" t="s">
        <v>74</v>
      </c>
      <c r="F489" t="s">
        <v>9235</v>
      </c>
      <c r="G489" t="s">
        <v>74</v>
      </c>
      <c r="H489" t="s">
        <v>74</v>
      </c>
      <c r="I489" t="s">
        <v>9236</v>
      </c>
      <c r="J489" t="s">
        <v>8237</v>
      </c>
      <c r="K489" t="s">
        <v>74</v>
      </c>
      <c r="L489" t="s">
        <v>74</v>
      </c>
      <c r="M489" t="s">
        <v>78</v>
      </c>
      <c r="N489" t="s">
        <v>79</v>
      </c>
      <c r="O489" t="s">
        <v>74</v>
      </c>
      <c r="P489" t="s">
        <v>74</v>
      </c>
      <c r="Q489" t="s">
        <v>74</v>
      </c>
      <c r="R489" t="s">
        <v>74</v>
      </c>
      <c r="S489" t="s">
        <v>74</v>
      </c>
      <c r="T489" t="s">
        <v>74</v>
      </c>
      <c r="U489" t="s">
        <v>9237</v>
      </c>
      <c r="V489" t="s">
        <v>9238</v>
      </c>
      <c r="W489" t="s">
        <v>9239</v>
      </c>
      <c r="X489" t="s">
        <v>9240</v>
      </c>
      <c r="Y489" t="s">
        <v>9241</v>
      </c>
      <c r="Z489" t="s">
        <v>9242</v>
      </c>
      <c r="AA489" t="s">
        <v>9243</v>
      </c>
      <c r="AB489" t="s">
        <v>9244</v>
      </c>
      <c r="AC489" t="s">
        <v>9245</v>
      </c>
      <c r="AD489" t="s">
        <v>9246</v>
      </c>
      <c r="AE489" t="s">
        <v>9247</v>
      </c>
      <c r="AF489" t="s">
        <v>74</v>
      </c>
      <c r="AG489">
        <v>11</v>
      </c>
      <c r="AH489">
        <v>13</v>
      </c>
      <c r="AI489">
        <v>14</v>
      </c>
      <c r="AJ489">
        <v>0</v>
      </c>
      <c r="AK489">
        <v>12</v>
      </c>
      <c r="AL489" t="s">
        <v>587</v>
      </c>
      <c r="AM489" t="s">
        <v>1896</v>
      </c>
      <c r="AN489" t="s">
        <v>8249</v>
      </c>
      <c r="AO489" t="s">
        <v>8250</v>
      </c>
      <c r="AP489" t="s">
        <v>8251</v>
      </c>
      <c r="AQ489" t="s">
        <v>74</v>
      </c>
      <c r="AR489" t="s">
        <v>8252</v>
      </c>
      <c r="AS489" t="s">
        <v>8253</v>
      </c>
      <c r="AT489" t="s">
        <v>74</v>
      </c>
      <c r="AU489">
        <v>2010</v>
      </c>
      <c r="AV489">
        <v>51</v>
      </c>
      <c r="AW489">
        <v>55</v>
      </c>
      <c r="AX489" t="s">
        <v>74</v>
      </c>
      <c r="AY489" t="s">
        <v>74</v>
      </c>
      <c r="AZ489" t="s">
        <v>74</v>
      </c>
      <c r="BA489" t="s">
        <v>74</v>
      </c>
      <c r="BB489">
        <v>49</v>
      </c>
      <c r="BC489">
        <v>55</v>
      </c>
      <c r="BD489" t="s">
        <v>74</v>
      </c>
      <c r="BE489" t="s">
        <v>9248</v>
      </c>
      <c r="BF489" t="str">
        <f>HYPERLINK("http://dx.doi.org/10.3189/172756410791392709","http://dx.doi.org/10.3189/172756410791392709")</f>
        <v>http://dx.doi.org/10.3189/172756410791392709</v>
      </c>
      <c r="BG489" t="s">
        <v>74</v>
      </c>
      <c r="BH489" t="s">
        <v>74</v>
      </c>
      <c r="BI489">
        <v>7</v>
      </c>
      <c r="BJ489" t="s">
        <v>2881</v>
      </c>
      <c r="BK489" t="s">
        <v>102</v>
      </c>
      <c r="BL489" t="s">
        <v>2628</v>
      </c>
      <c r="BM489" t="s">
        <v>9152</v>
      </c>
      <c r="BN489" t="s">
        <v>74</v>
      </c>
      <c r="BO489" t="s">
        <v>1807</v>
      </c>
      <c r="BP489" t="s">
        <v>74</v>
      </c>
      <c r="BQ489" t="s">
        <v>74</v>
      </c>
      <c r="BR489" t="s">
        <v>105</v>
      </c>
      <c r="BS489" t="s">
        <v>9249</v>
      </c>
      <c r="BT489" t="str">
        <f>HYPERLINK("https%3A%2F%2Fwww.webofscience.com%2Fwos%2Fwoscc%2Ffull-record%2FWOS:000281034000008","View Full Record in Web of Science")</f>
        <v>View Full Record in Web of Science</v>
      </c>
    </row>
    <row r="490" spans="1:72" x14ac:dyDescent="0.15">
      <c r="A490" t="s">
        <v>72</v>
      </c>
      <c r="B490" t="s">
        <v>9250</v>
      </c>
      <c r="C490" t="s">
        <v>74</v>
      </c>
      <c r="D490" t="s">
        <v>74</v>
      </c>
      <c r="E490" t="s">
        <v>74</v>
      </c>
      <c r="F490" t="s">
        <v>9251</v>
      </c>
      <c r="G490" t="s">
        <v>74</v>
      </c>
      <c r="H490" t="s">
        <v>74</v>
      </c>
      <c r="I490" t="s">
        <v>9252</v>
      </c>
      <c r="J490" t="s">
        <v>8237</v>
      </c>
      <c r="K490" t="s">
        <v>74</v>
      </c>
      <c r="L490" t="s">
        <v>74</v>
      </c>
      <c r="M490" t="s">
        <v>78</v>
      </c>
      <c r="N490" t="s">
        <v>79</v>
      </c>
      <c r="O490" t="s">
        <v>74</v>
      </c>
      <c r="P490" t="s">
        <v>74</v>
      </c>
      <c r="Q490" t="s">
        <v>74</v>
      </c>
      <c r="R490" t="s">
        <v>74</v>
      </c>
      <c r="S490" t="s">
        <v>74</v>
      </c>
      <c r="T490" t="s">
        <v>74</v>
      </c>
      <c r="U490" t="s">
        <v>9253</v>
      </c>
      <c r="V490" t="s">
        <v>9254</v>
      </c>
      <c r="W490" t="s">
        <v>9255</v>
      </c>
      <c r="X490" t="s">
        <v>9256</v>
      </c>
      <c r="Y490" t="s">
        <v>9241</v>
      </c>
      <c r="Z490" t="s">
        <v>9257</v>
      </c>
      <c r="AA490" t="s">
        <v>74</v>
      </c>
      <c r="AB490" t="s">
        <v>9258</v>
      </c>
      <c r="AC490" t="s">
        <v>9259</v>
      </c>
      <c r="AD490" t="s">
        <v>9260</v>
      </c>
      <c r="AE490" t="s">
        <v>9261</v>
      </c>
      <c r="AF490" t="s">
        <v>74</v>
      </c>
      <c r="AG490">
        <v>27</v>
      </c>
      <c r="AH490">
        <v>8</v>
      </c>
      <c r="AI490">
        <v>9</v>
      </c>
      <c r="AJ490">
        <v>0</v>
      </c>
      <c r="AK490">
        <v>5</v>
      </c>
      <c r="AL490" t="s">
        <v>9150</v>
      </c>
      <c r="AM490" t="s">
        <v>1896</v>
      </c>
      <c r="AN490" t="s">
        <v>9151</v>
      </c>
      <c r="AO490" t="s">
        <v>8250</v>
      </c>
      <c r="AP490" t="s">
        <v>74</v>
      </c>
      <c r="AQ490" t="s">
        <v>74</v>
      </c>
      <c r="AR490" t="s">
        <v>8252</v>
      </c>
      <c r="AS490" t="s">
        <v>8253</v>
      </c>
      <c r="AT490" t="s">
        <v>74</v>
      </c>
      <c r="AU490">
        <v>2010</v>
      </c>
      <c r="AV490">
        <v>51</v>
      </c>
      <c r="AW490">
        <v>55</v>
      </c>
      <c r="AX490" t="s">
        <v>74</v>
      </c>
      <c r="AY490" t="s">
        <v>74</v>
      </c>
      <c r="AZ490" t="s">
        <v>74</v>
      </c>
      <c r="BA490" t="s">
        <v>74</v>
      </c>
      <c r="BB490">
        <v>56</v>
      </c>
      <c r="BC490">
        <v>64</v>
      </c>
      <c r="BD490" t="s">
        <v>74</v>
      </c>
      <c r="BE490" t="s">
        <v>9262</v>
      </c>
      <c r="BF490" t="str">
        <f>HYPERLINK("http://dx.doi.org/10.3189/172756410791392673","http://dx.doi.org/10.3189/172756410791392673")</f>
        <v>http://dx.doi.org/10.3189/172756410791392673</v>
      </c>
      <c r="BG490" t="s">
        <v>74</v>
      </c>
      <c r="BH490" t="s">
        <v>74</v>
      </c>
      <c r="BI490">
        <v>9</v>
      </c>
      <c r="BJ490" t="s">
        <v>2881</v>
      </c>
      <c r="BK490" t="s">
        <v>102</v>
      </c>
      <c r="BL490" t="s">
        <v>2628</v>
      </c>
      <c r="BM490" t="s">
        <v>9152</v>
      </c>
      <c r="BN490" t="s">
        <v>74</v>
      </c>
      <c r="BO490" t="s">
        <v>104</v>
      </c>
      <c r="BP490" t="s">
        <v>74</v>
      </c>
      <c r="BQ490" t="s">
        <v>74</v>
      </c>
      <c r="BR490" t="s">
        <v>105</v>
      </c>
      <c r="BS490" t="s">
        <v>9263</v>
      </c>
      <c r="BT490" t="str">
        <f>HYPERLINK("https%3A%2F%2Fwww.webofscience.com%2Fwos%2Fwoscc%2Ffull-record%2FWOS:000281034000009","View Full Record in Web of Science")</f>
        <v>View Full Record in Web of Science</v>
      </c>
    </row>
    <row r="491" spans="1:72" x14ac:dyDescent="0.15">
      <c r="A491" t="s">
        <v>72</v>
      </c>
      <c r="B491" t="s">
        <v>9264</v>
      </c>
      <c r="C491" t="s">
        <v>74</v>
      </c>
      <c r="D491" t="s">
        <v>74</v>
      </c>
      <c r="E491" t="s">
        <v>74</v>
      </c>
      <c r="F491" t="s">
        <v>9265</v>
      </c>
      <c r="G491" t="s">
        <v>74</v>
      </c>
      <c r="H491" t="s">
        <v>74</v>
      </c>
      <c r="I491" t="s">
        <v>9266</v>
      </c>
      <c r="J491" t="s">
        <v>8237</v>
      </c>
      <c r="K491" t="s">
        <v>74</v>
      </c>
      <c r="L491" t="s">
        <v>74</v>
      </c>
      <c r="M491" t="s">
        <v>78</v>
      </c>
      <c r="N491" t="s">
        <v>79</v>
      </c>
      <c r="O491" t="s">
        <v>74</v>
      </c>
      <c r="P491" t="s">
        <v>74</v>
      </c>
      <c r="Q491" t="s">
        <v>74</v>
      </c>
      <c r="R491" t="s">
        <v>74</v>
      </c>
      <c r="S491" t="s">
        <v>74</v>
      </c>
      <c r="T491" t="s">
        <v>74</v>
      </c>
      <c r="U491" t="s">
        <v>9267</v>
      </c>
      <c r="V491" t="s">
        <v>9268</v>
      </c>
      <c r="W491" t="s">
        <v>9269</v>
      </c>
      <c r="X491" t="s">
        <v>9270</v>
      </c>
      <c r="Y491" t="s">
        <v>9271</v>
      </c>
      <c r="Z491" t="s">
        <v>9272</v>
      </c>
      <c r="AA491" t="s">
        <v>9273</v>
      </c>
      <c r="AB491" t="s">
        <v>9274</v>
      </c>
      <c r="AC491" t="s">
        <v>9275</v>
      </c>
      <c r="AD491" t="s">
        <v>9276</v>
      </c>
      <c r="AE491" t="s">
        <v>9277</v>
      </c>
      <c r="AF491" t="s">
        <v>74</v>
      </c>
      <c r="AG491">
        <v>62</v>
      </c>
      <c r="AH491">
        <v>27</v>
      </c>
      <c r="AI491">
        <v>27</v>
      </c>
      <c r="AJ491">
        <v>0</v>
      </c>
      <c r="AK491">
        <v>23</v>
      </c>
      <c r="AL491" t="s">
        <v>9150</v>
      </c>
      <c r="AM491" t="s">
        <v>1896</v>
      </c>
      <c r="AN491" t="s">
        <v>9151</v>
      </c>
      <c r="AO491" t="s">
        <v>8250</v>
      </c>
      <c r="AP491" t="s">
        <v>74</v>
      </c>
      <c r="AQ491" t="s">
        <v>74</v>
      </c>
      <c r="AR491" t="s">
        <v>8252</v>
      </c>
      <c r="AS491" t="s">
        <v>8253</v>
      </c>
      <c r="AT491" t="s">
        <v>74</v>
      </c>
      <c r="AU491">
        <v>2010</v>
      </c>
      <c r="AV491">
        <v>51</v>
      </c>
      <c r="AW491">
        <v>56</v>
      </c>
      <c r="AX491" t="s">
        <v>74</v>
      </c>
      <c r="AY491" t="s">
        <v>74</v>
      </c>
      <c r="AZ491" t="s">
        <v>74</v>
      </c>
      <c r="BA491" t="s">
        <v>74</v>
      </c>
      <c r="BB491">
        <v>56</v>
      </c>
      <c r="BC491">
        <v>70</v>
      </c>
      <c r="BD491" t="s">
        <v>74</v>
      </c>
      <c r="BE491" t="s">
        <v>9278</v>
      </c>
      <c r="BF491" t="str">
        <f>HYPERLINK("http://dx.doi.org/10.3189/172756411795931921","http://dx.doi.org/10.3189/172756411795931921")</f>
        <v>http://dx.doi.org/10.3189/172756411795931921</v>
      </c>
      <c r="BG491" t="s">
        <v>74</v>
      </c>
      <c r="BH491" t="s">
        <v>74</v>
      </c>
      <c r="BI491">
        <v>15</v>
      </c>
      <c r="BJ491" t="s">
        <v>2881</v>
      </c>
      <c r="BK491" t="s">
        <v>102</v>
      </c>
      <c r="BL491" t="s">
        <v>2628</v>
      </c>
      <c r="BM491" t="s">
        <v>8255</v>
      </c>
      <c r="BN491" t="s">
        <v>74</v>
      </c>
      <c r="BO491" t="s">
        <v>104</v>
      </c>
      <c r="BP491" t="s">
        <v>74</v>
      </c>
      <c r="BQ491" t="s">
        <v>74</v>
      </c>
      <c r="BR491" t="s">
        <v>105</v>
      </c>
      <c r="BS491" t="s">
        <v>9279</v>
      </c>
      <c r="BT491" t="str">
        <f>HYPERLINK("https%3A%2F%2Fwww.webofscience.com%2Fwos%2Fwoscc%2Ffull-record%2FWOS:000290290600008","View Full Record in Web of Science")</f>
        <v>View Full Record in Web of Science</v>
      </c>
    </row>
    <row r="492" spans="1:72" x14ac:dyDescent="0.15">
      <c r="A492" t="s">
        <v>72</v>
      </c>
      <c r="B492" t="s">
        <v>9280</v>
      </c>
      <c r="C492" t="s">
        <v>74</v>
      </c>
      <c r="D492" t="s">
        <v>74</v>
      </c>
      <c r="E492" t="s">
        <v>74</v>
      </c>
      <c r="F492" t="s">
        <v>9281</v>
      </c>
      <c r="G492" t="s">
        <v>74</v>
      </c>
      <c r="H492" t="s">
        <v>74</v>
      </c>
      <c r="I492" t="s">
        <v>9282</v>
      </c>
      <c r="J492" t="s">
        <v>8237</v>
      </c>
      <c r="K492" t="s">
        <v>74</v>
      </c>
      <c r="L492" t="s">
        <v>74</v>
      </c>
      <c r="M492" t="s">
        <v>78</v>
      </c>
      <c r="N492" t="s">
        <v>79</v>
      </c>
      <c r="O492" t="s">
        <v>74</v>
      </c>
      <c r="P492" t="s">
        <v>74</v>
      </c>
      <c r="Q492" t="s">
        <v>74</v>
      </c>
      <c r="R492" t="s">
        <v>74</v>
      </c>
      <c r="S492" t="s">
        <v>74</v>
      </c>
      <c r="T492" t="s">
        <v>74</v>
      </c>
      <c r="U492" t="s">
        <v>9283</v>
      </c>
      <c r="V492" t="s">
        <v>9284</v>
      </c>
      <c r="W492" t="s">
        <v>9285</v>
      </c>
      <c r="X492" t="s">
        <v>656</v>
      </c>
      <c r="Y492" t="s">
        <v>9286</v>
      </c>
      <c r="Z492" t="s">
        <v>9287</v>
      </c>
      <c r="AA492" t="s">
        <v>9288</v>
      </c>
      <c r="AB492" t="s">
        <v>9289</v>
      </c>
      <c r="AC492" t="s">
        <v>9290</v>
      </c>
      <c r="AD492" t="s">
        <v>9291</v>
      </c>
      <c r="AE492" t="s">
        <v>9292</v>
      </c>
      <c r="AF492" t="s">
        <v>74</v>
      </c>
      <c r="AG492">
        <v>18</v>
      </c>
      <c r="AH492">
        <v>10</v>
      </c>
      <c r="AI492">
        <v>12</v>
      </c>
      <c r="AJ492">
        <v>1</v>
      </c>
      <c r="AK492">
        <v>5</v>
      </c>
      <c r="AL492" t="s">
        <v>587</v>
      </c>
      <c r="AM492" t="s">
        <v>1896</v>
      </c>
      <c r="AN492" t="s">
        <v>8249</v>
      </c>
      <c r="AO492" t="s">
        <v>8250</v>
      </c>
      <c r="AP492" t="s">
        <v>8251</v>
      </c>
      <c r="AQ492" t="s">
        <v>74</v>
      </c>
      <c r="AR492" t="s">
        <v>8252</v>
      </c>
      <c r="AS492" t="s">
        <v>8253</v>
      </c>
      <c r="AT492" t="s">
        <v>74</v>
      </c>
      <c r="AU492">
        <v>2010</v>
      </c>
      <c r="AV492">
        <v>51</v>
      </c>
      <c r="AW492">
        <v>55</v>
      </c>
      <c r="AX492" t="s">
        <v>74</v>
      </c>
      <c r="AY492" t="s">
        <v>74</v>
      </c>
      <c r="AZ492" t="s">
        <v>74</v>
      </c>
      <c r="BA492" t="s">
        <v>74</v>
      </c>
      <c r="BB492">
        <v>65</v>
      </c>
      <c r="BC492">
        <v>70</v>
      </c>
      <c r="BD492" t="s">
        <v>74</v>
      </c>
      <c r="BE492" t="s">
        <v>9293</v>
      </c>
      <c r="BF492" t="str">
        <f>HYPERLINK("http://dx.doi.org/10.3189/172756410791392763","http://dx.doi.org/10.3189/172756410791392763")</f>
        <v>http://dx.doi.org/10.3189/172756410791392763</v>
      </c>
      <c r="BG492" t="s">
        <v>74</v>
      </c>
      <c r="BH492" t="s">
        <v>74</v>
      </c>
      <c r="BI492">
        <v>6</v>
      </c>
      <c r="BJ492" t="s">
        <v>2881</v>
      </c>
      <c r="BK492" t="s">
        <v>102</v>
      </c>
      <c r="BL492" t="s">
        <v>2628</v>
      </c>
      <c r="BM492" t="s">
        <v>9152</v>
      </c>
      <c r="BN492" t="s">
        <v>74</v>
      </c>
      <c r="BO492" t="s">
        <v>1807</v>
      </c>
      <c r="BP492" t="s">
        <v>74</v>
      </c>
      <c r="BQ492" t="s">
        <v>74</v>
      </c>
      <c r="BR492" t="s">
        <v>105</v>
      </c>
      <c r="BS492" t="s">
        <v>9294</v>
      </c>
      <c r="BT492" t="str">
        <f>HYPERLINK("https%3A%2F%2Fwww.webofscience.com%2Fwos%2Fwoscc%2Ffull-record%2FWOS:000281034000010","View Full Record in Web of Science")</f>
        <v>View Full Record in Web of Science</v>
      </c>
    </row>
    <row r="493" spans="1:72" x14ac:dyDescent="0.15">
      <c r="A493" t="s">
        <v>72</v>
      </c>
      <c r="B493" t="s">
        <v>9295</v>
      </c>
      <c r="C493" t="s">
        <v>74</v>
      </c>
      <c r="D493" t="s">
        <v>74</v>
      </c>
      <c r="E493" t="s">
        <v>74</v>
      </c>
      <c r="F493" t="s">
        <v>9296</v>
      </c>
      <c r="G493" t="s">
        <v>74</v>
      </c>
      <c r="H493" t="s">
        <v>74</v>
      </c>
      <c r="I493" t="s">
        <v>9297</v>
      </c>
      <c r="J493" t="s">
        <v>8237</v>
      </c>
      <c r="K493" t="s">
        <v>74</v>
      </c>
      <c r="L493" t="s">
        <v>74</v>
      </c>
      <c r="M493" t="s">
        <v>78</v>
      </c>
      <c r="N493" t="s">
        <v>79</v>
      </c>
      <c r="O493" t="s">
        <v>74</v>
      </c>
      <c r="P493" t="s">
        <v>74</v>
      </c>
      <c r="Q493" t="s">
        <v>74</v>
      </c>
      <c r="R493" t="s">
        <v>74</v>
      </c>
      <c r="S493" t="s">
        <v>74</v>
      </c>
      <c r="T493" t="s">
        <v>74</v>
      </c>
      <c r="U493" t="s">
        <v>9298</v>
      </c>
      <c r="V493" t="s">
        <v>9299</v>
      </c>
      <c r="W493" t="s">
        <v>9300</v>
      </c>
      <c r="X493" t="s">
        <v>9301</v>
      </c>
      <c r="Y493" t="s">
        <v>9302</v>
      </c>
      <c r="Z493" t="s">
        <v>9303</v>
      </c>
      <c r="AA493" t="s">
        <v>9304</v>
      </c>
      <c r="AB493" t="s">
        <v>9305</v>
      </c>
      <c r="AC493" t="s">
        <v>74</v>
      </c>
      <c r="AD493" t="s">
        <v>74</v>
      </c>
      <c r="AE493" t="s">
        <v>74</v>
      </c>
      <c r="AF493" t="s">
        <v>74</v>
      </c>
      <c r="AG493">
        <v>27</v>
      </c>
      <c r="AH493">
        <v>27</v>
      </c>
      <c r="AI493">
        <v>28</v>
      </c>
      <c r="AJ493">
        <v>0</v>
      </c>
      <c r="AK493">
        <v>9</v>
      </c>
      <c r="AL493" t="s">
        <v>587</v>
      </c>
      <c r="AM493" t="s">
        <v>1896</v>
      </c>
      <c r="AN493" t="s">
        <v>8249</v>
      </c>
      <c r="AO493" t="s">
        <v>8250</v>
      </c>
      <c r="AP493" t="s">
        <v>8251</v>
      </c>
      <c r="AQ493" t="s">
        <v>74</v>
      </c>
      <c r="AR493" t="s">
        <v>8252</v>
      </c>
      <c r="AS493" t="s">
        <v>8253</v>
      </c>
      <c r="AT493" t="s">
        <v>74</v>
      </c>
      <c r="AU493">
        <v>2010</v>
      </c>
      <c r="AV493">
        <v>51</v>
      </c>
      <c r="AW493">
        <v>55</v>
      </c>
      <c r="AX493" t="s">
        <v>74</v>
      </c>
      <c r="AY493" t="s">
        <v>74</v>
      </c>
      <c r="AZ493" t="s">
        <v>74</v>
      </c>
      <c r="BA493" t="s">
        <v>74</v>
      </c>
      <c r="BB493">
        <v>80</v>
      </c>
      <c r="BC493">
        <v>90</v>
      </c>
      <c r="BD493" t="s">
        <v>74</v>
      </c>
      <c r="BE493" t="s">
        <v>74</v>
      </c>
      <c r="BF493" t="s">
        <v>74</v>
      </c>
      <c r="BG493" t="s">
        <v>74</v>
      </c>
      <c r="BH493" t="s">
        <v>74</v>
      </c>
      <c r="BI493">
        <v>11</v>
      </c>
      <c r="BJ493" t="s">
        <v>2881</v>
      </c>
      <c r="BK493" t="s">
        <v>102</v>
      </c>
      <c r="BL493" t="s">
        <v>2628</v>
      </c>
      <c r="BM493" t="s">
        <v>9152</v>
      </c>
      <c r="BN493" t="s">
        <v>74</v>
      </c>
      <c r="BO493" t="s">
        <v>104</v>
      </c>
      <c r="BP493" t="s">
        <v>74</v>
      </c>
      <c r="BQ493" t="s">
        <v>74</v>
      </c>
      <c r="BR493" t="s">
        <v>105</v>
      </c>
      <c r="BS493" t="s">
        <v>9306</v>
      </c>
      <c r="BT493" t="str">
        <f>HYPERLINK("https%3A%2F%2Fwww.webofscience.com%2Fwos%2Fwoscc%2Ffull-record%2FWOS:000281034000012","View Full Record in Web of Science")</f>
        <v>View Full Record in Web of Science</v>
      </c>
    </row>
    <row r="494" spans="1:72" x14ac:dyDescent="0.15">
      <c r="A494" t="s">
        <v>72</v>
      </c>
      <c r="B494" t="s">
        <v>9307</v>
      </c>
      <c r="C494" t="s">
        <v>74</v>
      </c>
      <c r="D494" t="s">
        <v>74</v>
      </c>
      <c r="E494" t="s">
        <v>74</v>
      </c>
      <c r="F494" t="s">
        <v>9308</v>
      </c>
      <c r="G494" t="s">
        <v>74</v>
      </c>
      <c r="H494" t="s">
        <v>74</v>
      </c>
      <c r="I494" t="s">
        <v>9309</v>
      </c>
      <c r="J494" t="s">
        <v>8237</v>
      </c>
      <c r="K494" t="s">
        <v>74</v>
      </c>
      <c r="L494" t="s">
        <v>74</v>
      </c>
      <c r="M494" t="s">
        <v>78</v>
      </c>
      <c r="N494" t="s">
        <v>79</v>
      </c>
      <c r="O494" t="s">
        <v>74</v>
      </c>
      <c r="P494" t="s">
        <v>74</v>
      </c>
      <c r="Q494" t="s">
        <v>74</v>
      </c>
      <c r="R494" t="s">
        <v>74</v>
      </c>
      <c r="S494" t="s">
        <v>74</v>
      </c>
      <c r="T494" t="s">
        <v>74</v>
      </c>
      <c r="U494" t="s">
        <v>9310</v>
      </c>
      <c r="V494" t="s">
        <v>9311</v>
      </c>
      <c r="W494" t="s">
        <v>9312</v>
      </c>
      <c r="X494" t="s">
        <v>9313</v>
      </c>
      <c r="Y494" t="s">
        <v>9314</v>
      </c>
      <c r="Z494" t="s">
        <v>9315</v>
      </c>
      <c r="AA494" t="s">
        <v>74</v>
      </c>
      <c r="AB494" t="s">
        <v>9316</v>
      </c>
      <c r="AC494" t="s">
        <v>9317</v>
      </c>
      <c r="AD494" t="s">
        <v>9318</v>
      </c>
      <c r="AE494" t="s">
        <v>9319</v>
      </c>
      <c r="AF494" t="s">
        <v>74</v>
      </c>
      <c r="AG494">
        <v>25</v>
      </c>
      <c r="AH494">
        <v>12</v>
      </c>
      <c r="AI494">
        <v>14</v>
      </c>
      <c r="AJ494">
        <v>2</v>
      </c>
      <c r="AK494">
        <v>11</v>
      </c>
      <c r="AL494" t="s">
        <v>9150</v>
      </c>
      <c r="AM494" t="s">
        <v>1896</v>
      </c>
      <c r="AN494" t="s">
        <v>9151</v>
      </c>
      <c r="AO494" t="s">
        <v>8250</v>
      </c>
      <c r="AP494" t="s">
        <v>74</v>
      </c>
      <c r="AQ494" t="s">
        <v>74</v>
      </c>
      <c r="AR494" t="s">
        <v>8252</v>
      </c>
      <c r="AS494" t="s">
        <v>8253</v>
      </c>
      <c r="AT494" t="s">
        <v>74</v>
      </c>
      <c r="AU494">
        <v>2010</v>
      </c>
      <c r="AV494">
        <v>51</v>
      </c>
      <c r="AW494">
        <v>55</v>
      </c>
      <c r="AX494" t="s">
        <v>74</v>
      </c>
      <c r="AY494" t="s">
        <v>74</v>
      </c>
      <c r="AZ494" t="s">
        <v>74</v>
      </c>
      <c r="BA494" t="s">
        <v>74</v>
      </c>
      <c r="BB494">
        <v>91</v>
      </c>
      <c r="BC494">
        <v>96</v>
      </c>
      <c r="BD494" t="s">
        <v>74</v>
      </c>
      <c r="BE494" t="s">
        <v>9320</v>
      </c>
      <c r="BF494" t="str">
        <f>HYPERLINK("http://dx.doi.org/10.3189/172756410791392772","http://dx.doi.org/10.3189/172756410791392772")</f>
        <v>http://dx.doi.org/10.3189/172756410791392772</v>
      </c>
      <c r="BG494" t="s">
        <v>74</v>
      </c>
      <c r="BH494" t="s">
        <v>74</v>
      </c>
      <c r="BI494">
        <v>6</v>
      </c>
      <c r="BJ494" t="s">
        <v>2881</v>
      </c>
      <c r="BK494" t="s">
        <v>102</v>
      </c>
      <c r="BL494" t="s">
        <v>2628</v>
      </c>
      <c r="BM494" t="s">
        <v>9152</v>
      </c>
      <c r="BN494" t="s">
        <v>74</v>
      </c>
      <c r="BO494" t="s">
        <v>104</v>
      </c>
      <c r="BP494" t="s">
        <v>74</v>
      </c>
      <c r="BQ494" t="s">
        <v>74</v>
      </c>
      <c r="BR494" t="s">
        <v>105</v>
      </c>
      <c r="BS494" t="s">
        <v>9321</v>
      </c>
      <c r="BT494" t="str">
        <f>HYPERLINK("https%3A%2F%2Fwww.webofscience.com%2Fwos%2Fwoscc%2Ffull-record%2FWOS:000281034000013","View Full Record in Web of Science")</f>
        <v>View Full Record in Web of Science</v>
      </c>
    </row>
    <row r="495" spans="1:72" x14ac:dyDescent="0.15">
      <c r="A495" t="s">
        <v>72</v>
      </c>
      <c r="B495" t="s">
        <v>9322</v>
      </c>
      <c r="C495" t="s">
        <v>74</v>
      </c>
      <c r="D495" t="s">
        <v>74</v>
      </c>
      <c r="E495" t="s">
        <v>74</v>
      </c>
      <c r="F495" t="s">
        <v>9323</v>
      </c>
      <c r="G495" t="s">
        <v>74</v>
      </c>
      <c r="H495" t="s">
        <v>74</v>
      </c>
      <c r="I495" t="s">
        <v>9324</v>
      </c>
      <c r="J495" t="s">
        <v>8237</v>
      </c>
      <c r="K495" t="s">
        <v>74</v>
      </c>
      <c r="L495" t="s">
        <v>74</v>
      </c>
      <c r="M495" t="s">
        <v>78</v>
      </c>
      <c r="N495" t="s">
        <v>79</v>
      </c>
      <c r="O495" t="s">
        <v>74</v>
      </c>
      <c r="P495" t="s">
        <v>74</v>
      </c>
      <c r="Q495" t="s">
        <v>74</v>
      </c>
      <c r="R495" t="s">
        <v>74</v>
      </c>
      <c r="S495" t="s">
        <v>74</v>
      </c>
      <c r="T495" t="s">
        <v>74</v>
      </c>
      <c r="U495" t="s">
        <v>9325</v>
      </c>
      <c r="V495" t="s">
        <v>9326</v>
      </c>
      <c r="W495" t="s">
        <v>9327</v>
      </c>
      <c r="X495" t="s">
        <v>9313</v>
      </c>
      <c r="Y495" t="s">
        <v>74</v>
      </c>
      <c r="Z495" t="s">
        <v>9315</v>
      </c>
      <c r="AA495" t="s">
        <v>9328</v>
      </c>
      <c r="AB495" t="s">
        <v>9329</v>
      </c>
      <c r="AC495" t="s">
        <v>9330</v>
      </c>
      <c r="AD495" t="s">
        <v>9331</v>
      </c>
      <c r="AE495" t="s">
        <v>9332</v>
      </c>
      <c r="AF495" t="s">
        <v>74</v>
      </c>
      <c r="AG495">
        <v>38</v>
      </c>
      <c r="AH495">
        <v>18</v>
      </c>
      <c r="AI495">
        <v>21</v>
      </c>
      <c r="AJ495">
        <v>0</v>
      </c>
      <c r="AK495">
        <v>15</v>
      </c>
      <c r="AL495" t="s">
        <v>587</v>
      </c>
      <c r="AM495" t="s">
        <v>1896</v>
      </c>
      <c r="AN495" t="s">
        <v>8249</v>
      </c>
      <c r="AO495" t="s">
        <v>8250</v>
      </c>
      <c r="AP495" t="s">
        <v>8251</v>
      </c>
      <c r="AQ495" t="s">
        <v>74</v>
      </c>
      <c r="AR495" t="s">
        <v>8252</v>
      </c>
      <c r="AS495" t="s">
        <v>8253</v>
      </c>
      <c r="AT495" t="s">
        <v>74</v>
      </c>
      <c r="AU495">
        <v>2010</v>
      </c>
      <c r="AV495">
        <v>51</v>
      </c>
      <c r="AW495">
        <v>55</v>
      </c>
      <c r="AX495" t="s">
        <v>74</v>
      </c>
      <c r="AY495" t="s">
        <v>74</v>
      </c>
      <c r="AZ495" t="s">
        <v>74</v>
      </c>
      <c r="BA495" t="s">
        <v>74</v>
      </c>
      <c r="BB495">
        <v>97</v>
      </c>
      <c r="BC495">
        <v>102</v>
      </c>
      <c r="BD495" t="s">
        <v>74</v>
      </c>
      <c r="BE495" t="s">
        <v>9333</v>
      </c>
      <c r="BF495" t="str">
        <f>HYPERLINK("http://dx.doi.org/10.3189/172756410791392727","http://dx.doi.org/10.3189/172756410791392727")</f>
        <v>http://dx.doi.org/10.3189/172756410791392727</v>
      </c>
      <c r="BG495" t="s">
        <v>74</v>
      </c>
      <c r="BH495" t="s">
        <v>74</v>
      </c>
      <c r="BI495">
        <v>6</v>
      </c>
      <c r="BJ495" t="s">
        <v>2881</v>
      </c>
      <c r="BK495" t="s">
        <v>102</v>
      </c>
      <c r="BL495" t="s">
        <v>2628</v>
      </c>
      <c r="BM495" t="s">
        <v>9152</v>
      </c>
      <c r="BN495" t="s">
        <v>74</v>
      </c>
      <c r="BO495" t="s">
        <v>104</v>
      </c>
      <c r="BP495" t="s">
        <v>74</v>
      </c>
      <c r="BQ495" t="s">
        <v>74</v>
      </c>
      <c r="BR495" t="s">
        <v>105</v>
      </c>
      <c r="BS495" t="s">
        <v>9334</v>
      </c>
      <c r="BT495" t="str">
        <f>HYPERLINK("https%3A%2F%2Fwww.webofscience.com%2Fwos%2Fwoscc%2Ffull-record%2FWOS:000281034000014","View Full Record in Web of Science")</f>
        <v>View Full Record in Web of Science</v>
      </c>
    </row>
    <row r="496" spans="1:72" x14ac:dyDescent="0.15">
      <c r="A496" t="s">
        <v>72</v>
      </c>
      <c r="B496" t="s">
        <v>9335</v>
      </c>
      <c r="C496" t="s">
        <v>74</v>
      </c>
      <c r="D496" t="s">
        <v>74</v>
      </c>
      <c r="E496" t="s">
        <v>74</v>
      </c>
      <c r="F496" t="s">
        <v>9336</v>
      </c>
      <c r="G496" t="s">
        <v>74</v>
      </c>
      <c r="H496" t="s">
        <v>74</v>
      </c>
      <c r="I496" t="s">
        <v>9337</v>
      </c>
      <c r="J496" t="s">
        <v>8237</v>
      </c>
      <c r="K496" t="s">
        <v>74</v>
      </c>
      <c r="L496" t="s">
        <v>74</v>
      </c>
      <c r="M496" t="s">
        <v>78</v>
      </c>
      <c r="N496" t="s">
        <v>79</v>
      </c>
      <c r="O496" t="s">
        <v>74</v>
      </c>
      <c r="P496" t="s">
        <v>74</v>
      </c>
      <c r="Q496" t="s">
        <v>74</v>
      </c>
      <c r="R496" t="s">
        <v>74</v>
      </c>
      <c r="S496" t="s">
        <v>74</v>
      </c>
      <c r="T496" t="s">
        <v>74</v>
      </c>
      <c r="U496" t="s">
        <v>9338</v>
      </c>
      <c r="V496" t="s">
        <v>9339</v>
      </c>
      <c r="W496" t="s">
        <v>9340</v>
      </c>
      <c r="X496" t="s">
        <v>9341</v>
      </c>
      <c r="Y496" t="s">
        <v>9342</v>
      </c>
      <c r="Z496" t="s">
        <v>9343</v>
      </c>
      <c r="AA496" t="s">
        <v>9344</v>
      </c>
      <c r="AB496" t="s">
        <v>9345</v>
      </c>
      <c r="AC496" t="s">
        <v>9346</v>
      </c>
      <c r="AD496" t="s">
        <v>9347</v>
      </c>
      <c r="AE496" t="s">
        <v>9348</v>
      </c>
      <c r="AF496" t="s">
        <v>74</v>
      </c>
      <c r="AG496">
        <v>21</v>
      </c>
      <c r="AH496">
        <v>45</v>
      </c>
      <c r="AI496">
        <v>47</v>
      </c>
      <c r="AJ496">
        <v>0</v>
      </c>
      <c r="AK496">
        <v>10</v>
      </c>
      <c r="AL496" t="s">
        <v>9150</v>
      </c>
      <c r="AM496" t="s">
        <v>1896</v>
      </c>
      <c r="AN496" t="s">
        <v>9151</v>
      </c>
      <c r="AO496" t="s">
        <v>8250</v>
      </c>
      <c r="AP496" t="s">
        <v>74</v>
      </c>
      <c r="AQ496" t="s">
        <v>74</v>
      </c>
      <c r="AR496" t="s">
        <v>8252</v>
      </c>
      <c r="AS496" t="s">
        <v>8253</v>
      </c>
      <c r="AT496" t="s">
        <v>74</v>
      </c>
      <c r="AU496">
        <v>2010</v>
      </c>
      <c r="AV496">
        <v>51</v>
      </c>
      <c r="AW496">
        <v>55</v>
      </c>
      <c r="AX496" t="s">
        <v>74</v>
      </c>
      <c r="AY496" t="s">
        <v>74</v>
      </c>
      <c r="AZ496" t="s">
        <v>74</v>
      </c>
      <c r="BA496" t="s">
        <v>74</v>
      </c>
      <c r="BB496">
        <v>103</v>
      </c>
      <c r="BC496">
        <v>109</v>
      </c>
      <c r="BD496" t="s">
        <v>74</v>
      </c>
      <c r="BE496" t="s">
        <v>9349</v>
      </c>
      <c r="BF496" t="str">
        <f>HYPERLINK("http://dx.doi.org/10.3189/172756410791392691","http://dx.doi.org/10.3189/172756410791392691")</f>
        <v>http://dx.doi.org/10.3189/172756410791392691</v>
      </c>
      <c r="BG496" t="s">
        <v>74</v>
      </c>
      <c r="BH496" t="s">
        <v>74</v>
      </c>
      <c r="BI496">
        <v>7</v>
      </c>
      <c r="BJ496" t="s">
        <v>2881</v>
      </c>
      <c r="BK496" t="s">
        <v>102</v>
      </c>
      <c r="BL496" t="s">
        <v>2628</v>
      </c>
      <c r="BM496" t="s">
        <v>9152</v>
      </c>
      <c r="BN496" t="s">
        <v>74</v>
      </c>
      <c r="BO496" t="s">
        <v>104</v>
      </c>
      <c r="BP496" t="s">
        <v>74</v>
      </c>
      <c r="BQ496" t="s">
        <v>74</v>
      </c>
      <c r="BR496" t="s">
        <v>105</v>
      </c>
      <c r="BS496" t="s">
        <v>9350</v>
      </c>
      <c r="BT496" t="str">
        <f>HYPERLINK("https%3A%2F%2Fwww.webofscience.com%2Fwos%2Fwoscc%2Ffull-record%2FWOS:000281034000015","View Full Record in Web of Science")</f>
        <v>View Full Record in Web of Science</v>
      </c>
    </row>
    <row r="497" spans="1:72" x14ac:dyDescent="0.15">
      <c r="A497" t="s">
        <v>72</v>
      </c>
      <c r="B497" t="s">
        <v>9351</v>
      </c>
      <c r="C497" t="s">
        <v>74</v>
      </c>
      <c r="D497" t="s">
        <v>74</v>
      </c>
      <c r="E497" t="s">
        <v>74</v>
      </c>
      <c r="F497" t="s">
        <v>9352</v>
      </c>
      <c r="G497" t="s">
        <v>74</v>
      </c>
      <c r="H497" t="s">
        <v>74</v>
      </c>
      <c r="I497" t="s">
        <v>9353</v>
      </c>
      <c r="J497" t="s">
        <v>8237</v>
      </c>
      <c r="K497" t="s">
        <v>74</v>
      </c>
      <c r="L497" t="s">
        <v>74</v>
      </c>
      <c r="M497" t="s">
        <v>78</v>
      </c>
      <c r="N497" t="s">
        <v>79</v>
      </c>
      <c r="O497" t="s">
        <v>74</v>
      </c>
      <c r="P497" t="s">
        <v>74</v>
      </c>
      <c r="Q497" t="s">
        <v>74</v>
      </c>
      <c r="R497" t="s">
        <v>74</v>
      </c>
      <c r="S497" t="s">
        <v>74</v>
      </c>
      <c r="T497" t="s">
        <v>74</v>
      </c>
      <c r="U497" t="s">
        <v>9354</v>
      </c>
      <c r="V497" t="s">
        <v>9355</v>
      </c>
      <c r="W497" t="s">
        <v>9356</v>
      </c>
      <c r="X497" t="s">
        <v>9357</v>
      </c>
      <c r="Y497" t="s">
        <v>9358</v>
      </c>
      <c r="Z497" t="s">
        <v>9359</v>
      </c>
      <c r="AA497" t="s">
        <v>9360</v>
      </c>
      <c r="AB497" t="s">
        <v>9361</v>
      </c>
      <c r="AC497" t="s">
        <v>9362</v>
      </c>
      <c r="AD497" t="s">
        <v>9363</v>
      </c>
      <c r="AE497" t="s">
        <v>9364</v>
      </c>
      <c r="AF497" t="s">
        <v>74</v>
      </c>
      <c r="AG497">
        <v>54</v>
      </c>
      <c r="AH497">
        <v>35</v>
      </c>
      <c r="AI497">
        <v>41</v>
      </c>
      <c r="AJ497">
        <v>0</v>
      </c>
      <c r="AK497">
        <v>26</v>
      </c>
      <c r="AL497" t="s">
        <v>587</v>
      </c>
      <c r="AM497" t="s">
        <v>1896</v>
      </c>
      <c r="AN497" t="s">
        <v>8249</v>
      </c>
      <c r="AO497" t="s">
        <v>8250</v>
      </c>
      <c r="AP497" t="s">
        <v>8251</v>
      </c>
      <c r="AQ497" t="s">
        <v>74</v>
      </c>
      <c r="AR497" t="s">
        <v>8252</v>
      </c>
      <c r="AS497" t="s">
        <v>8253</v>
      </c>
      <c r="AT497" t="s">
        <v>74</v>
      </c>
      <c r="AU497">
        <v>2010</v>
      </c>
      <c r="AV497">
        <v>51</v>
      </c>
      <c r="AW497">
        <v>56</v>
      </c>
      <c r="AX497" t="s">
        <v>74</v>
      </c>
      <c r="AY497" t="s">
        <v>74</v>
      </c>
      <c r="AZ497" t="s">
        <v>74</v>
      </c>
      <c r="BA497" t="s">
        <v>74</v>
      </c>
      <c r="BB497">
        <v>171</v>
      </c>
      <c r="BC497">
        <v>177</v>
      </c>
      <c r="BD497" t="s">
        <v>74</v>
      </c>
      <c r="BE497" t="s">
        <v>9365</v>
      </c>
      <c r="BF497" t="str">
        <f>HYPERLINK("http://dx.doi.org/10.3189/172756411795931930","http://dx.doi.org/10.3189/172756411795931930")</f>
        <v>http://dx.doi.org/10.3189/172756411795931930</v>
      </c>
      <c r="BG497" t="s">
        <v>74</v>
      </c>
      <c r="BH497" t="s">
        <v>74</v>
      </c>
      <c r="BI497">
        <v>7</v>
      </c>
      <c r="BJ497" t="s">
        <v>2881</v>
      </c>
      <c r="BK497" t="s">
        <v>102</v>
      </c>
      <c r="BL497" t="s">
        <v>2628</v>
      </c>
      <c r="BM497" t="s">
        <v>8255</v>
      </c>
      <c r="BN497" t="s">
        <v>74</v>
      </c>
      <c r="BO497" t="s">
        <v>1807</v>
      </c>
      <c r="BP497" t="s">
        <v>74</v>
      </c>
      <c r="BQ497" t="s">
        <v>74</v>
      </c>
      <c r="BR497" t="s">
        <v>105</v>
      </c>
      <c r="BS497" t="s">
        <v>9366</v>
      </c>
      <c r="BT497" t="str">
        <f>HYPERLINK("https%3A%2F%2Fwww.webofscience.com%2Fwos%2Fwoscc%2Ffull-record%2FWOS:000290290600021","View Full Record in Web of Science")</f>
        <v>View Full Record in Web of Science</v>
      </c>
    </row>
    <row r="498" spans="1:72" x14ac:dyDescent="0.15">
      <c r="A498" t="s">
        <v>72</v>
      </c>
      <c r="B498" t="s">
        <v>9367</v>
      </c>
      <c r="C498" t="s">
        <v>74</v>
      </c>
      <c r="D498" t="s">
        <v>74</v>
      </c>
      <c r="E498" t="s">
        <v>74</v>
      </c>
      <c r="F498" t="s">
        <v>9368</v>
      </c>
      <c r="G498" t="s">
        <v>74</v>
      </c>
      <c r="H498" t="s">
        <v>74</v>
      </c>
      <c r="I498" t="s">
        <v>9369</v>
      </c>
      <c r="J498" t="s">
        <v>9370</v>
      </c>
      <c r="K498" t="s">
        <v>74</v>
      </c>
      <c r="L498" t="s">
        <v>74</v>
      </c>
      <c r="M498" t="s">
        <v>78</v>
      </c>
      <c r="N498" t="s">
        <v>79</v>
      </c>
      <c r="O498" t="s">
        <v>74</v>
      </c>
      <c r="P498" t="s">
        <v>74</v>
      </c>
      <c r="Q498" t="s">
        <v>74</v>
      </c>
      <c r="R498" t="s">
        <v>74</v>
      </c>
      <c r="S498" t="s">
        <v>74</v>
      </c>
      <c r="T498" t="s">
        <v>9371</v>
      </c>
      <c r="U498" t="s">
        <v>9372</v>
      </c>
      <c r="V498" t="s">
        <v>9373</v>
      </c>
      <c r="W498" t="s">
        <v>9374</v>
      </c>
      <c r="X498" t="s">
        <v>9375</v>
      </c>
      <c r="Y498" t="s">
        <v>9376</v>
      </c>
      <c r="Z498" t="s">
        <v>9377</v>
      </c>
      <c r="AA498" t="s">
        <v>9378</v>
      </c>
      <c r="AB498" t="s">
        <v>9379</v>
      </c>
      <c r="AC498" t="s">
        <v>74</v>
      </c>
      <c r="AD498" t="s">
        <v>74</v>
      </c>
      <c r="AE498" t="s">
        <v>74</v>
      </c>
      <c r="AF498" t="s">
        <v>74</v>
      </c>
      <c r="AG498">
        <v>137</v>
      </c>
      <c r="AH498">
        <v>86</v>
      </c>
      <c r="AI498">
        <v>100</v>
      </c>
      <c r="AJ498">
        <v>3</v>
      </c>
      <c r="AK498">
        <v>77</v>
      </c>
      <c r="AL498" t="s">
        <v>9380</v>
      </c>
      <c r="AM498" t="s">
        <v>547</v>
      </c>
      <c r="AN498" t="s">
        <v>9381</v>
      </c>
      <c r="AO498" t="s">
        <v>9382</v>
      </c>
      <c r="AP498" t="s">
        <v>9383</v>
      </c>
      <c r="AQ498" t="s">
        <v>74</v>
      </c>
      <c r="AR498" t="s">
        <v>9384</v>
      </c>
      <c r="AS498" t="s">
        <v>9385</v>
      </c>
      <c r="AT498" t="s">
        <v>74</v>
      </c>
      <c r="AU498">
        <v>2010</v>
      </c>
      <c r="AV498">
        <v>100</v>
      </c>
      <c r="AW498">
        <v>4</v>
      </c>
      <c r="AX498" t="s">
        <v>74</v>
      </c>
      <c r="AY498" t="s">
        <v>74</v>
      </c>
      <c r="AZ498" t="s">
        <v>74</v>
      </c>
      <c r="BA498" t="s">
        <v>74</v>
      </c>
      <c r="BB498">
        <v>755</v>
      </c>
      <c r="BC498">
        <v>771</v>
      </c>
      <c r="BD498" t="s">
        <v>74</v>
      </c>
      <c r="BE498" t="s">
        <v>9386</v>
      </c>
      <c r="BF498" t="str">
        <f>HYPERLINK("http://dx.doi.org/10.1080/00045608.2010.502432","http://dx.doi.org/10.1080/00045608.2010.502432")</f>
        <v>http://dx.doi.org/10.1080/00045608.2010.502432</v>
      </c>
      <c r="BG498" t="s">
        <v>74</v>
      </c>
      <c r="BH498" t="s">
        <v>74</v>
      </c>
      <c r="BI498">
        <v>17</v>
      </c>
      <c r="BJ498" t="s">
        <v>9387</v>
      </c>
      <c r="BK498" t="s">
        <v>9388</v>
      </c>
      <c r="BL498" t="s">
        <v>9387</v>
      </c>
      <c r="BM498" t="s">
        <v>9389</v>
      </c>
      <c r="BN498" t="s">
        <v>74</v>
      </c>
      <c r="BO498" t="s">
        <v>74</v>
      </c>
      <c r="BP498" t="s">
        <v>74</v>
      </c>
      <c r="BQ498" t="s">
        <v>74</v>
      </c>
      <c r="BR498" t="s">
        <v>105</v>
      </c>
      <c r="BS498" t="s">
        <v>9390</v>
      </c>
      <c r="BT498" t="str">
        <f>HYPERLINK("https%3A%2F%2Fwww.webofscience.com%2Fwos%2Fwoscc%2Ffull-record%2FWOS:000284418100005","View Full Record in Web of Science")</f>
        <v>View Full Record in Web of Science</v>
      </c>
    </row>
    <row r="499" spans="1:72" x14ac:dyDescent="0.15">
      <c r="A499" t="s">
        <v>8563</v>
      </c>
      <c r="B499" t="s">
        <v>9391</v>
      </c>
      <c r="C499" t="s">
        <v>74</v>
      </c>
      <c r="D499" t="s">
        <v>9392</v>
      </c>
      <c r="E499" t="s">
        <v>74</v>
      </c>
      <c r="F499" t="s">
        <v>9393</v>
      </c>
      <c r="G499" t="s">
        <v>74</v>
      </c>
      <c r="H499" t="s">
        <v>74</v>
      </c>
      <c r="I499" t="s">
        <v>9394</v>
      </c>
      <c r="J499" t="s">
        <v>9395</v>
      </c>
      <c r="K499" t="s">
        <v>9396</v>
      </c>
      <c r="L499" t="s">
        <v>74</v>
      </c>
      <c r="M499" t="s">
        <v>78</v>
      </c>
      <c r="N499" t="s">
        <v>8859</v>
      </c>
      <c r="O499" t="s">
        <v>74</v>
      </c>
      <c r="P499" t="s">
        <v>74</v>
      </c>
      <c r="Q499" t="s">
        <v>74</v>
      </c>
      <c r="R499" t="s">
        <v>74</v>
      </c>
      <c r="S499" t="s">
        <v>74</v>
      </c>
      <c r="T499" t="s">
        <v>9397</v>
      </c>
      <c r="U499" t="s">
        <v>9398</v>
      </c>
      <c r="V499" t="s">
        <v>9399</v>
      </c>
      <c r="W499" t="s">
        <v>74</v>
      </c>
      <c r="X499" t="s">
        <v>74</v>
      </c>
      <c r="Y499" t="s">
        <v>74</v>
      </c>
      <c r="Z499" t="s">
        <v>74</v>
      </c>
      <c r="AA499" t="s">
        <v>74</v>
      </c>
      <c r="AB499" t="s">
        <v>74</v>
      </c>
      <c r="AC499" t="s">
        <v>74</v>
      </c>
      <c r="AD499" t="s">
        <v>74</v>
      </c>
      <c r="AE499" t="s">
        <v>74</v>
      </c>
      <c r="AF499" t="s">
        <v>74</v>
      </c>
      <c r="AG499">
        <v>199</v>
      </c>
      <c r="AH499">
        <v>10</v>
      </c>
      <c r="AI499">
        <v>10</v>
      </c>
      <c r="AJ499">
        <v>0</v>
      </c>
      <c r="AK499">
        <v>3</v>
      </c>
      <c r="AL499" t="s">
        <v>9400</v>
      </c>
      <c r="AM499" t="s">
        <v>9401</v>
      </c>
      <c r="AN499" t="s">
        <v>9402</v>
      </c>
      <c r="AO499" t="s">
        <v>74</v>
      </c>
      <c r="AP499" t="s">
        <v>74</v>
      </c>
      <c r="AQ499" t="s">
        <v>9403</v>
      </c>
      <c r="AR499" t="s">
        <v>9404</v>
      </c>
      <c r="AS499" t="s">
        <v>74</v>
      </c>
      <c r="AT499" t="s">
        <v>74</v>
      </c>
      <c r="AU499">
        <v>2010</v>
      </c>
      <c r="AV499" t="s">
        <v>74</v>
      </c>
      <c r="AW499" t="s">
        <v>74</v>
      </c>
      <c r="AX499" t="s">
        <v>74</v>
      </c>
      <c r="AY499" t="s">
        <v>74</v>
      </c>
      <c r="AZ499" t="s">
        <v>74</v>
      </c>
      <c r="BA499" t="s">
        <v>74</v>
      </c>
      <c r="BB499">
        <v>1</v>
      </c>
      <c r="BC499">
        <v>80</v>
      </c>
      <c r="BD499" t="s">
        <v>74</v>
      </c>
      <c r="BE499" t="s">
        <v>74</v>
      </c>
      <c r="BF499" t="s">
        <v>74</v>
      </c>
      <c r="BG499" t="s">
        <v>74</v>
      </c>
      <c r="BH499" t="s">
        <v>74</v>
      </c>
      <c r="BI499">
        <v>80</v>
      </c>
      <c r="BJ499" t="s">
        <v>4031</v>
      </c>
      <c r="BK499" t="s">
        <v>8579</v>
      </c>
      <c r="BL499" t="s">
        <v>1348</v>
      </c>
      <c r="BM499" t="s">
        <v>9405</v>
      </c>
      <c r="BN499" t="s">
        <v>74</v>
      </c>
      <c r="BO499" t="s">
        <v>74</v>
      </c>
      <c r="BP499" t="s">
        <v>74</v>
      </c>
      <c r="BQ499" t="s">
        <v>74</v>
      </c>
      <c r="BR499" t="s">
        <v>105</v>
      </c>
      <c r="BS499" t="s">
        <v>9406</v>
      </c>
      <c r="BT499" t="str">
        <f>HYPERLINK("https%3A%2F%2Fwww.webofscience.com%2Fwos%2Fwoscc%2Ffull-record%2FWOS:000286915300002","View Full Record in Web of Science")</f>
        <v>View Full Record in Web of Science</v>
      </c>
    </row>
    <row r="500" spans="1:72" x14ac:dyDescent="0.15">
      <c r="A500" t="s">
        <v>8563</v>
      </c>
      <c r="B500" t="s">
        <v>9407</v>
      </c>
      <c r="C500" t="s">
        <v>74</v>
      </c>
      <c r="D500" t="s">
        <v>9392</v>
      </c>
      <c r="E500" t="s">
        <v>74</v>
      </c>
      <c r="F500" t="s">
        <v>9408</v>
      </c>
      <c r="G500" t="s">
        <v>74</v>
      </c>
      <c r="H500" t="s">
        <v>74</v>
      </c>
      <c r="I500" t="s">
        <v>9409</v>
      </c>
      <c r="J500" t="s">
        <v>9395</v>
      </c>
      <c r="K500" t="s">
        <v>9396</v>
      </c>
      <c r="L500" t="s">
        <v>74</v>
      </c>
      <c r="M500" t="s">
        <v>78</v>
      </c>
      <c r="N500" t="s">
        <v>8859</v>
      </c>
      <c r="O500" t="s">
        <v>74</v>
      </c>
      <c r="P500" t="s">
        <v>74</v>
      </c>
      <c r="Q500" t="s">
        <v>74</v>
      </c>
      <c r="R500" t="s">
        <v>74</v>
      </c>
      <c r="S500" t="s">
        <v>74</v>
      </c>
      <c r="T500" t="s">
        <v>74</v>
      </c>
      <c r="U500" t="s">
        <v>9410</v>
      </c>
      <c r="V500" t="s">
        <v>9411</v>
      </c>
      <c r="W500" t="s">
        <v>74</v>
      </c>
      <c r="X500" t="s">
        <v>74</v>
      </c>
      <c r="Y500" t="s">
        <v>74</v>
      </c>
      <c r="Z500" t="s">
        <v>9412</v>
      </c>
      <c r="AA500" t="s">
        <v>9413</v>
      </c>
      <c r="AB500" t="s">
        <v>494</v>
      </c>
      <c r="AC500" t="s">
        <v>74</v>
      </c>
      <c r="AD500" t="s">
        <v>74</v>
      </c>
      <c r="AE500" t="s">
        <v>74</v>
      </c>
      <c r="AF500" t="s">
        <v>74</v>
      </c>
      <c r="AG500">
        <v>96</v>
      </c>
      <c r="AH500">
        <v>0</v>
      </c>
      <c r="AI500">
        <v>0</v>
      </c>
      <c r="AJ500">
        <v>0</v>
      </c>
      <c r="AK500">
        <v>0</v>
      </c>
      <c r="AL500" t="s">
        <v>9400</v>
      </c>
      <c r="AM500" t="s">
        <v>9401</v>
      </c>
      <c r="AN500" t="s">
        <v>9402</v>
      </c>
      <c r="AO500" t="s">
        <v>74</v>
      </c>
      <c r="AP500" t="s">
        <v>74</v>
      </c>
      <c r="AQ500" t="s">
        <v>9403</v>
      </c>
      <c r="AR500" t="s">
        <v>9404</v>
      </c>
      <c r="AS500" t="s">
        <v>74</v>
      </c>
      <c r="AT500" t="s">
        <v>74</v>
      </c>
      <c r="AU500">
        <v>2010</v>
      </c>
      <c r="AV500" t="s">
        <v>74</v>
      </c>
      <c r="AW500" t="s">
        <v>74</v>
      </c>
      <c r="AX500" t="s">
        <v>74</v>
      </c>
      <c r="AY500" t="s">
        <v>74</v>
      </c>
      <c r="AZ500" t="s">
        <v>74</v>
      </c>
      <c r="BA500" t="s">
        <v>74</v>
      </c>
      <c r="BB500">
        <v>81</v>
      </c>
      <c r="BC500">
        <v>141</v>
      </c>
      <c r="BD500" t="s">
        <v>74</v>
      </c>
      <c r="BE500" t="s">
        <v>74</v>
      </c>
      <c r="BF500" t="s">
        <v>74</v>
      </c>
      <c r="BG500" t="s">
        <v>74</v>
      </c>
      <c r="BH500" t="s">
        <v>74</v>
      </c>
      <c r="BI500">
        <v>61</v>
      </c>
      <c r="BJ500" t="s">
        <v>4031</v>
      </c>
      <c r="BK500" t="s">
        <v>8579</v>
      </c>
      <c r="BL500" t="s">
        <v>1348</v>
      </c>
      <c r="BM500" t="s">
        <v>9405</v>
      </c>
      <c r="BN500" t="s">
        <v>74</v>
      </c>
      <c r="BO500" t="s">
        <v>74</v>
      </c>
      <c r="BP500" t="s">
        <v>74</v>
      </c>
      <c r="BQ500" t="s">
        <v>74</v>
      </c>
      <c r="BR500" t="s">
        <v>105</v>
      </c>
      <c r="BS500" t="s">
        <v>9414</v>
      </c>
      <c r="BT500" t="str">
        <f>HYPERLINK("https%3A%2F%2Fwww.webofscience.com%2Fwos%2Fwoscc%2Ffull-record%2FWOS:000286915300003","View Full Record in Web of Science")</f>
        <v>View Full Record in Web of Science</v>
      </c>
    </row>
    <row r="501" spans="1:72" x14ac:dyDescent="0.15">
      <c r="A501" t="s">
        <v>8563</v>
      </c>
      <c r="B501" t="s">
        <v>9415</v>
      </c>
      <c r="C501" t="s">
        <v>74</v>
      </c>
      <c r="D501" t="s">
        <v>9392</v>
      </c>
      <c r="E501" t="s">
        <v>74</v>
      </c>
      <c r="F501" t="s">
        <v>9416</v>
      </c>
      <c r="G501" t="s">
        <v>74</v>
      </c>
      <c r="H501" t="s">
        <v>74</v>
      </c>
      <c r="I501" t="s">
        <v>9417</v>
      </c>
      <c r="J501" t="s">
        <v>9395</v>
      </c>
      <c r="K501" t="s">
        <v>9396</v>
      </c>
      <c r="L501" t="s">
        <v>74</v>
      </c>
      <c r="M501" t="s">
        <v>78</v>
      </c>
      <c r="N501" t="s">
        <v>8859</v>
      </c>
      <c r="O501" t="s">
        <v>74</v>
      </c>
      <c r="P501" t="s">
        <v>74</v>
      </c>
      <c r="Q501" t="s">
        <v>74</v>
      </c>
      <c r="R501" t="s">
        <v>74</v>
      </c>
      <c r="S501" t="s">
        <v>74</v>
      </c>
      <c r="T501" t="s">
        <v>74</v>
      </c>
      <c r="U501" t="s">
        <v>9418</v>
      </c>
      <c r="V501" t="s">
        <v>9419</v>
      </c>
      <c r="W501" t="s">
        <v>9420</v>
      </c>
      <c r="X501" t="s">
        <v>9421</v>
      </c>
      <c r="Y501" t="s">
        <v>9422</v>
      </c>
      <c r="Z501" t="s">
        <v>9423</v>
      </c>
      <c r="AA501" t="s">
        <v>74</v>
      </c>
      <c r="AB501" t="s">
        <v>74</v>
      </c>
      <c r="AC501" t="s">
        <v>74</v>
      </c>
      <c r="AD501" t="s">
        <v>74</v>
      </c>
      <c r="AE501" t="s">
        <v>74</v>
      </c>
      <c r="AF501" t="s">
        <v>74</v>
      </c>
      <c r="AG501">
        <v>81</v>
      </c>
      <c r="AH501">
        <v>0</v>
      </c>
      <c r="AI501">
        <v>0</v>
      </c>
      <c r="AJ501">
        <v>0</v>
      </c>
      <c r="AK501">
        <v>7</v>
      </c>
      <c r="AL501" t="s">
        <v>9400</v>
      </c>
      <c r="AM501" t="s">
        <v>9401</v>
      </c>
      <c r="AN501" t="s">
        <v>9402</v>
      </c>
      <c r="AO501" t="s">
        <v>74</v>
      </c>
      <c r="AP501" t="s">
        <v>74</v>
      </c>
      <c r="AQ501" t="s">
        <v>9403</v>
      </c>
      <c r="AR501" t="s">
        <v>9404</v>
      </c>
      <c r="AS501" t="s">
        <v>74</v>
      </c>
      <c r="AT501" t="s">
        <v>74</v>
      </c>
      <c r="AU501">
        <v>2010</v>
      </c>
      <c r="AV501" t="s">
        <v>74</v>
      </c>
      <c r="AW501" t="s">
        <v>74</v>
      </c>
      <c r="AX501" t="s">
        <v>74</v>
      </c>
      <c r="AY501" t="s">
        <v>74</v>
      </c>
      <c r="AZ501" t="s">
        <v>74</v>
      </c>
      <c r="BA501" t="s">
        <v>74</v>
      </c>
      <c r="BB501">
        <v>143</v>
      </c>
      <c r="BC501">
        <v>164</v>
      </c>
      <c r="BD501" t="s">
        <v>74</v>
      </c>
      <c r="BE501" t="s">
        <v>74</v>
      </c>
      <c r="BF501" t="s">
        <v>74</v>
      </c>
      <c r="BG501" t="s">
        <v>74</v>
      </c>
      <c r="BH501" t="s">
        <v>74</v>
      </c>
      <c r="BI501">
        <v>22</v>
      </c>
      <c r="BJ501" t="s">
        <v>4031</v>
      </c>
      <c r="BK501" t="s">
        <v>8579</v>
      </c>
      <c r="BL501" t="s">
        <v>1348</v>
      </c>
      <c r="BM501" t="s">
        <v>9405</v>
      </c>
      <c r="BN501" t="s">
        <v>74</v>
      </c>
      <c r="BO501" t="s">
        <v>74</v>
      </c>
      <c r="BP501" t="s">
        <v>74</v>
      </c>
      <c r="BQ501" t="s">
        <v>74</v>
      </c>
      <c r="BR501" t="s">
        <v>105</v>
      </c>
      <c r="BS501" t="s">
        <v>9424</v>
      </c>
      <c r="BT501" t="str">
        <f>HYPERLINK("https%3A%2F%2Fwww.webofscience.com%2Fwos%2Fwoscc%2Ffull-record%2FWOS:000286915300004","View Full Record in Web of Science")</f>
        <v>View Full Record in Web of Science</v>
      </c>
    </row>
    <row r="502" spans="1:72" x14ac:dyDescent="0.15">
      <c r="A502" t="s">
        <v>8563</v>
      </c>
      <c r="B502" t="s">
        <v>9425</v>
      </c>
      <c r="C502" t="s">
        <v>74</v>
      </c>
      <c r="D502" t="s">
        <v>9392</v>
      </c>
      <c r="E502" t="s">
        <v>74</v>
      </c>
      <c r="F502" t="s">
        <v>9426</v>
      </c>
      <c r="G502" t="s">
        <v>74</v>
      </c>
      <c r="H502" t="s">
        <v>74</v>
      </c>
      <c r="I502" t="s">
        <v>9427</v>
      </c>
      <c r="J502" t="s">
        <v>9395</v>
      </c>
      <c r="K502" t="s">
        <v>9396</v>
      </c>
      <c r="L502" t="s">
        <v>74</v>
      </c>
      <c r="M502" t="s">
        <v>78</v>
      </c>
      <c r="N502" t="s">
        <v>8859</v>
      </c>
      <c r="O502" t="s">
        <v>74</v>
      </c>
      <c r="P502" t="s">
        <v>74</v>
      </c>
      <c r="Q502" t="s">
        <v>74</v>
      </c>
      <c r="R502" t="s">
        <v>74</v>
      </c>
      <c r="S502" t="s">
        <v>74</v>
      </c>
      <c r="T502" t="s">
        <v>74</v>
      </c>
      <c r="U502" t="s">
        <v>9428</v>
      </c>
      <c r="V502" t="s">
        <v>9429</v>
      </c>
      <c r="W502" t="s">
        <v>9430</v>
      </c>
      <c r="X502" t="s">
        <v>9431</v>
      </c>
      <c r="Y502" t="s">
        <v>9432</v>
      </c>
      <c r="Z502" t="s">
        <v>74</v>
      </c>
      <c r="AA502" t="s">
        <v>9433</v>
      </c>
      <c r="AB502" t="s">
        <v>9434</v>
      </c>
      <c r="AC502" t="s">
        <v>74</v>
      </c>
      <c r="AD502" t="s">
        <v>74</v>
      </c>
      <c r="AE502" t="s">
        <v>74</v>
      </c>
      <c r="AF502" t="s">
        <v>74</v>
      </c>
      <c r="AG502">
        <v>24</v>
      </c>
      <c r="AH502">
        <v>1</v>
      </c>
      <c r="AI502">
        <v>1</v>
      </c>
      <c r="AJ502">
        <v>0</v>
      </c>
      <c r="AK502">
        <v>2</v>
      </c>
      <c r="AL502" t="s">
        <v>9400</v>
      </c>
      <c r="AM502" t="s">
        <v>9401</v>
      </c>
      <c r="AN502" t="s">
        <v>9402</v>
      </c>
      <c r="AO502" t="s">
        <v>74</v>
      </c>
      <c r="AP502" t="s">
        <v>74</v>
      </c>
      <c r="AQ502" t="s">
        <v>9403</v>
      </c>
      <c r="AR502" t="s">
        <v>9404</v>
      </c>
      <c r="AS502" t="s">
        <v>74</v>
      </c>
      <c r="AT502" t="s">
        <v>74</v>
      </c>
      <c r="AU502">
        <v>2010</v>
      </c>
      <c r="AV502" t="s">
        <v>74</v>
      </c>
      <c r="AW502" t="s">
        <v>74</v>
      </c>
      <c r="AX502" t="s">
        <v>74</v>
      </c>
      <c r="AY502" t="s">
        <v>74</v>
      </c>
      <c r="AZ502" t="s">
        <v>74</v>
      </c>
      <c r="BA502" t="s">
        <v>74</v>
      </c>
      <c r="BB502">
        <v>165</v>
      </c>
      <c r="BC502">
        <v>192</v>
      </c>
      <c r="BD502" t="s">
        <v>74</v>
      </c>
      <c r="BE502" t="s">
        <v>74</v>
      </c>
      <c r="BF502" t="s">
        <v>74</v>
      </c>
      <c r="BG502" t="s">
        <v>74</v>
      </c>
      <c r="BH502" t="s">
        <v>74</v>
      </c>
      <c r="BI502">
        <v>28</v>
      </c>
      <c r="BJ502" t="s">
        <v>4031</v>
      </c>
      <c r="BK502" t="s">
        <v>8579</v>
      </c>
      <c r="BL502" t="s">
        <v>1348</v>
      </c>
      <c r="BM502" t="s">
        <v>9405</v>
      </c>
      <c r="BN502" t="s">
        <v>74</v>
      </c>
      <c r="BO502" t="s">
        <v>74</v>
      </c>
      <c r="BP502" t="s">
        <v>74</v>
      </c>
      <c r="BQ502" t="s">
        <v>74</v>
      </c>
      <c r="BR502" t="s">
        <v>105</v>
      </c>
      <c r="BS502" t="s">
        <v>9435</v>
      </c>
      <c r="BT502" t="str">
        <f>HYPERLINK("https%3A%2F%2Fwww.webofscience.com%2Fwos%2Fwoscc%2Ffull-record%2FWOS:000286915300005","View Full Record in Web of Science")</f>
        <v>View Full Record in Web of Science</v>
      </c>
    </row>
    <row r="503" spans="1:72" x14ac:dyDescent="0.15">
      <c r="A503" t="s">
        <v>8563</v>
      </c>
      <c r="B503" t="s">
        <v>9436</v>
      </c>
      <c r="C503" t="s">
        <v>74</v>
      </c>
      <c r="D503" t="s">
        <v>9392</v>
      </c>
      <c r="E503" t="s">
        <v>74</v>
      </c>
      <c r="F503" t="s">
        <v>9437</v>
      </c>
      <c r="G503" t="s">
        <v>74</v>
      </c>
      <c r="H503" t="s">
        <v>74</v>
      </c>
      <c r="I503" t="s">
        <v>9438</v>
      </c>
      <c r="J503" t="s">
        <v>9395</v>
      </c>
      <c r="K503" t="s">
        <v>9396</v>
      </c>
      <c r="L503" t="s">
        <v>74</v>
      </c>
      <c r="M503" t="s">
        <v>78</v>
      </c>
      <c r="N503" t="s">
        <v>8859</v>
      </c>
      <c r="O503" t="s">
        <v>74</v>
      </c>
      <c r="P503" t="s">
        <v>74</v>
      </c>
      <c r="Q503" t="s">
        <v>74</v>
      </c>
      <c r="R503" t="s">
        <v>74</v>
      </c>
      <c r="S503" t="s">
        <v>74</v>
      </c>
      <c r="T503" t="s">
        <v>74</v>
      </c>
      <c r="U503" t="s">
        <v>9439</v>
      </c>
      <c r="V503" t="s">
        <v>9440</v>
      </c>
      <c r="W503" t="s">
        <v>9441</v>
      </c>
      <c r="X503" t="s">
        <v>9442</v>
      </c>
      <c r="Y503" t="s">
        <v>9443</v>
      </c>
      <c r="Z503" t="s">
        <v>74</v>
      </c>
      <c r="AA503" t="s">
        <v>74</v>
      </c>
      <c r="AB503" t="s">
        <v>74</v>
      </c>
      <c r="AC503" t="s">
        <v>74</v>
      </c>
      <c r="AD503" t="s">
        <v>74</v>
      </c>
      <c r="AE503" t="s">
        <v>74</v>
      </c>
      <c r="AF503" t="s">
        <v>74</v>
      </c>
      <c r="AG503">
        <v>87</v>
      </c>
      <c r="AH503">
        <v>2</v>
      </c>
      <c r="AI503">
        <v>2</v>
      </c>
      <c r="AJ503">
        <v>0</v>
      </c>
      <c r="AK503">
        <v>1</v>
      </c>
      <c r="AL503" t="s">
        <v>9400</v>
      </c>
      <c r="AM503" t="s">
        <v>9401</v>
      </c>
      <c r="AN503" t="s">
        <v>9402</v>
      </c>
      <c r="AO503" t="s">
        <v>74</v>
      </c>
      <c r="AP503" t="s">
        <v>74</v>
      </c>
      <c r="AQ503" t="s">
        <v>9403</v>
      </c>
      <c r="AR503" t="s">
        <v>9404</v>
      </c>
      <c r="AS503" t="s">
        <v>74</v>
      </c>
      <c r="AT503" t="s">
        <v>74</v>
      </c>
      <c r="AU503">
        <v>2010</v>
      </c>
      <c r="AV503" t="s">
        <v>74</v>
      </c>
      <c r="AW503" t="s">
        <v>74</v>
      </c>
      <c r="AX503" t="s">
        <v>74</v>
      </c>
      <c r="AY503" t="s">
        <v>74</v>
      </c>
      <c r="AZ503" t="s">
        <v>74</v>
      </c>
      <c r="BA503" t="s">
        <v>74</v>
      </c>
      <c r="BB503">
        <v>193</v>
      </c>
      <c r="BC503">
        <v>215</v>
      </c>
      <c r="BD503" t="s">
        <v>74</v>
      </c>
      <c r="BE503" t="s">
        <v>74</v>
      </c>
      <c r="BF503" t="s">
        <v>74</v>
      </c>
      <c r="BG503" t="s">
        <v>74</v>
      </c>
      <c r="BH503" t="s">
        <v>74</v>
      </c>
      <c r="BI503">
        <v>23</v>
      </c>
      <c r="BJ503" t="s">
        <v>4031</v>
      </c>
      <c r="BK503" t="s">
        <v>8579</v>
      </c>
      <c r="BL503" t="s">
        <v>1348</v>
      </c>
      <c r="BM503" t="s">
        <v>9405</v>
      </c>
      <c r="BN503" t="s">
        <v>74</v>
      </c>
      <c r="BO503" t="s">
        <v>74</v>
      </c>
      <c r="BP503" t="s">
        <v>74</v>
      </c>
      <c r="BQ503" t="s">
        <v>74</v>
      </c>
      <c r="BR503" t="s">
        <v>105</v>
      </c>
      <c r="BS503" t="s">
        <v>9444</v>
      </c>
      <c r="BT503" t="str">
        <f>HYPERLINK("https%3A%2F%2Fwww.webofscience.com%2Fwos%2Fwoscc%2Ffull-record%2FWOS:000286915300006","View Full Record in Web of Science")</f>
        <v>View Full Record in Web of Science</v>
      </c>
    </row>
    <row r="504" spans="1:72" x14ac:dyDescent="0.15">
      <c r="A504" t="s">
        <v>72</v>
      </c>
      <c r="B504" t="s">
        <v>9445</v>
      </c>
      <c r="C504" t="s">
        <v>74</v>
      </c>
      <c r="D504" t="s">
        <v>74</v>
      </c>
      <c r="E504" t="s">
        <v>74</v>
      </c>
      <c r="F504" t="s">
        <v>9446</v>
      </c>
      <c r="G504" t="s">
        <v>74</v>
      </c>
      <c r="H504" t="s">
        <v>74</v>
      </c>
      <c r="I504" t="s">
        <v>9447</v>
      </c>
      <c r="J504" t="s">
        <v>9448</v>
      </c>
      <c r="K504" t="s">
        <v>74</v>
      </c>
      <c r="L504" t="s">
        <v>74</v>
      </c>
      <c r="M504" t="s">
        <v>78</v>
      </c>
      <c r="N504" t="s">
        <v>600</v>
      </c>
      <c r="O504" t="s">
        <v>74</v>
      </c>
      <c r="P504" t="s">
        <v>74</v>
      </c>
      <c r="Q504" t="s">
        <v>74</v>
      </c>
      <c r="R504" t="s">
        <v>74</v>
      </c>
      <c r="S504" t="s">
        <v>74</v>
      </c>
      <c r="T504" t="s">
        <v>9449</v>
      </c>
      <c r="U504" t="s">
        <v>9450</v>
      </c>
      <c r="V504" t="s">
        <v>9451</v>
      </c>
      <c r="W504" t="s">
        <v>9452</v>
      </c>
      <c r="X504" t="s">
        <v>9453</v>
      </c>
      <c r="Y504" t="s">
        <v>9454</v>
      </c>
      <c r="Z504" t="s">
        <v>9455</v>
      </c>
      <c r="AA504" t="s">
        <v>74</v>
      </c>
      <c r="AB504" t="s">
        <v>74</v>
      </c>
      <c r="AC504" t="s">
        <v>9456</v>
      </c>
      <c r="AD504" t="s">
        <v>9457</v>
      </c>
      <c r="AE504" t="s">
        <v>9458</v>
      </c>
      <c r="AF504" t="s">
        <v>74</v>
      </c>
      <c r="AG504">
        <v>121</v>
      </c>
      <c r="AH504">
        <v>35</v>
      </c>
      <c r="AI504">
        <v>40</v>
      </c>
      <c r="AJ504">
        <v>0</v>
      </c>
      <c r="AK504">
        <v>78</v>
      </c>
      <c r="AL504" t="s">
        <v>813</v>
      </c>
      <c r="AM504" t="s">
        <v>225</v>
      </c>
      <c r="AN504" t="s">
        <v>2228</v>
      </c>
      <c r="AO504" t="s">
        <v>9459</v>
      </c>
      <c r="AP504" t="s">
        <v>9460</v>
      </c>
      <c r="AQ504" t="s">
        <v>74</v>
      </c>
      <c r="AR504" t="s">
        <v>9461</v>
      </c>
      <c r="AS504" t="s">
        <v>9462</v>
      </c>
      <c r="AT504" t="s">
        <v>8958</v>
      </c>
      <c r="AU504">
        <v>2010</v>
      </c>
      <c r="AV504">
        <v>85</v>
      </c>
      <c r="AW504">
        <v>3</v>
      </c>
      <c r="AX504" t="s">
        <v>74</v>
      </c>
      <c r="AY504" t="s">
        <v>74</v>
      </c>
      <c r="AZ504" t="s">
        <v>74</v>
      </c>
      <c r="BA504" t="s">
        <v>74</v>
      </c>
      <c r="BB504">
        <v>481</v>
      </c>
      <c r="BC504">
        <v>489</v>
      </c>
      <c r="BD504" t="s">
        <v>74</v>
      </c>
      <c r="BE504" t="s">
        <v>9463</v>
      </c>
      <c r="BF504" t="str">
        <f>HYPERLINK("http://dx.doi.org/10.1007/s00253-009-2291-2","http://dx.doi.org/10.1007/s00253-009-2291-2")</f>
        <v>http://dx.doi.org/10.1007/s00253-009-2291-2</v>
      </c>
      <c r="BG504" t="s">
        <v>74</v>
      </c>
      <c r="BH504" t="s">
        <v>74</v>
      </c>
      <c r="BI504">
        <v>9</v>
      </c>
      <c r="BJ504" t="s">
        <v>867</v>
      </c>
      <c r="BK504" t="s">
        <v>102</v>
      </c>
      <c r="BL504" t="s">
        <v>867</v>
      </c>
      <c r="BM504" t="s">
        <v>9464</v>
      </c>
      <c r="BN504">
        <v>19841917</v>
      </c>
      <c r="BO504" t="s">
        <v>74</v>
      </c>
      <c r="BP504" t="s">
        <v>74</v>
      </c>
      <c r="BQ504" t="s">
        <v>74</v>
      </c>
      <c r="BR504" t="s">
        <v>105</v>
      </c>
      <c r="BS504" t="s">
        <v>9465</v>
      </c>
      <c r="BT504" t="str">
        <f>HYPERLINK("https%3A%2F%2Fwww.webofscience.com%2Fwos%2Fwoscc%2Ffull-record%2FWOS:000273351300006","View Full Record in Web of Science")</f>
        <v>View Full Record in Web of Science</v>
      </c>
    </row>
    <row r="505" spans="1:72" x14ac:dyDescent="0.15">
      <c r="A505" t="s">
        <v>72</v>
      </c>
      <c r="B505" t="s">
        <v>9466</v>
      </c>
      <c r="C505" t="s">
        <v>74</v>
      </c>
      <c r="D505" t="s">
        <v>74</v>
      </c>
      <c r="E505" t="s">
        <v>74</v>
      </c>
      <c r="F505" t="s">
        <v>9467</v>
      </c>
      <c r="G505" t="s">
        <v>74</v>
      </c>
      <c r="H505" t="s">
        <v>74</v>
      </c>
      <c r="I505" t="s">
        <v>9468</v>
      </c>
      <c r="J505" t="s">
        <v>9469</v>
      </c>
      <c r="K505" t="s">
        <v>74</v>
      </c>
      <c r="L505" t="s">
        <v>74</v>
      </c>
      <c r="M505" t="s">
        <v>78</v>
      </c>
      <c r="N505" t="s">
        <v>79</v>
      </c>
      <c r="O505" t="s">
        <v>74</v>
      </c>
      <c r="P505" t="s">
        <v>74</v>
      </c>
      <c r="Q505" t="s">
        <v>74</v>
      </c>
      <c r="R505" t="s">
        <v>74</v>
      </c>
      <c r="S505" t="s">
        <v>74</v>
      </c>
      <c r="T505" t="s">
        <v>9470</v>
      </c>
      <c r="U505" t="s">
        <v>9471</v>
      </c>
      <c r="V505" t="s">
        <v>9472</v>
      </c>
      <c r="W505" t="s">
        <v>9473</v>
      </c>
      <c r="X505" t="s">
        <v>9474</v>
      </c>
      <c r="Y505" t="s">
        <v>9475</v>
      </c>
      <c r="Z505" t="s">
        <v>9476</v>
      </c>
      <c r="AA505" t="s">
        <v>9477</v>
      </c>
      <c r="AB505" t="s">
        <v>9478</v>
      </c>
      <c r="AC505" t="s">
        <v>9479</v>
      </c>
      <c r="AD505" t="s">
        <v>9480</v>
      </c>
      <c r="AE505" t="s">
        <v>9481</v>
      </c>
      <c r="AF505" t="s">
        <v>74</v>
      </c>
      <c r="AG505">
        <v>87</v>
      </c>
      <c r="AH505">
        <v>54</v>
      </c>
      <c r="AI505">
        <v>60</v>
      </c>
      <c r="AJ505">
        <v>2</v>
      </c>
      <c r="AK505">
        <v>40</v>
      </c>
      <c r="AL505" t="s">
        <v>5648</v>
      </c>
      <c r="AM505" t="s">
        <v>5649</v>
      </c>
      <c r="AN505" t="s">
        <v>5650</v>
      </c>
      <c r="AO505" t="s">
        <v>9482</v>
      </c>
      <c r="AP505" t="s">
        <v>9483</v>
      </c>
      <c r="AQ505" t="s">
        <v>74</v>
      </c>
      <c r="AR505" t="s">
        <v>9484</v>
      </c>
      <c r="AS505" t="s">
        <v>9485</v>
      </c>
      <c r="AT505" t="s">
        <v>74</v>
      </c>
      <c r="AU505">
        <v>2010</v>
      </c>
      <c r="AV505">
        <v>11</v>
      </c>
      <c r="AW505">
        <v>1</v>
      </c>
      <c r="AX505" t="s">
        <v>74</v>
      </c>
      <c r="AY505" t="s">
        <v>74</v>
      </c>
      <c r="AZ505" t="s">
        <v>74</v>
      </c>
      <c r="BA505" t="s">
        <v>74</v>
      </c>
      <c r="BB505">
        <v>1</v>
      </c>
      <c r="BC505">
        <v>15</v>
      </c>
      <c r="BD505" t="s">
        <v>74</v>
      </c>
      <c r="BE505" t="s">
        <v>9486</v>
      </c>
      <c r="BF505" t="str">
        <f>HYPERLINK("http://dx.doi.org/10.3354/ab00284","http://dx.doi.org/10.3354/ab00284")</f>
        <v>http://dx.doi.org/10.3354/ab00284</v>
      </c>
      <c r="BG505" t="s">
        <v>74</v>
      </c>
      <c r="BH505" t="s">
        <v>74</v>
      </c>
      <c r="BI505">
        <v>15</v>
      </c>
      <c r="BJ505" t="s">
        <v>2186</v>
      </c>
      <c r="BK505" t="s">
        <v>102</v>
      </c>
      <c r="BL505" t="s">
        <v>2186</v>
      </c>
      <c r="BM505" t="s">
        <v>9487</v>
      </c>
      <c r="BN505" t="s">
        <v>74</v>
      </c>
      <c r="BO505" t="s">
        <v>346</v>
      </c>
      <c r="BP505" t="s">
        <v>74</v>
      </c>
      <c r="BQ505" t="s">
        <v>74</v>
      </c>
      <c r="BR505" t="s">
        <v>105</v>
      </c>
      <c r="BS505" t="s">
        <v>9488</v>
      </c>
      <c r="BT505" t="str">
        <f>HYPERLINK("https%3A%2F%2Fwww.webofscience.com%2Fwos%2Fwoscc%2Ffull-record%2FWOS:000284328400001","View Full Record in Web of Science")</f>
        <v>View Full Record in Web of Science</v>
      </c>
    </row>
    <row r="506" spans="1:72" x14ac:dyDescent="0.15">
      <c r="A506" t="s">
        <v>72</v>
      </c>
      <c r="B506" t="s">
        <v>9489</v>
      </c>
      <c r="C506" t="s">
        <v>74</v>
      </c>
      <c r="D506" t="s">
        <v>74</v>
      </c>
      <c r="E506" t="s">
        <v>74</v>
      </c>
      <c r="F506" t="s">
        <v>9490</v>
      </c>
      <c r="G506" t="s">
        <v>74</v>
      </c>
      <c r="H506" t="s">
        <v>74</v>
      </c>
      <c r="I506" t="s">
        <v>9491</v>
      </c>
      <c r="J506" t="s">
        <v>9469</v>
      </c>
      <c r="K506" t="s">
        <v>74</v>
      </c>
      <c r="L506" t="s">
        <v>74</v>
      </c>
      <c r="M506" t="s">
        <v>78</v>
      </c>
      <c r="N506" t="s">
        <v>79</v>
      </c>
      <c r="O506" t="s">
        <v>74</v>
      </c>
      <c r="P506" t="s">
        <v>74</v>
      </c>
      <c r="Q506" t="s">
        <v>74</v>
      </c>
      <c r="R506" t="s">
        <v>74</v>
      </c>
      <c r="S506" t="s">
        <v>74</v>
      </c>
      <c r="T506" t="s">
        <v>9492</v>
      </c>
      <c r="U506" t="s">
        <v>9493</v>
      </c>
      <c r="V506" t="s">
        <v>9494</v>
      </c>
      <c r="W506" t="s">
        <v>9495</v>
      </c>
      <c r="X506" t="s">
        <v>9496</v>
      </c>
      <c r="Y506" t="s">
        <v>9497</v>
      </c>
      <c r="Z506" t="s">
        <v>9498</v>
      </c>
      <c r="AA506" t="s">
        <v>9499</v>
      </c>
      <c r="AB506" t="s">
        <v>9500</v>
      </c>
      <c r="AC506" t="s">
        <v>9501</v>
      </c>
      <c r="AD506" t="s">
        <v>9502</v>
      </c>
      <c r="AE506" t="s">
        <v>9503</v>
      </c>
      <c r="AF506" t="s">
        <v>74</v>
      </c>
      <c r="AG506">
        <v>65</v>
      </c>
      <c r="AH506">
        <v>16</v>
      </c>
      <c r="AI506">
        <v>18</v>
      </c>
      <c r="AJ506">
        <v>0</v>
      </c>
      <c r="AK506">
        <v>16</v>
      </c>
      <c r="AL506" t="s">
        <v>5648</v>
      </c>
      <c r="AM506" t="s">
        <v>5649</v>
      </c>
      <c r="AN506" t="s">
        <v>5650</v>
      </c>
      <c r="AO506" t="s">
        <v>9482</v>
      </c>
      <c r="AP506" t="s">
        <v>9483</v>
      </c>
      <c r="AQ506" t="s">
        <v>74</v>
      </c>
      <c r="AR506" t="s">
        <v>9484</v>
      </c>
      <c r="AS506" t="s">
        <v>9485</v>
      </c>
      <c r="AT506" t="s">
        <v>74</v>
      </c>
      <c r="AU506">
        <v>2010</v>
      </c>
      <c r="AV506">
        <v>10</v>
      </c>
      <c r="AW506">
        <v>2</v>
      </c>
      <c r="AX506" t="s">
        <v>74</v>
      </c>
      <c r="AY506" t="s">
        <v>74</v>
      </c>
      <c r="AZ506" t="s">
        <v>74</v>
      </c>
      <c r="BA506" t="s">
        <v>74</v>
      </c>
      <c r="BB506">
        <v>139</v>
      </c>
      <c r="BC506">
        <v>148</v>
      </c>
      <c r="BD506" t="s">
        <v>74</v>
      </c>
      <c r="BE506" t="s">
        <v>9504</v>
      </c>
      <c r="BF506" t="str">
        <f>HYPERLINK("http://dx.doi.org/10.3354/ab00279","http://dx.doi.org/10.3354/ab00279")</f>
        <v>http://dx.doi.org/10.3354/ab00279</v>
      </c>
      <c r="BG506" t="s">
        <v>74</v>
      </c>
      <c r="BH506" t="s">
        <v>74</v>
      </c>
      <c r="BI506">
        <v>10</v>
      </c>
      <c r="BJ506" t="s">
        <v>2186</v>
      </c>
      <c r="BK506" t="s">
        <v>102</v>
      </c>
      <c r="BL506" t="s">
        <v>2186</v>
      </c>
      <c r="BM506" t="s">
        <v>9505</v>
      </c>
      <c r="BN506" t="s">
        <v>74</v>
      </c>
      <c r="BO506" t="s">
        <v>104</v>
      </c>
      <c r="BP506" t="s">
        <v>74</v>
      </c>
      <c r="BQ506" t="s">
        <v>74</v>
      </c>
      <c r="BR506" t="s">
        <v>105</v>
      </c>
      <c r="BS506" t="s">
        <v>9506</v>
      </c>
      <c r="BT506" t="str">
        <f>HYPERLINK("https%3A%2F%2Fwww.webofscience.com%2Fwos%2Fwoscc%2Ffull-record%2FWOS:000283676800004","View Full Record in Web of Science")</f>
        <v>View Full Record in Web of Science</v>
      </c>
    </row>
    <row r="507" spans="1:72" x14ac:dyDescent="0.15">
      <c r="A507" t="s">
        <v>72</v>
      </c>
      <c r="B507" t="s">
        <v>9507</v>
      </c>
      <c r="C507" t="s">
        <v>74</v>
      </c>
      <c r="D507" t="s">
        <v>74</v>
      </c>
      <c r="E507" t="s">
        <v>74</v>
      </c>
      <c r="F507" t="s">
        <v>9508</v>
      </c>
      <c r="G507" t="s">
        <v>74</v>
      </c>
      <c r="H507" t="s">
        <v>74</v>
      </c>
      <c r="I507" t="s">
        <v>9509</v>
      </c>
      <c r="J507" t="s">
        <v>9469</v>
      </c>
      <c r="K507" t="s">
        <v>74</v>
      </c>
      <c r="L507" t="s">
        <v>74</v>
      </c>
      <c r="M507" t="s">
        <v>78</v>
      </c>
      <c r="N507" t="s">
        <v>79</v>
      </c>
      <c r="O507" t="s">
        <v>74</v>
      </c>
      <c r="P507" t="s">
        <v>74</v>
      </c>
      <c r="Q507" t="s">
        <v>74</v>
      </c>
      <c r="R507" t="s">
        <v>74</v>
      </c>
      <c r="S507" t="s">
        <v>74</v>
      </c>
      <c r="T507" t="s">
        <v>9510</v>
      </c>
      <c r="U507" t="s">
        <v>9511</v>
      </c>
      <c r="V507" t="s">
        <v>9512</v>
      </c>
      <c r="W507" t="s">
        <v>9513</v>
      </c>
      <c r="X507" t="s">
        <v>9514</v>
      </c>
      <c r="Y507" t="s">
        <v>9515</v>
      </c>
      <c r="Z507" t="s">
        <v>9516</v>
      </c>
      <c r="AA507" t="s">
        <v>5882</v>
      </c>
      <c r="AB507" t="s">
        <v>74</v>
      </c>
      <c r="AC507" t="s">
        <v>9517</v>
      </c>
      <c r="AD507" t="s">
        <v>9518</v>
      </c>
      <c r="AE507" t="s">
        <v>9519</v>
      </c>
      <c r="AF507" t="s">
        <v>74</v>
      </c>
      <c r="AG507">
        <v>94</v>
      </c>
      <c r="AH507">
        <v>7</v>
      </c>
      <c r="AI507">
        <v>8</v>
      </c>
      <c r="AJ507">
        <v>0</v>
      </c>
      <c r="AK507">
        <v>22</v>
      </c>
      <c r="AL507" t="s">
        <v>5648</v>
      </c>
      <c r="AM507" t="s">
        <v>5649</v>
      </c>
      <c r="AN507" t="s">
        <v>5650</v>
      </c>
      <c r="AO507" t="s">
        <v>9482</v>
      </c>
      <c r="AP507" t="s">
        <v>9483</v>
      </c>
      <c r="AQ507" t="s">
        <v>74</v>
      </c>
      <c r="AR507" t="s">
        <v>9484</v>
      </c>
      <c r="AS507" t="s">
        <v>9485</v>
      </c>
      <c r="AT507" t="s">
        <v>74</v>
      </c>
      <c r="AU507">
        <v>2010</v>
      </c>
      <c r="AV507">
        <v>8</v>
      </c>
      <c r="AW507">
        <v>3</v>
      </c>
      <c r="AX507" t="s">
        <v>74</v>
      </c>
      <c r="AY507" t="s">
        <v>74</v>
      </c>
      <c r="AZ507" t="s">
        <v>74</v>
      </c>
      <c r="BA507" t="s">
        <v>74</v>
      </c>
      <c r="BB507">
        <v>203</v>
      </c>
      <c r="BC507">
        <v>219</v>
      </c>
      <c r="BD507" t="s">
        <v>74</v>
      </c>
      <c r="BE507" t="s">
        <v>9520</v>
      </c>
      <c r="BF507" t="str">
        <f>HYPERLINK("http://dx.doi.org/10.3354/ab00210","http://dx.doi.org/10.3354/ab00210")</f>
        <v>http://dx.doi.org/10.3354/ab00210</v>
      </c>
      <c r="BG507" t="s">
        <v>74</v>
      </c>
      <c r="BH507" t="s">
        <v>74</v>
      </c>
      <c r="BI507">
        <v>17</v>
      </c>
      <c r="BJ507" t="s">
        <v>2186</v>
      </c>
      <c r="BK507" t="s">
        <v>102</v>
      </c>
      <c r="BL507" t="s">
        <v>2186</v>
      </c>
      <c r="BM507" t="s">
        <v>9521</v>
      </c>
      <c r="BN507" t="s">
        <v>74</v>
      </c>
      <c r="BO507" t="s">
        <v>104</v>
      </c>
      <c r="BP507" t="s">
        <v>74</v>
      </c>
      <c r="BQ507" t="s">
        <v>74</v>
      </c>
      <c r="BR507" t="s">
        <v>105</v>
      </c>
      <c r="BS507" t="s">
        <v>9522</v>
      </c>
      <c r="BT507" t="str">
        <f>HYPERLINK("https%3A%2F%2Fwww.webofscience.com%2Fwos%2Fwoscc%2Ffull-record%2FWOS:000276681800003","View Full Record in Web of Science")</f>
        <v>View Full Record in Web of Science</v>
      </c>
    </row>
    <row r="508" spans="1:72" x14ac:dyDescent="0.15">
      <c r="A508" t="s">
        <v>72</v>
      </c>
      <c r="B508" t="s">
        <v>9523</v>
      </c>
      <c r="C508" t="s">
        <v>74</v>
      </c>
      <c r="D508" t="s">
        <v>74</v>
      </c>
      <c r="E508" t="s">
        <v>74</v>
      </c>
      <c r="F508" t="s">
        <v>9524</v>
      </c>
      <c r="G508" t="s">
        <v>74</v>
      </c>
      <c r="H508" t="s">
        <v>74</v>
      </c>
      <c r="I508" t="s">
        <v>9525</v>
      </c>
      <c r="J508" t="s">
        <v>9469</v>
      </c>
      <c r="K508" t="s">
        <v>74</v>
      </c>
      <c r="L508" t="s">
        <v>74</v>
      </c>
      <c r="M508" t="s">
        <v>78</v>
      </c>
      <c r="N508" t="s">
        <v>79</v>
      </c>
      <c r="O508" t="s">
        <v>74</v>
      </c>
      <c r="P508" t="s">
        <v>74</v>
      </c>
      <c r="Q508" t="s">
        <v>74</v>
      </c>
      <c r="R508" t="s">
        <v>74</v>
      </c>
      <c r="S508" t="s">
        <v>74</v>
      </c>
      <c r="T508" t="s">
        <v>9526</v>
      </c>
      <c r="U508" t="s">
        <v>9527</v>
      </c>
      <c r="V508" t="s">
        <v>9528</v>
      </c>
      <c r="W508" t="s">
        <v>9529</v>
      </c>
      <c r="X508" t="s">
        <v>9530</v>
      </c>
      <c r="Y508" t="s">
        <v>9531</v>
      </c>
      <c r="Z508" t="s">
        <v>9532</v>
      </c>
      <c r="AA508" t="s">
        <v>74</v>
      </c>
      <c r="AB508" t="s">
        <v>74</v>
      </c>
      <c r="AC508" t="s">
        <v>9533</v>
      </c>
      <c r="AD508" t="s">
        <v>9534</v>
      </c>
      <c r="AE508" t="s">
        <v>9535</v>
      </c>
      <c r="AF508" t="s">
        <v>74</v>
      </c>
      <c r="AG508">
        <v>38</v>
      </c>
      <c r="AH508">
        <v>5</v>
      </c>
      <c r="AI508">
        <v>5</v>
      </c>
      <c r="AJ508">
        <v>1</v>
      </c>
      <c r="AK508">
        <v>12</v>
      </c>
      <c r="AL508" t="s">
        <v>5648</v>
      </c>
      <c r="AM508" t="s">
        <v>5649</v>
      </c>
      <c r="AN508" t="s">
        <v>5650</v>
      </c>
      <c r="AO508" t="s">
        <v>9482</v>
      </c>
      <c r="AP508" t="s">
        <v>9483</v>
      </c>
      <c r="AQ508" t="s">
        <v>74</v>
      </c>
      <c r="AR508" t="s">
        <v>9484</v>
      </c>
      <c r="AS508" t="s">
        <v>9485</v>
      </c>
      <c r="AT508" t="s">
        <v>74</v>
      </c>
      <c r="AU508">
        <v>2010</v>
      </c>
      <c r="AV508">
        <v>8</v>
      </c>
      <c r="AW508">
        <v>3</v>
      </c>
      <c r="AX508" t="s">
        <v>74</v>
      </c>
      <c r="AY508" t="s">
        <v>74</v>
      </c>
      <c r="AZ508" t="s">
        <v>74</v>
      </c>
      <c r="BA508" t="s">
        <v>74</v>
      </c>
      <c r="BB508">
        <v>247</v>
      </c>
      <c r="BC508">
        <v>257</v>
      </c>
      <c r="BD508" t="s">
        <v>74</v>
      </c>
      <c r="BE508" t="s">
        <v>9536</v>
      </c>
      <c r="BF508" t="str">
        <f>HYPERLINK("http://dx.doi.org/10.3354/ab00219","http://dx.doi.org/10.3354/ab00219")</f>
        <v>http://dx.doi.org/10.3354/ab00219</v>
      </c>
      <c r="BG508" t="s">
        <v>74</v>
      </c>
      <c r="BH508" t="s">
        <v>74</v>
      </c>
      <c r="BI508">
        <v>11</v>
      </c>
      <c r="BJ508" t="s">
        <v>2186</v>
      </c>
      <c r="BK508" t="s">
        <v>102</v>
      </c>
      <c r="BL508" t="s">
        <v>2186</v>
      </c>
      <c r="BM508" t="s">
        <v>9521</v>
      </c>
      <c r="BN508" t="s">
        <v>74</v>
      </c>
      <c r="BO508" t="s">
        <v>5913</v>
      </c>
      <c r="BP508" t="s">
        <v>74</v>
      </c>
      <c r="BQ508" t="s">
        <v>74</v>
      </c>
      <c r="BR508" t="s">
        <v>105</v>
      </c>
      <c r="BS508" t="s">
        <v>9537</v>
      </c>
      <c r="BT508" t="str">
        <f>HYPERLINK("https%3A%2F%2Fwww.webofscience.com%2Fwos%2Fwoscc%2Ffull-record%2FWOS:000276681800006","View Full Record in Web of Science")</f>
        <v>View Full Record in Web of Science</v>
      </c>
    </row>
    <row r="509" spans="1:72" x14ac:dyDescent="0.15">
      <c r="A509" t="s">
        <v>72</v>
      </c>
      <c r="B509" t="s">
        <v>9538</v>
      </c>
      <c r="C509" t="s">
        <v>74</v>
      </c>
      <c r="D509" t="s">
        <v>74</v>
      </c>
      <c r="E509" t="s">
        <v>74</v>
      </c>
      <c r="F509" t="s">
        <v>9539</v>
      </c>
      <c r="G509" t="s">
        <v>74</v>
      </c>
      <c r="H509" t="s">
        <v>74</v>
      </c>
      <c r="I509" t="s">
        <v>9540</v>
      </c>
      <c r="J509" t="s">
        <v>9541</v>
      </c>
      <c r="K509" t="s">
        <v>74</v>
      </c>
      <c r="L509" t="s">
        <v>74</v>
      </c>
      <c r="M509" t="s">
        <v>78</v>
      </c>
      <c r="N509" t="s">
        <v>79</v>
      </c>
      <c r="O509" t="s">
        <v>74</v>
      </c>
      <c r="P509" t="s">
        <v>74</v>
      </c>
      <c r="Q509" t="s">
        <v>74</v>
      </c>
      <c r="R509" t="s">
        <v>74</v>
      </c>
      <c r="S509" t="s">
        <v>74</v>
      </c>
      <c r="T509" t="s">
        <v>9542</v>
      </c>
      <c r="U509" t="s">
        <v>9543</v>
      </c>
      <c r="V509" t="s">
        <v>9544</v>
      </c>
      <c r="W509" t="s">
        <v>9545</v>
      </c>
      <c r="X509" t="s">
        <v>9546</v>
      </c>
      <c r="Y509" t="s">
        <v>9547</v>
      </c>
      <c r="Z509" t="s">
        <v>9548</v>
      </c>
      <c r="AA509" t="s">
        <v>9549</v>
      </c>
      <c r="AB509" t="s">
        <v>9550</v>
      </c>
      <c r="AC509" t="s">
        <v>9551</v>
      </c>
      <c r="AD509" t="s">
        <v>9551</v>
      </c>
      <c r="AE509" t="s">
        <v>9552</v>
      </c>
      <c r="AF509" t="s">
        <v>74</v>
      </c>
      <c r="AG509">
        <v>50</v>
      </c>
      <c r="AH509">
        <v>52</v>
      </c>
      <c r="AI509">
        <v>58</v>
      </c>
      <c r="AJ509">
        <v>3</v>
      </c>
      <c r="AK509">
        <v>23</v>
      </c>
      <c r="AL509" t="s">
        <v>6332</v>
      </c>
      <c r="AM509" t="s">
        <v>6333</v>
      </c>
      <c r="AN509" t="s">
        <v>6334</v>
      </c>
      <c r="AO509" t="s">
        <v>9553</v>
      </c>
      <c r="AP509" t="s">
        <v>9554</v>
      </c>
      <c r="AQ509" t="s">
        <v>74</v>
      </c>
      <c r="AR509" t="s">
        <v>9555</v>
      </c>
      <c r="AS509" t="s">
        <v>9556</v>
      </c>
      <c r="AT509" t="s">
        <v>9557</v>
      </c>
      <c r="AU509">
        <v>2010</v>
      </c>
      <c r="AV509">
        <v>23</v>
      </c>
      <c r="AW509">
        <v>1</v>
      </c>
      <c r="AX509" t="s">
        <v>74</v>
      </c>
      <c r="AY509" t="s">
        <v>74</v>
      </c>
      <c r="AZ509" t="s">
        <v>74</v>
      </c>
      <c r="BA509" t="s">
        <v>74</v>
      </c>
      <c r="BB509">
        <v>49</v>
      </c>
      <c r="BC509">
        <v>64</v>
      </c>
      <c r="BD509" t="s">
        <v>74</v>
      </c>
      <c r="BE509" t="s">
        <v>9558</v>
      </c>
      <c r="BF509" t="str">
        <f>HYPERLINK("http://dx.doi.org/10.1051/alr/2010002","http://dx.doi.org/10.1051/alr/2010002")</f>
        <v>http://dx.doi.org/10.1051/alr/2010002</v>
      </c>
      <c r="BG509" t="s">
        <v>74</v>
      </c>
      <c r="BH509" t="s">
        <v>74</v>
      </c>
      <c r="BI509">
        <v>16</v>
      </c>
      <c r="BJ509" t="s">
        <v>1661</v>
      </c>
      <c r="BK509" t="s">
        <v>102</v>
      </c>
      <c r="BL509" t="s">
        <v>1661</v>
      </c>
      <c r="BM509" t="s">
        <v>9559</v>
      </c>
      <c r="BN509" t="s">
        <v>74</v>
      </c>
      <c r="BO509" t="s">
        <v>1561</v>
      </c>
      <c r="BP509" t="s">
        <v>74</v>
      </c>
      <c r="BQ509" t="s">
        <v>74</v>
      </c>
      <c r="BR509" t="s">
        <v>105</v>
      </c>
      <c r="BS509" t="s">
        <v>9560</v>
      </c>
      <c r="BT509" t="str">
        <f>HYPERLINK("https%3A%2F%2Fwww.webofscience.com%2Fwos%2Fwoscc%2Ffull-record%2FWOS:000275770700005","View Full Record in Web of Science")</f>
        <v>View Full Record in Web of Science</v>
      </c>
    </row>
    <row r="510" spans="1:72" x14ac:dyDescent="0.15">
      <c r="A510" t="s">
        <v>72</v>
      </c>
      <c r="B510" t="s">
        <v>9561</v>
      </c>
      <c r="C510" t="s">
        <v>74</v>
      </c>
      <c r="D510" t="s">
        <v>74</v>
      </c>
      <c r="E510" t="s">
        <v>74</v>
      </c>
      <c r="F510" t="s">
        <v>9562</v>
      </c>
      <c r="G510" t="s">
        <v>74</v>
      </c>
      <c r="H510" t="s">
        <v>74</v>
      </c>
      <c r="I510" t="s">
        <v>9563</v>
      </c>
      <c r="J510" t="s">
        <v>9564</v>
      </c>
      <c r="K510" t="s">
        <v>74</v>
      </c>
      <c r="L510" t="s">
        <v>74</v>
      </c>
      <c r="M510" t="s">
        <v>78</v>
      </c>
      <c r="N510" t="s">
        <v>79</v>
      </c>
      <c r="O510" t="s">
        <v>74</v>
      </c>
      <c r="P510" t="s">
        <v>74</v>
      </c>
      <c r="Q510" t="s">
        <v>74</v>
      </c>
      <c r="R510" t="s">
        <v>74</v>
      </c>
      <c r="S510" t="s">
        <v>74</v>
      </c>
      <c r="T510" t="s">
        <v>9565</v>
      </c>
      <c r="U510" t="s">
        <v>9566</v>
      </c>
      <c r="V510" t="s">
        <v>9567</v>
      </c>
      <c r="W510" t="s">
        <v>9568</v>
      </c>
      <c r="X510" t="s">
        <v>9569</v>
      </c>
      <c r="Y510" t="s">
        <v>9570</v>
      </c>
      <c r="Z510" t="s">
        <v>9571</v>
      </c>
      <c r="AA510" t="s">
        <v>74</v>
      </c>
      <c r="AB510" t="s">
        <v>74</v>
      </c>
      <c r="AC510" t="s">
        <v>9572</v>
      </c>
      <c r="AD510" t="s">
        <v>9573</v>
      </c>
      <c r="AE510" t="s">
        <v>9574</v>
      </c>
      <c r="AF510" t="s">
        <v>74</v>
      </c>
      <c r="AG510">
        <v>46</v>
      </c>
      <c r="AH510">
        <v>12</v>
      </c>
      <c r="AI510">
        <v>14</v>
      </c>
      <c r="AJ510">
        <v>0</v>
      </c>
      <c r="AK510">
        <v>11</v>
      </c>
      <c r="AL510" t="s">
        <v>9575</v>
      </c>
      <c r="AM510" t="s">
        <v>9576</v>
      </c>
      <c r="AN510" t="s">
        <v>9577</v>
      </c>
      <c r="AO510" t="s">
        <v>9578</v>
      </c>
      <c r="AP510" t="s">
        <v>74</v>
      </c>
      <c r="AQ510" t="s">
        <v>74</v>
      </c>
      <c r="AR510" t="s">
        <v>9579</v>
      </c>
      <c r="AS510" t="s">
        <v>9580</v>
      </c>
      <c r="AT510" t="s">
        <v>74</v>
      </c>
      <c r="AU510">
        <v>2010</v>
      </c>
      <c r="AV510">
        <v>36</v>
      </c>
      <c r="AW510">
        <v>3</v>
      </c>
      <c r="AX510" t="s">
        <v>74</v>
      </c>
      <c r="AY510" t="s">
        <v>74</v>
      </c>
      <c r="AZ510" t="s">
        <v>74</v>
      </c>
      <c r="BA510" t="s">
        <v>74</v>
      </c>
      <c r="BB510">
        <v>262</v>
      </c>
      <c r="BC510">
        <v>269</v>
      </c>
      <c r="BD510" t="s">
        <v>74</v>
      </c>
      <c r="BE510" t="s">
        <v>9581</v>
      </c>
      <c r="BF510" t="str">
        <f>HYPERLINK("http://dx.doi.org/10.1578/AM.36.3.2010.262","http://dx.doi.org/10.1578/AM.36.3.2010.262")</f>
        <v>http://dx.doi.org/10.1578/AM.36.3.2010.262</v>
      </c>
      <c r="BG510" t="s">
        <v>74</v>
      </c>
      <c r="BH510" t="s">
        <v>74</v>
      </c>
      <c r="BI510">
        <v>8</v>
      </c>
      <c r="BJ510" t="s">
        <v>2318</v>
      </c>
      <c r="BK510" t="s">
        <v>102</v>
      </c>
      <c r="BL510" t="s">
        <v>2318</v>
      </c>
      <c r="BM510" t="s">
        <v>9582</v>
      </c>
      <c r="BN510" t="s">
        <v>74</v>
      </c>
      <c r="BO510" t="s">
        <v>74</v>
      </c>
      <c r="BP510" t="s">
        <v>74</v>
      </c>
      <c r="BQ510" t="s">
        <v>74</v>
      </c>
      <c r="BR510" t="s">
        <v>105</v>
      </c>
      <c r="BS510" t="s">
        <v>9583</v>
      </c>
      <c r="BT510" t="str">
        <f>HYPERLINK("https%3A%2F%2Fwww.webofscience.com%2Fwos%2Fwoscc%2Ffull-record%2FWOS:000283452500005","View Full Record in Web of Science")</f>
        <v>View Full Record in Web of Science</v>
      </c>
    </row>
    <row r="511" spans="1:72" x14ac:dyDescent="0.15">
      <c r="A511" t="s">
        <v>72</v>
      </c>
      <c r="B511" t="s">
        <v>9584</v>
      </c>
      <c r="C511" t="s">
        <v>74</v>
      </c>
      <c r="D511" t="s">
        <v>74</v>
      </c>
      <c r="E511" t="s">
        <v>74</v>
      </c>
      <c r="F511" t="s">
        <v>9585</v>
      </c>
      <c r="G511" t="s">
        <v>74</v>
      </c>
      <c r="H511" t="s">
        <v>74</v>
      </c>
      <c r="I511" t="s">
        <v>9586</v>
      </c>
      <c r="J511" t="s">
        <v>9587</v>
      </c>
      <c r="K511" t="s">
        <v>74</v>
      </c>
      <c r="L511" t="s">
        <v>74</v>
      </c>
      <c r="M511" t="s">
        <v>78</v>
      </c>
      <c r="N511" t="s">
        <v>79</v>
      </c>
      <c r="O511" t="s">
        <v>74</v>
      </c>
      <c r="P511" t="s">
        <v>74</v>
      </c>
      <c r="Q511" t="s">
        <v>74</v>
      </c>
      <c r="R511" t="s">
        <v>74</v>
      </c>
      <c r="S511" t="s">
        <v>74</v>
      </c>
      <c r="T511" t="s">
        <v>9588</v>
      </c>
      <c r="U511" t="s">
        <v>9589</v>
      </c>
      <c r="V511" t="s">
        <v>9590</v>
      </c>
      <c r="W511" t="s">
        <v>9591</v>
      </c>
      <c r="X511" t="s">
        <v>9592</v>
      </c>
      <c r="Y511" t="s">
        <v>9593</v>
      </c>
      <c r="Z511" t="s">
        <v>9594</v>
      </c>
      <c r="AA511" t="s">
        <v>9595</v>
      </c>
      <c r="AB511" t="s">
        <v>9596</v>
      </c>
      <c r="AC511" t="s">
        <v>9597</v>
      </c>
      <c r="AD511" t="s">
        <v>9598</v>
      </c>
      <c r="AE511" t="s">
        <v>9599</v>
      </c>
      <c r="AF511" t="s">
        <v>74</v>
      </c>
      <c r="AG511">
        <v>32</v>
      </c>
      <c r="AH511">
        <v>11</v>
      </c>
      <c r="AI511">
        <v>11</v>
      </c>
      <c r="AJ511">
        <v>2</v>
      </c>
      <c r="AK511">
        <v>20</v>
      </c>
      <c r="AL511" t="s">
        <v>5648</v>
      </c>
      <c r="AM511" t="s">
        <v>5649</v>
      </c>
      <c r="AN511" t="s">
        <v>5650</v>
      </c>
      <c r="AO511" t="s">
        <v>9600</v>
      </c>
      <c r="AP511" t="s">
        <v>74</v>
      </c>
      <c r="AQ511" t="s">
        <v>74</v>
      </c>
      <c r="AR511" t="s">
        <v>9601</v>
      </c>
      <c r="AS511" t="s">
        <v>9602</v>
      </c>
      <c r="AT511" t="s">
        <v>74</v>
      </c>
      <c r="AU511">
        <v>2010</v>
      </c>
      <c r="AV511">
        <v>61</v>
      </c>
      <c r="AW511">
        <v>2</v>
      </c>
      <c r="AX511" t="s">
        <v>74</v>
      </c>
      <c r="AY511" t="s">
        <v>74</v>
      </c>
      <c r="AZ511" t="s">
        <v>74</v>
      </c>
      <c r="BA511" t="s">
        <v>74</v>
      </c>
      <c r="BB511">
        <v>119</v>
      </c>
      <c r="BC511">
        <v>127</v>
      </c>
      <c r="BD511" t="s">
        <v>74</v>
      </c>
      <c r="BE511" t="s">
        <v>9603</v>
      </c>
      <c r="BF511" t="str">
        <f>HYPERLINK("http://dx.doi.org/10.3354/ame01441","http://dx.doi.org/10.3354/ame01441")</f>
        <v>http://dx.doi.org/10.3354/ame01441</v>
      </c>
      <c r="BG511" t="s">
        <v>74</v>
      </c>
      <c r="BH511" t="s">
        <v>74</v>
      </c>
      <c r="BI511">
        <v>9</v>
      </c>
      <c r="BJ511" t="s">
        <v>2374</v>
      </c>
      <c r="BK511" t="s">
        <v>102</v>
      </c>
      <c r="BL511" t="s">
        <v>2375</v>
      </c>
      <c r="BM511" t="s">
        <v>9604</v>
      </c>
      <c r="BN511" t="s">
        <v>74</v>
      </c>
      <c r="BO511" t="s">
        <v>104</v>
      </c>
      <c r="BP511" t="s">
        <v>74</v>
      </c>
      <c r="BQ511" t="s">
        <v>74</v>
      </c>
      <c r="BR511" t="s">
        <v>105</v>
      </c>
      <c r="BS511" t="s">
        <v>9605</v>
      </c>
      <c r="BT511" t="str">
        <f>HYPERLINK("https%3A%2F%2Fwww.webofscience.com%2Fwos%2Fwoscc%2Ffull-record%2FWOS:000284005000002","View Full Record in Web of Science")</f>
        <v>View Full Record in Web of Science</v>
      </c>
    </row>
    <row r="512" spans="1:72" x14ac:dyDescent="0.15">
      <c r="A512" t="s">
        <v>72</v>
      </c>
      <c r="B512" t="s">
        <v>9606</v>
      </c>
      <c r="C512" t="s">
        <v>74</v>
      </c>
      <c r="D512" t="s">
        <v>74</v>
      </c>
      <c r="E512" t="s">
        <v>74</v>
      </c>
      <c r="F512" t="s">
        <v>9607</v>
      </c>
      <c r="G512" t="s">
        <v>74</v>
      </c>
      <c r="H512" t="s">
        <v>74</v>
      </c>
      <c r="I512" t="s">
        <v>9608</v>
      </c>
      <c r="J512" t="s">
        <v>9587</v>
      </c>
      <c r="K512" t="s">
        <v>74</v>
      </c>
      <c r="L512" t="s">
        <v>74</v>
      </c>
      <c r="M512" t="s">
        <v>78</v>
      </c>
      <c r="N512" t="s">
        <v>79</v>
      </c>
      <c r="O512" t="s">
        <v>74</v>
      </c>
      <c r="P512" t="s">
        <v>74</v>
      </c>
      <c r="Q512" t="s">
        <v>74</v>
      </c>
      <c r="R512" t="s">
        <v>74</v>
      </c>
      <c r="S512" t="s">
        <v>74</v>
      </c>
      <c r="T512" t="s">
        <v>9609</v>
      </c>
      <c r="U512" t="s">
        <v>9610</v>
      </c>
      <c r="V512" t="s">
        <v>9611</v>
      </c>
      <c r="W512" t="s">
        <v>9612</v>
      </c>
      <c r="X512" t="s">
        <v>9613</v>
      </c>
      <c r="Y512" t="s">
        <v>9614</v>
      </c>
      <c r="Z512" t="s">
        <v>9615</v>
      </c>
      <c r="AA512" t="s">
        <v>9616</v>
      </c>
      <c r="AB512" t="s">
        <v>9617</v>
      </c>
      <c r="AC512" t="s">
        <v>9618</v>
      </c>
      <c r="AD512" t="s">
        <v>9619</v>
      </c>
      <c r="AE512" t="s">
        <v>9620</v>
      </c>
      <c r="AF512" t="s">
        <v>74</v>
      </c>
      <c r="AG512">
        <v>71</v>
      </c>
      <c r="AH512">
        <v>25</v>
      </c>
      <c r="AI512">
        <v>27</v>
      </c>
      <c r="AJ512">
        <v>1</v>
      </c>
      <c r="AK512">
        <v>53</v>
      </c>
      <c r="AL512" t="s">
        <v>5648</v>
      </c>
      <c r="AM512" t="s">
        <v>5649</v>
      </c>
      <c r="AN512" t="s">
        <v>5650</v>
      </c>
      <c r="AO512" t="s">
        <v>9600</v>
      </c>
      <c r="AP512" t="s">
        <v>9621</v>
      </c>
      <c r="AQ512" t="s">
        <v>74</v>
      </c>
      <c r="AR512" t="s">
        <v>9601</v>
      </c>
      <c r="AS512" t="s">
        <v>9602</v>
      </c>
      <c r="AT512" t="s">
        <v>74</v>
      </c>
      <c r="AU512">
        <v>2010</v>
      </c>
      <c r="AV512">
        <v>59</v>
      </c>
      <c r="AW512">
        <v>1</v>
      </c>
      <c r="AX512" t="s">
        <v>74</v>
      </c>
      <c r="AY512" t="s">
        <v>74</v>
      </c>
      <c r="AZ512" t="s">
        <v>74</v>
      </c>
      <c r="BA512" t="s">
        <v>74</v>
      </c>
      <c r="BB512">
        <v>11</v>
      </c>
      <c r="BC512">
        <v>24</v>
      </c>
      <c r="BD512" t="s">
        <v>74</v>
      </c>
      <c r="BE512" t="s">
        <v>9622</v>
      </c>
      <c r="BF512" t="str">
        <f>HYPERLINK("http://dx.doi.org/10.3354/ame01378","http://dx.doi.org/10.3354/ame01378")</f>
        <v>http://dx.doi.org/10.3354/ame01378</v>
      </c>
      <c r="BG512" t="s">
        <v>74</v>
      </c>
      <c r="BH512" t="s">
        <v>74</v>
      </c>
      <c r="BI512">
        <v>14</v>
      </c>
      <c r="BJ512" t="s">
        <v>2374</v>
      </c>
      <c r="BK512" t="s">
        <v>102</v>
      </c>
      <c r="BL512" t="s">
        <v>2375</v>
      </c>
      <c r="BM512" t="s">
        <v>9623</v>
      </c>
      <c r="BN512" t="s">
        <v>74</v>
      </c>
      <c r="BO512" t="s">
        <v>9624</v>
      </c>
      <c r="BP512" t="s">
        <v>74</v>
      </c>
      <c r="BQ512" t="s">
        <v>74</v>
      </c>
      <c r="BR512" t="s">
        <v>105</v>
      </c>
      <c r="BS512" t="s">
        <v>9625</v>
      </c>
      <c r="BT512" t="str">
        <f>HYPERLINK("https%3A%2F%2Fwww.webofscience.com%2Fwos%2Fwoscc%2Ffull-record%2FWOS:000277054100002","View Full Record in Web of Science")</f>
        <v>View Full Record in Web of Science</v>
      </c>
    </row>
    <row r="513" spans="1:72" x14ac:dyDescent="0.15">
      <c r="A513" t="s">
        <v>72</v>
      </c>
      <c r="B513" t="s">
        <v>9626</v>
      </c>
      <c r="C513" t="s">
        <v>74</v>
      </c>
      <c r="D513" t="s">
        <v>74</v>
      </c>
      <c r="E513" t="s">
        <v>74</v>
      </c>
      <c r="F513" t="s">
        <v>9627</v>
      </c>
      <c r="G513" t="s">
        <v>74</v>
      </c>
      <c r="H513" t="s">
        <v>74</v>
      </c>
      <c r="I513" t="s">
        <v>9628</v>
      </c>
      <c r="J513" t="s">
        <v>9587</v>
      </c>
      <c r="K513" t="s">
        <v>74</v>
      </c>
      <c r="L513" t="s">
        <v>74</v>
      </c>
      <c r="M513" t="s">
        <v>78</v>
      </c>
      <c r="N513" t="s">
        <v>79</v>
      </c>
      <c r="O513" t="s">
        <v>74</v>
      </c>
      <c r="P513" t="s">
        <v>74</v>
      </c>
      <c r="Q513" t="s">
        <v>74</v>
      </c>
      <c r="R513" t="s">
        <v>74</v>
      </c>
      <c r="S513" t="s">
        <v>74</v>
      </c>
      <c r="T513" t="s">
        <v>9629</v>
      </c>
      <c r="U513" t="s">
        <v>9630</v>
      </c>
      <c r="V513" t="s">
        <v>9631</v>
      </c>
      <c r="W513" t="s">
        <v>9632</v>
      </c>
      <c r="X513" t="s">
        <v>9633</v>
      </c>
      <c r="Y513" t="s">
        <v>9634</v>
      </c>
      <c r="Z513" t="s">
        <v>9635</v>
      </c>
      <c r="AA513" t="s">
        <v>9636</v>
      </c>
      <c r="AB513" t="s">
        <v>9637</v>
      </c>
      <c r="AC513" t="s">
        <v>9638</v>
      </c>
      <c r="AD513" t="s">
        <v>9639</v>
      </c>
      <c r="AE513" t="s">
        <v>9640</v>
      </c>
      <c r="AF513" t="s">
        <v>74</v>
      </c>
      <c r="AG513">
        <v>31</v>
      </c>
      <c r="AH513">
        <v>18</v>
      </c>
      <c r="AI513">
        <v>24</v>
      </c>
      <c r="AJ513">
        <v>2</v>
      </c>
      <c r="AK513">
        <v>24</v>
      </c>
      <c r="AL513" t="s">
        <v>5648</v>
      </c>
      <c r="AM513" t="s">
        <v>5649</v>
      </c>
      <c r="AN513" t="s">
        <v>5650</v>
      </c>
      <c r="AO513" t="s">
        <v>9600</v>
      </c>
      <c r="AP513" t="s">
        <v>74</v>
      </c>
      <c r="AQ513" t="s">
        <v>74</v>
      </c>
      <c r="AR513" t="s">
        <v>9601</v>
      </c>
      <c r="AS513" t="s">
        <v>9602</v>
      </c>
      <c r="AT513" t="s">
        <v>74</v>
      </c>
      <c r="AU513">
        <v>2010</v>
      </c>
      <c r="AV513">
        <v>59</v>
      </c>
      <c r="AW513">
        <v>2</v>
      </c>
      <c r="AX513" t="s">
        <v>74</v>
      </c>
      <c r="AY513" t="s">
        <v>74</v>
      </c>
      <c r="AZ513" t="s">
        <v>74</v>
      </c>
      <c r="BA513" t="s">
        <v>74</v>
      </c>
      <c r="BB513">
        <v>151</v>
      </c>
      <c r="BC513">
        <v>160</v>
      </c>
      <c r="BD513" t="s">
        <v>74</v>
      </c>
      <c r="BE513" t="s">
        <v>9641</v>
      </c>
      <c r="BF513" t="str">
        <f>HYPERLINK("http://dx.doi.org/10.3354/ame01392","http://dx.doi.org/10.3354/ame01392")</f>
        <v>http://dx.doi.org/10.3354/ame01392</v>
      </c>
      <c r="BG513" t="s">
        <v>74</v>
      </c>
      <c r="BH513" t="s">
        <v>74</v>
      </c>
      <c r="BI513">
        <v>10</v>
      </c>
      <c r="BJ513" t="s">
        <v>2374</v>
      </c>
      <c r="BK513" t="s">
        <v>102</v>
      </c>
      <c r="BL513" t="s">
        <v>2375</v>
      </c>
      <c r="BM513" t="s">
        <v>9642</v>
      </c>
      <c r="BN513" t="s">
        <v>74</v>
      </c>
      <c r="BO513" t="s">
        <v>1807</v>
      </c>
      <c r="BP513" t="s">
        <v>74</v>
      </c>
      <c r="BQ513" t="s">
        <v>74</v>
      </c>
      <c r="BR513" t="s">
        <v>105</v>
      </c>
      <c r="BS513" t="s">
        <v>9643</v>
      </c>
      <c r="BT513" t="str">
        <f>HYPERLINK("https%3A%2F%2Fwww.webofscience.com%2Fwos%2Fwoscc%2Ffull-record%2FWOS:000277253400004","View Full Record in Web of Science")</f>
        <v>View Full Record in Web of Science</v>
      </c>
    </row>
    <row r="514" spans="1:72" x14ac:dyDescent="0.15">
      <c r="A514" t="s">
        <v>8563</v>
      </c>
      <c r="B514" t="s">
        <v>9644</v>
      </c>
      <c r="C514" t="s">
        <v>9644</v>
      </c>
      <c r="D514" t="s">
        <v>74</v>
      </c>
      <c r="E514" t="s">
        <v>74</v>
      </c>
      <c r="F514" t="s">
        <v>9645</v>
      </c>
      <c r="G514" t="s">
        <v>9644</v>
      </c>
      <c r="H514" t="s">
        <v>74</v>
      </c>
      <c r="I514" t="s">
        <v>9646</v>
      </c>
      <c r="J514" t="s">
        <v>9647</v>
      </c>
      <c r="K514" t="s">
        <v>74</v>
      </c>
      <c r="L514" t="s">
        <v>74</v>
      </c>
      <c r="M514" t="s">
        <v>78</v>
      </c>
      <c r="N514" t="s">
        <v>8859</v>
      </c>
      <c r="O514" t="s">
        <v>74</v>
      </c>
      <c r="P514" t="s">
        <v>74</v>
      </c>
      <c r="Q514" t="s">
        <v>74</v>
      </c>
      <c r="R514" t="s">
        <v>74</v>
      </c>
      <c r="S514" t="s">
        <v>74</v>
      </c>
      <c r="T514" t="s">
        <v>74</v>
      </c>
      <c r="U514" t="s">
        <v>9648</v>
      </c>
      <c r="V514" t="s">
        <v>74</v>
      </c>
      <c r="W514" t="s">
        <v>9649</v>
      </c>
      <c r="X514" t="s">
        <v>5330</v>
      </c>
      <c r="Y514" t="s">
        <v>9650</v>
      </c>
      <c r="Z514" t="s">
        <v>74</v>
      </c>
      <c r="AA514" t="s">
        <v>74</v>
      </c>
      <c r="AB514" t="s">
        <v>74</v>
      </c>
      <c r="AC514" t="s">
        <v>74</v>
      </c>
      <c r="AD514" t="s">
        <v>74</v>
      </c>
      <c r="AE514" t="s">
        <v>74</v>
      </c>
      <c r="AF514" t="s">
        <v>74</v>
      </c>
      <c r="AG514">
        <v>548</v>
      </c>
      <c r="AH514">
        <v>0</v>
      </c>
      <c r="AI514">
        <v>0</v>
      </c>
      <c r="AJ514">
        <v>0</v>
      </c>
      <c r="AK514">
        <v>8</v>
      </c>
      <c r="AL514" t="s">
        <v>9651</v>
      </c>
      <c r="AM514" t="s">
        <v>9652</v>
      </c>
      <c r="AN514" t="s">
        <v>9653</v>
      </c>
      <c r="AO514" t="s">
        <v>74</v>
      </c>
      <c r="AP514" t="s">
        <v>74</v>
      </c>
      <c r="AQ514" t="s">
        <v>9654</v>
      </c>
      <c r="AR514" t="s">
        <v>74</v>
      </c>
      <c r="AS514" t="s">
        <v>74</v>
      </c>
      <c r="AT514" t="s">
        <v>74</v>
      </c>
      <c r="AU514">
        <v>2010</v>
      </c>
      <c r="AV514" t="s">
        <v>74</v>
      </c>
      <c r="AW514" t="s">
        <v>74</v>
      </c>
      <c r="AX514" t="s">
        <v>74</v>
      </c>
      <c r="AY514" t="s">
        <v>74</v>
      </c>
      <c r="AZ514" t="s">
        <v>74</v>
      </c>
      <c r="BA514" t="s">
        <v>74</v>
      </c>
      <c r="BB514">
        <v>1</v>
      </c>
      <c r="BC514" t="s">
        <v>1802</v>
      </c>
      <c r="BD514" t="s">
        <v>74</v>
      </c>
      <c r="BE514" t="s">
        <v>74</v>
      </c>
      <c r="BF514" t="s">
        <v>74</v>
      </c>
      <c r="BG514" t="s">
        <v>74</v>
      </c>
      <c r="BH514" t="s">
        <v>74</v>
      </c>
      <c r="BI514">
        <v>71</v>
      </c>
      <c r="BJ514" t="s">
        <v>258</v>
      </c>
      <c r="BK514" t="s">
        <v>8579</v>
      </c>
      <c r="BL514" t="s">
        <v>258</v>
      </c>
      <c r="BM514" t="s">
        <v>9655</v>
      </c>
      <c r="BN514" t="s">
        <v>74</v>
      </c>
      <c r="BO514" t="s">
        <v>74</v>
      </c>
      <c r="BP514" t="s">
        <v>74</v>
      </c>
      <c r="BQ514" t="s">
        <v>74</v>
      </c>
      <c r="BR514" t="s">
        <v>105</v>
      </c>
      <c r="BS514" t="s">
        <v>9656</v>
      </c>
      <c r="BT514" t="str">
        <f>HYPERLINK("https%3A%2F%2Fwww.webofscience.com%2Fwos%2Fwoscc%2Ffull-record%2FWOS:000275953100001","View Full Record in Web of Science")</f>
        <v>View Full Record in Web of Science</v>
      </c>
    </row>
    <row r="515" spans="1:72" x14ac:dyDescent="0.15">
      <c r="A515" t="s">
        <v>8563</v>
      </c>
      <c r="B515" t="s">
        <v>9657</v>
      </c>
      <c r="C515" t="s">
        <v>9658</v>
      </c>
      <c r="D515" t="s">
        <v>74</v>
      </c>
      <c r="E515" t="s">
        <v>74</v>
      </c>
      <c r="F515" t="s">
        <v>9659</v>
      </c>
      <c r="G515" t="s">
        <v>9658</v>
      </c>
      <c r="H515" t="s">
        <v>74</v>
      </c>
      <c r="I515" t="s">
        <v>9660</v>
      </c>
      <c r="J515" t="s">
        <v>9661</v>
      </c>
      <c r="K515" t="s">
        <v>9662</v>
      </c>
      <c r="L515" t="s">
        <v>74</v>
      </c>
      <c r="M515" t="s">
        <v>78</v>
      </c>
      <c r="N515" t="s">
        <v>8859</v>
      </c>
      <c r="O515" t="s">
        <v>74</v>
      </c>
      <c r="P515" t="s">
        <v>74</v>
      </c>
      <c r="Q515" t="s">
        <v>74</v>
      </c>
      <c r="R515" t="s">
        <v>74</v>
      </c>
      <c r="S515" t="s">
        <v>74</v>
      </c>
      <c r="T515" t="s">
        <v>9663</v>
      </c>
      <c r="U515" t="s">
        <v>9664</v>
      </c>
      <c r="V515" t="s">
        <v>9665</v>
      </c>
      <c r="W515" t="s">
        <v>9666</v>
      </c>
      <c r="X515" t="s">
        <v>9667</v>
      </c>
      <c r="Y515" t="s">
        <v>9668</v>
      </c>
      <c r="Z515" t="s">
        <v>9669</v>
      </c>
      <c r="AA515" t="s">
        <v>9670</v>
      </c>
      <c r="AB515" t="s">
        <v>9671</v>
      </c>
      <c r="AC515" t="s">
        <v>74</v>
      </c>
      <c r="AD515" t="s">
        <v>74</v>
      </c>
      <c r="AE515" t="s">
        <v>74</v>
      </c>
      <c r="AF515" t="s">
        <v>74</v>
      </c>
      <c r="AG515">
        <v>25</v>
      </c>
      <c r="AH515">
        <v>6</v>
      </c>
      <c r="AI515">
        <v>6</v>
      </c>
      <c r="AJ515">
        <v>0</v>
      </c>
      <c r="AK515">
        <v>24</v>
      </c>
      <c r="AL515" t="s">
        <v>9400</v>
      </c>
      <c r="AM515" t="s">
        <v>9401</v>
      </c>
      <c r="AN515" t="s">
        <v>9402</v>
      </c>
      <c r="AO515" t="s">
        <v>74</v>
      </c>
      <c r="AP515" t="s">
        <v>74</v>
      </c>
      <c r="AQ515" t="s">
        <v>9672</v>
      </c>
      <c r="AR515" t="s">
        <v>9673</v>
      </c>
      <c r="AS515" t="s">
        <v>74</v>
      </c>
      <c r="AT515" t="s">
        <v>74</v>
      </c>
      <c r="AU515">
        <v>2010</v>
      </c>
      <c r="AV515" t="s">
        <v>74</v>
      </c>
      <c r="AW515" t="s">
        <v>74</v>
      </c>
      <c r="AX515" t="s">
        <v>74</v>
      </c>
      <c r="AY515" t="s">
        <v>74</v>
      </c>
      <c r="AZ515" t="s">
        <v>74</v>
      </c>
      <c r="BA515" t="s">
        <v>74</v>
      </c>
      <c r="BB515">
        <v>81</v>
      </c>
      <c r="BC515">
        <v>95</v>
      </c>
      <c r="BD515" t="s">
        <v>74</v>
      </c>
      <c r="BE515" t="s">
        <v>74</v>
      </c>
      <c r="BF515" t="s">
        <v>74</v>
      </c>
      <c r="BG515" t="s">
        <v>74</v>
      </c>
      <c r="BH515" t="s">
        <v>74</v>
      </c>
      <c r="BI515">
        <v>15</v>
      </c>
      <c r="BJ515" t="s">
        <v>478</v>
      </c>
      <c r="BK515" t="s">
        <v>8579</v>
      </c>
      <c r="BL515" t="s">
        <v>478</v>
      </c>
      <c r="BM515" t="s">
        <v>9674</v>
      </c>
      <c r="BN515" t="s">
        <v>74</v>
      </c>
      <c r="BO515" t="s">
        <v>74</v>
      </c>
      <c r="BP515" t="s">
        <v>74</v>
      </c>
      <c r="BQ515" t="s">
        <v>74</v>
      </c>
      <c r="BR515" t="s">
        <v>105</v>
      </c>
      <c r="BS515" t="s">
        <v>9675</v>
      </c>
      <c r="BT515" t="str">
        <f>HYPERLINK("https%3A%2F%2Fwww.webofscience.com%2Fwos%2Fwoscc%2Ffull-record%2FWOS:000279874100004","View Full Record in Web of Science")</f>
        <v>View Full Record in Web of Science</v>
      </c>
    </row>
    <row r="516" spans="1:72" x14ac:dyDescent="0.15">
      <c r="A516" t="s">
        <v>8257</v>
      </c>
      <c r="B516" t="s">
        <v>9676</v>
      </c>
      <c r="C516" t="s">
        <v>74</v>
      </c>
      <c r="D516" t="s">
        <v>9677</v>
      </c>
      <c r="E516" t="s">
        <v>74</v>
      </c>
      <c r="F516" t="s">
        <v>9678</v>
      </c>
      <c r="G516" t="s">
        <v>74</v>
      </c>
      <c r="H516" t="s">
        <v>74</v>
      </c>
      <c r="I516" t="s">
        <v>9679</v>
      </c>
      <c r="J516" t="s">
        <v>9680</v>
      </c>
      <c r="K516" t="s">
        <v>9681</v>
      </c>
      <c r="L516" t="s">
        <v>74</v>
      </c>
      <c r="M516" t="s">
        <v>78</v>
      </c>
      <c r="N516" t="s">
        <v>8264</v>
      </c>
      <c r="O516" t="s">
        <v>9682</v>
      </c>
      <c r="P516" t="s">
        <v>9683</v>
      </c>
      <c r="Q516" t="s">
        <v>9684</v>
      </c>
      <c r="R516" t="s">
        <v>74</v>
      </c>
      <c r="S516" t="s">
        <v>74</v>
      </c>
      <c r="T516" t="s">
        <v>74</v>
      </c>
      <c r="U516" t="s">
        <v>74</v>
      </c>
      <c r="V516" t="s">
        <v>9685</v>
      </c>
      <c r="W516" t="s">
        <v>9686</v>
      </c>
      <c r="X516" t="s">
        <v>9687</v>
      </c>
      <c r="Y516" t="s">
        <v>9688</v>
      </c>
      <c r="Z516" t="s">
        <v>74</v>
      </c>
      <c r="AA516" t="s">
        <v>9689</v>
      </c>
      <c r="AB516" t="s">
        <v>9690</v>
      </c>
      <c r="AC516" t="s">
        <v>74</v>
      </c>
      <c r="AD516" t="s">
        <v>74</v>
      </c>
      <c r="AE516" t="s">
        <v>74</v>
      </c>
      <c r="AF516" t="s">
        <v>74</v>
      </c>
      <c r="AG516">
        <v>2</v>
      </c>
      <c r="AH516">
        <v>1</v>
      </c>
      <c r="AI516">
        <v>1</v>
      </c>
      <c r="AJ516">
        <v>0</v>
      </c>
      <c r="AK516">
        <v>0</v>
      </c>
      <c r="AL516" t="s">
        <v>9691</v>
      </c>
      <c r="AM516" t="s">
        <v>382</v>
      </c>
      <c r="AN516" t="s">
        <v>9692</v>
      </c>
      <c r="AO516" t="s">
        <v>74</v>
      </c>
      <c r="AP516" t="s">
        <v>74</v>
      </c>
      <c r="AQ516" t="s">
        <v>9693</v>
      </c>
      <c r="AR516" t="s">
        <v>9694</v>
      </c>
      <c r="AS516" t="s">
        <v>74</v>
      </c>
      <c r="AT516" t="s">
        <v>74</v>
      </c>
      <c r="AU516">
        <v>2010</v>
      </c>
      <c r="AV516">
        <v>434</v>
      </c>
      <c r="AW516" t="s">
        <v>74</v>
      </c>
      <c r="AX516" t="s">
        <v>74</v>
      </c>
      <c r="AY516" t="s">
        <v>74</v>
      </c>
      <c r="AZ516" t="s">
        <v>74</v>
      </c>
      <c r="BA516" t="s">
        <v>74</v>
      </c>
      <c r="BB516">
        <v>175</v>
      </c>
      <c r="BC516">
        <v>178</v>
      </c>
      <c r="BD516" t="s">
        <v>74</v>
      </c>
      <c r="BE516" t="s">
        <v>74</v>
      </c>
      <c r="BF516" t="s">
        <v>74</v>
      </c>
      <c r="BG516" t="s">
        <v>74</v>
      </c>
      <c r="BH516" t="s">
        <v>74</v>
      </c>
      <c r="BI516">
        <v>4</v>
      </c>
      <c r="BJ516" t="s">
        <v>9695</v>
      </c>
      <c r="BK516" t="s">
        <v>8281</v>
      </c>
      <c r="BL516" t="s">
        <v>9696</v>
      </c>
      <c r="BM516" t="s">
        <v>9697</v>
      </c>
      <c r="BN516" t="s">
        <v>74</v>
      </c>
      <c r="BO516" t="s">
        <v>74</v>
      </c>
      <c r="BP516" t="s">
        <v>74</v>
      </c>
      <c r="BQ516" t="s">
        <v>74</v>
      </c>
      <c r="BR516" t="s">
        <v>105</v>
      </c>
      <c r="BS516" t="s">
        <v>9698</v>
      </c>
      <c r="BT516" t="str">
        <f>HYPERLINK("https%3A%2F%2Fwww.webofscience.com%2Fwos%2Fwoscc%2Ffull-record%2FWOS:000290361300033","View Full Record in Web of Science")</f>
        <v>View Full Record in Web of Science</v>
      </c>
    </row>
    <row r="517" spans="1:72" x14ac:dyDescent="0.15">
      <c r="A517" t="s">
        <v>8257</v>
      </c>
      <c r="B517" t="s">
        <v>9699</v>
      </c>
      <c r="C517" t="s">
        <v>74</v>
      </c>
      <c r="D517" t="s">
        <v>9700</v>
      </c>
      <c r="E517" t="s">
        <v>74</v>
      </c>
      <c r="F517" t="s">
        <v>9701</v>
      </c>
      <c r="G517" t="s">
        <v>74</v>
      </c>
      <c r="H517" t="s">
        <v>74</v>
      </c>
      <c r="I517" t="s">
        <v>9702</v>
      </c>
      <c r="J517" t="s">
        <v>9703</v>
      </c>
      <c r="K517" t="s">
        <v>9704</v>
      </c>
      <c r="L517" t="s">
        <v>74</v>
      </c>
      <c r="M517" t="s">
        <v>78</v>
      </c>
      <c r="N517" t="s">
        <v>8264</v>
      </c>
      <c r="O517" t="s">
        <v>9705</v>
      </c>
      <c r="P517" t="s">
        <v>9706</v>
      </c>
      <c r="Q517" t="s">
        <v>9707</v>
      </c>
      <c r="R517" t="s">
        <v>74</v>
      </c>
      <c r="S517" t="s">
        <v>74</v>
      </c>
      <c r="T517" t="s">
        <v>9708</v>
      </c>
      <c r="U517" t="s">
        <v>9709</v>
      </c>
      <c r="V517" t="s">
        <v>9710</v>
      </c>
      <c r="W517" t="s">
        <v>9711</v>
      </c>
      <c r="X517" t="s">
        <v>5544</v>
      </c>
      <c r="Y517" t="s">
        <v>9712</v>
      </c>
      <c r="Z517" t="s">
        <v>74</v>
      </c>
      <c r="AA517" t="s">
        <v>9713</v>
      </c>
      <c r="AB517" t="s">
        <v>9714</v>
      </c>
      <c r="AC517" t="s">
        <v>9715</v>
      </c>
      <c r="AD517" t="s">
        <v>9715</v>
      </c>
      <c r="AE517" t="s">
        <v>9716</v>
      </c>
      <c r="AF517" t="s">
        <v>74</v>
      </c>
      <c r="AG517">
        <v>17</v>
      </c>
      <c r="AH517">
        <v>8</v>
      </c>
      <c r="AI517">
        <v>8</v>
      </c>
      <c r="AJ517">
        <v>0</v>
      </c>
      <c r="AK517">
        <v>3</v>
      </c>
      <c r="AL517" t="s">
        <v>8533</v>
      </c>
      <c r="AM517" t="s">
        <v>8534</v>
      </c>
      <c r="AN517" t="s">
        <v>8535</v>
      </c>
      <c r="AO517" t="s">
        <v>8536</v>
      </c>
      <c r="AP517" t="s">
        <v>9717</v>
      </c>
      <c r="AQ517" t="s">
        <v>9718</v>
      </c>
      <c r="AR517" t="s">
        <v>9719</v>
      </c>
      <c r="AS517" t="s">
        <v>74</v>
      </c>
      <c r="AT517" t="s">
        <v>74</v>
      </c>
      <c r="AU517">
        <v>2010</v>
      </c>
      <c r="AV517">
        <v>7811</v>
      </c>
      <c r="AW517" t="s">
        <v>74</v>
      </c>
      <c r="AX517" t="s">
        <v>74</v>
      </c>
      <c r="AY517" t="s">
        <v>74</v>
      </c>
      <c r="AZ517" t="s">
        <v>74</v>
      </c>
      <c r="BA517" t="s">
        <v>74</v>
      </c>
      <c r="BB517" t="s">
        <v>74</v>
      </c>
      <c r="BC517" t="s">
        <v>74</v>
      </c>
      <c r="BD517">
        <v>781106</v>
      </c>
      <c r="BE517" t="s">
        <v>9720</v>
      </c>
      <c r="BF517" t="str">
        <f>HYPERLINK("http://dx.doi.org/10.1117/12.859148","http://dx.doi.org/10.1117/12.859148")</f>
        <v>http://dx.doi.org/10.1117/12.859148</v>
      </c>
      <c r="BG517" t="s">
        <v>74</v>
      </c>
      <c r="BH517" t="s">
        <v>74</v>
      </c>
      <c r="BI517">
        <v>10</v>
      </c>
      <c r="BJ517" t="s">
        <v>9721</v>
      </c>
      <c r="BK517" t="s">
        <v>8281</v>
      </c>
      <c r="BL517" t="s">
        <v>9721</v>
      </c>
      <c r="BM517" t="s">
        <v>9722</v>
      </c>
      <c r="BN517" t="s">
        <v>74</v>
      </c>
      <c r="BO517" t="s">
        <v>74</v>
      </c>
      <c r="BP517" t="s">
        <v>74</v>
      </c>
      <c r="BQ517" t="s">
        <v>74</v>
      </c>
      <c r="BR517" t="s">
        <v>105</v>
      </c>
      <c r="BS517" t="s">
        <v>9723</v>
      </c>
      <c r="BT517" t="str">
        <f>HYPERLINK("https%3A%2F%2Fwww.webofscience.com%2Fwos%2Fwoscc%2Ffull-record%2FWOS:000285830200004","View Full Record in Web of Science")</f>
        <v>View Full Record in Web of Science</v>
      </c>
    </row>
    <row r="518" spans="1:72" x14ac:dyDescent="0.15">
      <c r="A518" t="s">
        <v>72</v>
      </c>
      <c r="B518" t="s">
        <v>9724</v>
      </c>
      <c r="C518" t="s">
        <v>74</v>
      </c>
      <c r="D518" t="s">
        <v>74</v>
      </c>
      <c r="E518" t="s">
        <v>74</v>
      </c>
      <c r="F518" t="s">
        <v>9725</v>
      </c>
      <c r="G518" t="s">
        <v>74</v>
      </c>
      <c r="H518" t="s">
        <v>74</v>
      </c>
      <c r="I518" t="s">
        <v>9726</v>
      </c>
      <c r="J518" t="s">
        <v>9727</v>
      </c>
      <c r="K518" t="s">
        <v>74</v>
      </c>
      <c r="L518" t="s">
        <v>74</v>
      </c>
      <c r="M518" t="s">
        <v>78</v>
      </c>
      <c r="N518" t="s">
        <v>79</v>
      </c>
      <c r="O518" t="s">
        <v>74</v>
      </c>
      <c r="P518" t="s">
        <v>74</v>
      </c>
      <c r="Q518" t="s">
        <v>74</v>
      </c>
      <c r="R518" t="s">
        <v>74</v>
      </c>
      <c r="S518" t="s">
        <v>74</v>
      </c>
      <c r="T518" t="s">
        <v>9728</v>
      </c>
      <c r="U518" t="s">
        <v>9729</v>
      </c>
      <c r="V518" t="s">
        <v>9730</v>
      </c>
      <c r="W518" t="s">
        <v>9731</v>
      </c>
      <c r="X518" t="s">
        <v>9732</v>
      </c>
      <c r="Y518" t="s">
        <v>9733</v>
      </c>
      <c r="Z518" t="s">
        <v>9734</v>
      </c>
      <c r="AA518" t="s">
        <v>74</v>
      </c>
      <c r="AB518" t="s">
        <v>74</v>
      </c>
      <c r="AC518" t="s">
        <v>9735</v>
      </c>
      <c r="AD518" t="s">
        <v>9736</v>
      </c>
      <c r="AE518" t="s">
        <v>9737</v>
      </c>
      <c r="AF518" t="s">
        <v>74</v>
      </c>
      <c r="AG518">
        <v>37</v>
      </c>
      <c r="AH518">
        <v>6</v>
      </c>
      <c r="AI518">
        <v>6</v>
      </c>
      <c r="AJ518">
        <v>0</v>
      </c>
      <c r="AK518">
        <v>0</v>
      </c>
      <c r="AL518" t="s">
        <v>9738</v>
      </c>
      <c r="AM518" t="s">
        <v>934</v>
      </c>
      <c r="AN518" t="s">
        <v>9739</v>
      </c>
      <c r="AO518" t="s">
        <v>9740</v>
      </c>
      <c r="AP518" t="s">
        <v>9741</v>
      </c>
      <c r="AQ518" t="s">
        <v>74</v>
      </c>
      <c r="AR518" t="s">
        <v>9742</v>
      </c>
      <c r="AS518" t="s">
        <v>9743</v>
      </c>
      <c r="AT518" t="s">
        <v>74</v>
      </c>
      <c r="AU518">
        <v>2010</v>
      </c>
      <c r="AV518">
        <v>3</v>
      </c>
      <c r="AW518">
        <v>1</v>
      </c>
      <c r="AX518" t="s">
        <v>74</v>
      </c>
      <c r="AY518" t="s">
        <v>74</v>
      </c>
      <c r="AZ518" t="s">
        <v>74</v>
      </c>
      <c r="BA518" t="s">
        <v>74</v>
      </c>
      <c r="BB518">
        <v>45</v>
      </c>
      <c r="BC518">
        <v>50</v>
      </c>
      <c r="BD518" t="s">
        <v>74</v>
      </c>
      <c r="BE518" t="s">
        <v>9744</v>
      </c>
      <c r="BF518" t="str">
        <f>HYPERLINK("http://dx.doi.org/10.1080/16742834.2010.11446835","http://dx.doi.org/10.1080/16742834.2010.11446835")</f>
        <v>http://dx.doi.org/10.1080/16742834.2010.11446835</v>
      </c>
      <c r="BG518" t="s">
        <v>74</v>
      </c>
      <c r="BH518" t="s">
        <v>74</v>
      </c>
      <c r="BI518">
        <v>6</v>
      </c>
      <c r="BJ518" t="s">
        <v>258</v>
      </c>
      <c r="BK518" t="s">
        <v>1408</v>
      </c>
      <c r="BL518" t="s">
        <v>258</v>
      </c>
      <c r="BM518" t="s">
        <v>9745</v>
      </c>
      <c r="BN518" t="s">
        <v>74</v>
      </c>
      <c r="BO518" t="s">
        <v>104</v>
      </c>
      <c r="BP518" t="s">
        <v>74</v>
      </c>
      <c r="BQ518" t="s">
        <v>74</v>
      </c>
      <c r="BR518" t="s">
        <v>105</v>
      </c>
      <c r="BS518" t="s">
        <v>9746</v>
      </c>
      <c r="BT518" t="str">
        <f>HYPERLINK("https%3A%2F%2Fwww.webofscience.com%2Fwos%2Fwoscc%2Ffull-record%2FWOS:000433682400009","View Full Record in Web of Science")</f>
        <v>View Full Record in Web of Science</v>
      </c>
    </row>
    <row r="519" spans="1:72" x14ac:dyDescent="0.15">
      <c r="A519" t="s">
        <v>72</v>
      </c>
      <c r="B519" t="s">
        <v>9747</v>
      </c>
      <c r="C519" t="s">
        <v>74</v>
      </c>
      <c r="D519" t="s">
        <v>74</v>
      </c>
      <c r="E519" t="s">
        <v>74</v>
      </c>
      <c r="F519" t="s">
        <v>9748</v>
      </c>
      <c r="G519" t="s">
        <v>74</v>
      </c>
      <c r="H519" t="s">
        <v>74</v>
      </c>
      <c r="I519" t="s">
        <v>9749</v>
      </c>
      <c r="J519" t="s">
        <v>9727</v>
      </c>
      <c r="K519" t="s">
        <v>74</v>
      </c>
      <c r="L519" t="s">
        <v>74</v>
      </c>
      <c r="M519" t="s">
        <v>78</v>
      </c>
      <c r="N519" t="s">
        <v>79</v>
      </c>
      <c r="O519" t="s">
        <v>74</v>
      </c>
      <c r="P519" t="s">
        <v>74</v>
      </c>
      <c r="Q519" t="s">
        <v>74</v>
      </c>
      <c r="R519" t="s">
        <v>74</v>
      </c>
      <c r="S519" t="s">
        <v>74</v>
      </c>
      <c r="T519" t="s">
        <v>9750</v>
      </c>
      <c r="U519" t="s">
        <v>9751</v>
      </c>
      <c r="V519" t="s">
        <v>9752</v>
      </c>
      <c r="W519" t="s">
        <v>9753</v>
      </c>
      <c r="X519" t="s">
        <v>9754</v>
      </c>
      <c r="Y519" t="s">
        <v>9755</v>
      </c>
      <c r="Z519" t="s">
        <v>9756</v>
      </c>
      <c r="AA519" t="s">
        <v>74</v>
      </c>
      <c r="AB519" t="s">
        <v>74</v>
      </c>
      <c r="AC519" t="s">
        <v>9757</v>
      </c>
      <c r="AD519" t="s">
        <v>9758</v>
      </c>
      <c r="AE519" t="s">
        <v>9759</v>
      </c>
      <c r="AF519" t="s">
        <v>74</v>
      </c>
      <c r="AG519">
        <v>12</v>
      </c>
      <c r="AH519">
        <v>16</v>
      </c>
      <c r="AI519">
        <v>20</v>
      </c>
      <c r="AJ519">
        <v>0</v>
      </c>
      <c r="AK519">
        <v>0</v>
      </c>
      <c r="AL519" t="s">
        <v>9738</v>
      </c>
      <c r="AM519" t="s">
        <v>934</v>
      </c>
      <c r="AN519" t="s">
        <v>9760</v>
      </c>
      <c r="AO519" t="s">
        <v>9740</v>
      </c>
      <c r="AP519" t="s">
        <v>9741</v>
      </c>
      <c r="AQ519" t="s">
        <v>74</v>
      </c>
      <c r="AR519" t="s">
        <v>9742</v>
      </c>
      <c r="AS519" t="s">
        <v>9743</v>
      </c>
      <c r="AT519" t="s">
        <v>74</v>
      </c>
      <c r="AU519">
        <v>2010</v>
      </c>
      <c r="AV519">
        <v>3</v>
      </c>
      <c r="AW519">
        <v>3</v>
      </c>
      <c r="AX519" t="s">
        <v>74</v>
      </c>
      <c r="AY519" t="s">
        <v>74</v>
      </c>
      <c r="AZ519" t="s">
        <v>74</v>
      </c>
      <c r="BA519" t="s">
        <v>74</v>
      </c>
      <c r="BB519">
        <v>176</v>
      </c>
      <c r="BC519">
        <v>180</v>
      </c>
      <c r="BD519" t="s">
        <v>74</v>
      </c>
      <c r="BE519" t="s">
        <v>9761</v>
      </c>
      <c r="BF519" t="str">
        <f>HYPERLINK("http://dx.doi.org/10.1080/16742834.2010.11446865","http://dx.doi.org/10.1080/16742834.2010.11446865")</f>
        <v>http://dx.doi.org/10.1080/16742834.2010.11446865</v>
      </c>
      <c r="BG519" t="s">
        <v>74</v>
      </c>
      <c r="BH519" t="s">
        <v>74</v>
      </c>
      <c r="BI519">
        <v>5</v>
      </c>
      <c r="BJ519" t="s">
        <v>258</v>
      </c>
      <c r="BK519" t="s">
        <v>1408</v>
      </c>
      <c r="BL519" t="s">
        <v>258</v>
      </c>
      <c r="BM519" t="s">
        <v>9762</v>
      </c>
      <c r="BN519" t="s">
        <v>74</v>
      </c>
      <c r="BO519" t="s">
        <v>104</v>
      </c>
      <c r="BP519" t="s">
        <v>74</v>
      </c>
      <c r="BQ519" t="s">
        <v>74</v>
      </c>
      <c r="BR519" t="s">
        <v>105</v>
      </c>
      <c r="BS519" t="s">
        <v>9763</v>
      </c>
      <c r="BT519" t="str">
        <f>HYPERLINK("https%3A%2F%2Fwww.webofscience.com%2Fwos%2Fwoscc%2Ffull-record%2FWOS:000433683400010","View Full Record in Web of Science")</f>
        <v>View Full Record in Web of Science</v>
      </c>
    </row>
    <row r="520" spans="1:72" x14ac:dyDescent="0.15">
      <c r="A520" t="s">
        <v>72</v>
      </c>
      <c r="B520" t="s">
        <v>9764</v>
      </c>
      <c r="C520" t="s">
        <v>74</v>
      </c>
      <c r="D520" t="s">
        <v>74</v>
      </c>
      <c r="E520" t="s">
        <v>74</v>
      </c>
      <c r="F520" t="s">
        <v>9765</v>
      </c>
      <c r="G520" t="s">
        <v>74</v>
      </c>
      <c r="H520" t="s">
        <v>74</v>
      </c>
      <c r="I520" t="s">
        <v>9766</v>
      </c>
      <c r="J520" t="s">
        <v>9727</v>
      </c>
      <c r="K520" t="s">
        <v>74</v>
      </c>
      <c r="L520" t="s">
        <v>74</v>
      </c>
      <c r="M520" t="s">
        <v>78</v>
      </c>
      <c r="N520" t="s">
        <v>79</v>
      </c>
      <c r="O520" t="s">
        <v>74</v>
      </c>
      <c r="P520" t="s">
        <v>74</v>
      </c>
      <c r="Q520" t="s">
        <v>74</v>
      </c>
      <c r="R520" t="s">
        <v>74</v>
      </c>
      <c r="S520" t="s">
        <v>74</v>
      </c>
      <c r="T520" t="s">
        <v>9767</v>
      </c>
      <c r="U520" t="s">
        <v>74</v>
      </c>
      <c r="V520" t="s">
        <v>9768</v>
      </c>
      <c r="W520" t="s">
        <v>9769</v>
      </c>
      <c r="X520" t="s">
        <v>7241</v>
      </c>
      <c r="Y520" t="s">
        <v>9770</v>
      </c>
      <c r="Z520" t="s">
        <v>7243</v>
      </c>
      <c r="AA520" t="s">
        <v>7244</v>
      </c>
      <c r="AB520" t="s">
        <v>74</v>
      </c>
      <c r="AC520" t="s">
        <v>9771</v>
      </c>
      <c r="AD520" t="s">
        <v>9772</v>
      </c>
      <c r="AE520" t="s">
        <v>9773</v>
      </c>
      <c r="AF520" t="s">
        <v>74</v>
      </c>
      <c r="AG520">
        <v>22</v>
      </c>
      <c r="AH520">
        <v>27</v>
      </c>
      <c r="AI520">
        <v>35</v>
      </c>
      <c r="AJ520">
        <v>0</v>
      </c>
      <c r="AK520">
        <v>1</v>
      </c>
      <c r="AL520" t="s">
        <v>546</v>
      </c>
      <c r="AM520" t="s">
        <v>547</v>
      </c>
      <c r="AN520" t="s">
        <v>548</v>
      </c>
      <c r="AO520" t="s">
        <v>9740</v>
      </c>
      <c r="AP520" t="s">
        <v>9741</v>
      </c>
      <c r="AQ520" t="s">
        <v>74</v>
      </c>
      <c r="AR520" t="s">
        <v>9742</v>
      </c>
      <c r="AS520" t="s">
        <v>9743</v>
      </c>
      <c r="AT520" t="s">
        <v>74</v>
      </c>
      <c r="AU520">
        <v>2010</v>
      </c>
      <c r="AV520">
        <v>3</v>
      </c>
      <c r="AW520">
        <v>4</v>
      </c>
      <c r="AX520" t="s">
        <v>74</v>
      </c>
      <c r="AY520" t="s">
        <v>74</v>
      </c>
      <c r="AZ520" t="s">
        <v>74</v>
      </c>
      <c r="BA520" t="s">
        <v>74</v>
      </c>
      <c r="BB520">
        <v>232</v>
      </c>
      <c r="BC520">
        <v>236</v>
      </c>
      <c r="BD520" t="s">
        <v>74</v>
      </c>
      <c r="BE520" t="s">
        <v>9774</v>
      </c>
      <c r="BF520" t="str">
        <f>HYPERLINK("http://dx.doi.org/10.1080/16742834.2010.11446870","http://dx.doi.org/10.1080/16742834.2010.11446870")</f>
        <v>http://dx.doi.org/10.1080/16742834.2010.11446870</v>
      </c>
      <c r="BG520" t="s">
        <v>74</v>
      </c>
      <c r="BH520" t="s">
        <v>74</v>
      </c>
      <c r="BI520">
        <v>5</v>
      </c>
      <c r="BJ520" t="s">
        <v>258</v>
      </c>
      <c r="BK520" t="s">
        <v>1408</v>
      </c>
      <c r="BL520" t="s">
        <v>258</v>
      </c>
      <c r="BM520" t="s">
        <v>9775</v>
      </c>
      <c r="BN520" t="s">
        <v>74</v>
      </c>
      <c r="BO520" t="s">
        <v>74</v>
      </c>
      <c r="BP520" t="s">
        <v>74</v>
      </c>
      <c r="BQ520" t="s">
        <v>74</v>
      </c>
      <c r="BR520" t="s">
        <v>105</v>
      </c>
      <c r="BS520" t="s">
        <v>9776</v>
      </c>
      <c r="BT520" t="str">
        <f>HYPERLINK("https%3A%2F%2Fwww.webofscience.com%2Fwos%2Fwoscc%2Ffull-record%2FWOS:000433683700009","View Full Record in Web of Science")</f>
        <v>View Full Record in Web of Science</v>
      </c>
    </row>
    <row r="521" spans="1:72" x14ac:dyDescent="0.15">
      <c r="A521" t="s">
        <v>72</v>
      </c>
      <c r="B521" t="s">
        <v>9777</v>
      </c>
      <c r="C521" t="s">
        <v>74</v>
      </c>
      <c r="D521" t="s">
        <v>74</v>
      </c>
      <c r="E521" t="s">
        <v>74</v>
      </c>
      <c r="F521" t="s">
        <v>9778</v>
      </c>
      <c r="G521" t="s">
        <v>74</v>
      </c>
      <c r="H521" t="s">
        <v>74</v>
      </c>
      <c r="I521" t="s">
        <v>9779</v>
      </c>
      <c r="J521" t="s">
        <v>9727</v>
      </c>
      <c r="K521" t="s">
        <v>74</v>
      </c>
      <c r="L521" t="s">
        <v>74</v>
      </c>
      <c r="M521" t="s">
        <v>78</v>
      </c>
      <c r="N521" t="s">
        <v>79</v>
      </c>
      <c r="O521" t="s">
        <v>74</v>
      </c>
      <c r="P521" t="s">
        <v>74</v>
      </c>
      <c r="Q521" t="s">
        <v>74</v>
      </c>
      <c r="R521" t="s">
        <v>74</v>
      </c>
      <c r="S521" t="s">
        <v>74</v>
      </c>
      <c r="T521" t="s">
        <v>9780</v>
      </c>
      <c r="U521" t="s">
        <v>9781</v>
      </c>
      <c r="V521" t="s">
        <v>9782</v>
      </c>
      <c r="W521" t="s">
        <v>9783</v>
      </c>
      <c r="X521" t="s">
        <v>9784</v>
      </c>
      <c r="Y521" t="s">
        <v>9785</v>
      </c>
      <c r="Z521" t="s">
        <v>9786</v>
      </c>
      <c r="AA521" t="s">
        <v>74</v>
      </c>
      <c r="AB521" t="s">
        <v>74</v>
      </c>
      <c r="AC521" t="s">
        <v>9787</v>
      </c>
      <c r="AD521" t="s">
        <v>9788</v>
      </c>
      <c r="AE521" t="s">
        <v>9789</v>
      </c>
      <c r="AF521" t="s">
        <v>74</v>
      </c>
      <c r="AG521">
        <v>30</v>
      </c>
      <c r="AH521">
        <v>13</v>
      </c>
      <c r="AI521">
        <v>15</v>
      </c>
      <c r="AJ521">
        <v>0</v>
      </c>
      <c r="AK521">
        <v>2</v>
      </c>
      <c r="AL521" t="s">
        <v>546</v>
      </c>
      <c r="AM521" t="s">
        <v>547</v>
      </c>
      <c r="AN521" t="s">
        <v>548</v>
      </c>
      <c r="AO521" t="s">
        <v>9740</v>
      </c>
      <c r="AP521" t="s">
        <v>9741</v>
      </c>
      <c r="AQ521" t="s">
        <v>74</v>
      </c>
      <c r="AR521" t="s">
        <v>9742</v>
      </c>
      <c r="AS521" t="s">
        <v>9743</v>
      </c>
      <c r="AT521" t="s">
        <v>74</v>
      </c>
      <c r="AU521">
        <v>2010</v>
      </c>
      <c r="AV521">
        <v>3</v>
      </c>
      <c r="AW521">
        <v>5</v>
      </c>
      <c r="AX521" t="s">
        <v>74</v>
      </c>
      <c r="AY521" t="s">
        <v>74</v>
      </c>
      <c r="AZ521" t="s">
        <v>74</v>
      </c>
      <c r="BA521" t="s">
        <v>74</v>
      </c>
      <c r="BB521">
        <v>283</v>
      </c>
      <c r="BC521">
        <v>287</v>
      </c>
      <c r="BD521" t="s">
        <v>74</v>
      </c>
      <c r="BE521" t="s">
        <v>9790</v>
      </c>
      <c r="BF521" t="str">
        <f>HYPERLINK("http://dx.doi.org/10.1080/16742834.2010.11446883","http://dx.doi.org/10.1080/16742834.2010.11446883")</f>
        <v>http://dx.doi.org/10.1080/16742834.2010.11446883</v>
      </c>
      <c r="BG521" t="s">
        <v>74</v>
      </c>
      <c r="BH521" t="s">
        <v>74</v>
      </c>
      <c r="BI521">
        <v>5</v>
      </c>
      <c r="BJ521" t="s">
        <v>258</v>
      </c>
      <c r="BK521" t="s">
        <v>1408</v>
      </c>
      <c r="BL521" t="s">
        <v>258</v>
      </c>
      <c r="BM521" t="s">
        <v>9791</v>
      </c>
      <c r="BN521" t="s">
        <v>74</v>
      </c>
      <c r="BO521" t="s">
        <v>104</v>
      </c>
      <c r="BP521" t="s">
        <v>74</v>
      </c>
      <c r="BQ521" t="s">
        <v>74</v>
      </c>
      <c r="BR521" t="s">
        <v>105</v>
      </c>
      <c r="BS521" t="s">
        <v>9792</v>
      </c>
      <c r="BT521" t="str">
        <f>HYPERLINK("https%3A%2F%2Fwww.webofscience.com%2Fwos%2Fwoscc%2Ffull-record%2FWOS:000433684200008","View Full Record in Web of Science")</f>
        <v>View Full Record in Web of Science</v>
      </c>
    </row>
    <row r="522" spans="1:72" x14ac:dyDescent="0.15">
      <c r="A522" t="s">
        <v>72</v>
      </c>
      <c r="B522" t="s">
        <v>9793</v>
      </c>
      <c r="C522" t="s">
        <v>74</v>
      </c>
      <c r="D522" t="s">
        <v>74</v>
      </c>
      <c r="E522" t="s">
        <v>74</v>
      </c>
      <c r="F522" t="s">
        <v>9794</v>
      </c>
      <c r="G522" t="s">
        <v>74</v>
      </c>
      <c r="H522" t="s">
        <v>74</v>
      </c>
      <c r="I522" t="s">
        <v>9795</v>
      </c>
      <c r="J522" t="s">
        <v>9796</v>
      </c>
      <c r="K522" t="s">
        <v>74</v>
      </c>
      <c r="L522" t="s">
        <v>74</v>
      </c>
      <c r="M522" t="s">
        <v>78</v>
      </c>
      <c r="N522" t="s">
        <v>79</v>
      </c>
      <c r="O522" t="s">
        <v>74</v>
      </c>
      <c r="P522" t="s">
        <v>74</v>
      </c>
      <c r="Q522" t="s">
        <v>74</v>
      </c>
      <c r="R522" t="s">
        <v>74</v>
      </c>
      <c r="S522" t="s">
        <v>74</v>
      </c>
      <c r="T522" t="s">
        <v>74</v>
      </c>
      <c r="U522" t="s">
        <v>9797</v>
      </c>
      <c r="V522" t="s">
        <v>9798</v>
      </c>
      <c r="W522" t="s">
        <v>9799</v>
      </c>
      <c r="X522" t="s">
        <v>9800</v>
      </c>
      <c r="Y522" t="s">
        <v>9801</v>
      </c>
      <c r="Z522" t="s">
        <v>9802</v>
      </c>
      <c r="AA522" t="s">
        <v>74</v>
      </c>
      <c r="AB522" t="s">
        <v>74</v>
      </c>
      <c r="AC522" t="s">
        <v>9803</v>
      </c>
      <c r="AD522" t="s">
        <v>9804</v>
      </c>
      <c r="AE522" t="s">
        <v>9805</v>
      </c>
      <c r="AF522" t="s">
        <v>74</v>
      </c>
      <c r="AG522">
        <v>73</v>
      </c>
      <c r="AH522">
        <v>15</v>
      </c>
      <c r="AI522">
        <v>15</v>
      </c>
      <c r="AJ522">
        <v>0</v>
      </c>
      <c r="AK522">
        <v>8</v>
      </c>
      <c r="AL522" t="s">
        <v>8999</v>
      </c>
      <c r="AM522" t="s">
        <v>9000</v>
      </c>
      <c r="AN522" t="s">
        <v>9001</v>
      </c>
      <c r="AO522" t="s">
        <v>9806</v>
      </c>
      <c r="AP522" t="s">
        <v>9807</v>
      </c>
      <c r="AQ522" t="s">
        <v>74</v>
      </c>
      <c r="AR522" t="s">
        <v>9808</v>
      </c>
      <c r="AS522" t="s">
        <v>9809</v>
      </c>
      <c r="AT522" t="s">
        <v>74</v>
      </c>
      <c r="AU522">
        <v>2010</v>
      </c>
      <c r="AV522">
        <v>10</v>
      </c>
      <c r="AW522">
        <v>1</v>
      </c>
      <c r="AX522" t="s">
        <v>74</v>
      </c>
      <c r="AY522" t="s">
        <v>74</v>
      </c>
      <c r="AZ522" t="s">
        <v>74</v>
      </c>
      <c r="BA522" t="s">
        <v>74</v>
      </c>
      <c r="BB522">
        <v>157</v>
      </c>
      <c r="BC522">
        <v>168</v>
      </c>
      <c r="BD522" t="s">
        <v>74</v>
      </c>
      <c r="BE522" t="s">
        <v>74</v>
      </c>
      <c r="BF522" t="s">
        <v>74</v>
      </c>
      <c r="BG522" t="s">
        <v>74</v>
      </c>
      <c r="BH522" t="s">
        <v>74</v>
      </c>
      <c r="BI522">
        <v>12</v>
      </c>
      <c r="BJ522" t="s">
        <v>973</v>
      </c>
      <c r="BK522" t="s">
        <v>102</v>
      </c>
      <c r="BL522" t="s">
        <v>974</v>
      </c>
      <c r="BM522" t="s">
        <v>9810</v>
      </c>
      <c r="BN522" t="s">
        <v>74</v>
      </c>
      <c r="BO522" t="s">
        <v>8695</v>
      </c>
      <c r="BP522" t="s">
        <v>74</v>
      </c>
      <c r="BQ522" t="s">
        <v>74</v>
      </c>
      <c r="BR522" t="s">
        <v>105</v>
      </c>
      <c r="BS522" t="s">
        <v>9811</v>
      </c>
      <c r="BT522" t="str">
        <f>HYPERLINK("https%3A%2F%2Fwww.webofscience.com%2Fwos%2Fwoscc%2Ffull-record%2FWOS:000274224600013","View Full Record in Web of Science")</f>
        <v>View Full Record in Web of Science</v>
      </c>
    </row>
    <row r="523" spans="1:72" x14ac:dyDescent="0.15">
      <c r="A523" t="s">
        <v>72</v>
      </c>
      <c r="B523" t="s">
        <v>9812</v>
      </c>
      <c r="C523" t="s">
        <v>74</v>
      </c>
      <c r="D523" t="s">
        <v>74</v>
      </c>
      <c r="E523" t="s">
        <v>74</v>
      </c>
      <c r="F523" t="s">
        <v>9813</v>
      </c>
      <c r="G523" t="s">
        <v>74</v>
      </c>
      <c r="H523" t="s">
        <v>74</v>
      </c>
      <c r="I523" t="s">
        <v>9814</v>
      </c>
      <c r="J523" t="s">
        <v>9796</v>
      </c>
      <c r="K523" t="s">
        <v>74</v>
      </c>
      <c r="L523" t="s">
        <v>74</v>
      </c>
      <c r="M523" t="s">
        <v>78</v>
      </c>
      <c r="N523" t="s">
        <v>79</v>
      </c>
      <c r="O523" t="s">
        <v>74</v>
      </c>
      <c r="P523" t="s">
        <v>74</v>
      </c>
      <c r="Q523" t="s">
        <v>74</v>
      </c>
      <c r="R523" t="s">
        <v>74</v>
      </c>
      <c r="S523" t="s">
        <v>74</v>
      </c>
      <c r="T523" t="s">
        <v>74</v>
      </c>
      <c r="U523" t="s">
        <v>9815</v>
      </c>
      <c r="V523" t="s">
        <v>9816</v>
      </c>
      <c r="W523" t="s">
        <v>9817</v>
      </c>
      <c r="X523" t="s">
        <v>9818</v>
      </c>
      <c r="Y523" t="s">
        <v>9819</v>
      </c>
      <c r="Z523" t="s">
        <v>9820</v>
      </c>
      <c r="AA523" t="s">
        <v>74</v>
      </c>
      <c r="AB523" t="s">
        <v>9821</v>
      </c>
      <c r="AC523" t="s">
        <v>9822</v>
      </c>
      <c r="AD523" t="s">
        <v>9823</v>
      </c>
      <c r="AE523" t="s">
        <v>9824</v>
      </c>
      <c r="AF523" t="s">
        <v>74</v>
      </c>
      <c r="AG523">
        <v>48</v>
      </c>
      <c r="AH523">
        <v>36</v>
      </c>
      <c r="AI523">
        <v>40</v>
      </c>
      <c r="AJ523">
        <v>0</v>
      </c>
      <c r="AK523">
        <v>12</v>
      </c>
      <c r="AL523" t="s">
        <v>8999</v>
      </c>
      <c r="AM523" t="s">
        <v>9000</v>
      </c>
      <c r="AN523" t="s">
        <v>9001</v>
      </c>
      <c r="AO523" t="s">
        <v>9806</v>
      </c>
      <c r="AP523" t="s">
        <v>9807</v>
      </c>
      <c r="AQ523" t="s">
        <v>74</v>
      </c>
      <c r="AR523" t="s">
        <v>9808</v>
      </c>
      <c r="AS523" t="s">
        <v>9809</v>
      </c>
      <c r="AT523" t="s">
        <v>74</v>
      </c>
      <c r="AU523">
        <v>2010</v>
      </c>
      <c r="AV523">
        <v>10</v>
      </c>
      <c r="AW523">
        <v>2</v>
      </c>
      <c r="AX523" t="s">
        <v>74</v>
      </c>
      <c r="AY523" t="s">
        <v>74</v>
      </c>
      <c r="AZ523" t="s">
        <v>74</v>
      </c>
      <c r="BA523" t="s">
        <v>74</v>
      </c>
      <c r="BB523">
        <v>707</v>
      </c>
      <c r="BC523">
        <v>718</v>
      </c>
      <c r="BD523" t="s">
        <v>74</v>
      </c>
      <c r="BE523" t="s">
        <v>9825</v>
      </c>
      <c r="BF523" t="str">
        <f>HYPERLINK("http://dx.doi.org/10.5194/acp-10-707-2010","http://dx.doi.org/10.5194/acp-10-707-2010")</f>
        <v>http://dx.doi.org/10.5194/acp-10-707-2010</v>
      </c>
      <c r="BG523" t="s">
        <v>74</v>
      </c>
      <c r="BH523" t="s">
        <v>74</v>
      </c>
      <c r="BI523">
        <v>12</v>
      </c>
      <c r="BJ523" t="s">
        <v>973</v>
      </c>
      <c r="BK523" t="s">
        <v>102</v>
      </c>
      <c r="BL523" t="s">
        <v>974</v>
      </c>
      <c r="BM523" t="s">
        <v>9826</v>
      </c>
      <c r="BN523" t="s">
        <v>74</v>
      </c>
      <c r="BO523" t="s">
        <v>8695</v>
      </c>
      <c r="BP523" t="s">
        <v>74</v>
      </c>
      <c r="BQ523" t="s">
        <v>74</v>
      </c>
      <c r="BR523" t="s">
        <v>105</v>
      </c>
      <c r="BS523" t="s">
        <v>9827</v>
      </c>
      <c r="BT523" t="str">
        <f>HYPERLINK("https%3A%2F%2Fwww.webofscience.com%2Fwos%2Fwoscc%2Ffull-record%2FWOS:000273954200026","View Full Record in Web of Science")</f>
        <v>View Full Record in Web of Science</v>
      </c>
    </row>
    <row r="524" spans="1:72" x14ac:dyDescent="0.15">
      <c r="A524" t="s">
        <v>72</v>
      </c>
      <c r="B524" t="s">
        <v>9828</v>
      </c>
      <c r="C524" t="s">
        <v>74</v>
      </c>
      <c r="D524" t="s">
        <v>74</v>
      </c>
      <c r="E524" t="s">
        <v>74</v>
      </c>
      <c r="F524" t="s">
        <v>9829</v>
      </c>
      <c r="G524" t="s">
        <v>74</v>
      </c>
      <c r="H524" t="s">
        <v>74</v>
      </c>
      <c r="I524" t="s">
        <v>9830</v>
      </c>
      <c r="J524" t="s">
        <v>9796</v>
      </c>
      <c r="K524" t="s">
        <v>74</v>
      </c>
      <c r="L524" t="s">
        <v>74</v>
      </c>
      <c r="M524" t="s">
        <v>78</v>
      </c>
      <c r="N524" t="s">
        <v>79</v>
      </c>
      <c r="O524" t="s">
        <v>74</v>
      </c>
      <c r="P524" t="s">
        <v>74</v>
      </c>
      <c r="Q524" t="s">
        <v>74</v>
      </c>
      <c r="R524" t="s">
        <v>74</v>
      </c>
      <c r="S524" t="s">
        <v>74</v>
      </c>
      <c r="T524" t="s">
        <v>74</v>
      </c>
      <c r="U524" t="s">
        <v>9831</v>
      </c>
      <c r="V524" t="s">
        <v>9832</v>
      </c>
      <c r="W524" t="s">
        <v>9833</v>
      </c>
      <c r="X524" t="s">
        <v>9834</v>
      </c>
      <c r="Y524" t="s">
        <v>9835</v>
      </c>
      <c r="Z524" t="s">
        <v>9836</v>
      </c>
      <c r="AA524" t="s">
        <v>9837</v>
      </c>
      <c r="AB524" t="s">
        <v>9838</v>
      </c>
      <c r="AC524" t="s">
        <v>9839</v>
      </c>
      <c r="AD524" t="s">
        <v>9840</v>
      </c>
      <c r="AE524" t="s">
        <v>9841</v>
      </c>
      <c r="AF524" t="s">
        <v>74</v>
      </c>
      <c r="AG524">
        <v>41</v>
      </c>
      <c r="AH524">
        <v>9</v>
      </c>
      <c r="AI524">
        <v>9</v>
      </c>
      <c r="AJ524">
        <v>0</v>
      </c>
      <c r="AK524">
        <v>6</v>
      </c>
      <c r="AL524" t="s">
        <v>8999</v>
      </c>
      <c r="AM524" t="s">
        <v>9000</v>
      </c>
      <c r="AN524" t="s">
        <v>9001</v>
      </c>
      <c r="AO524" t="s">
        <v>9806</v>
      </c>
      <c r="AP524" t="s">
        <v>9807</v>
      </c>
      <c r="AQ524" t="s">
        <v>74</v>
      </c>
      <c r="AR524" t="s">
        <v>9808</v>
      </c>
      <c r="AS524" t="s">
        <v>9809</v>
      </c>
      <c r="AT524" t="s">
        <v>74</v>
      </c>
      <c r="AU524">
        <v>2010</v>
      </c>
      <c r="AV524">
        <v>10</v>
      </c>
      <c r="AW524">
        <v>3</v>
      </c>
      <c r="AX524" t="s">
        <v>74</v>
      </c>
      <c r="AY524" t="s">
        <v>74</v>
      </c>
      <c r="AZ524" t="s">
        <v>74</v>
      </c>
      <c r="BA524" t="s">
        <v>74</v>
      </c>
      <c r="BB524">
        <v>1385</v>
      </c>
      <c r="BC524">
        <v>1400</v>
      </c>
      <c r="BD524" t="s">
        <v>74</v>
      </c>
      <c r="BE524" t="s">
        <v>9842</v>
      </c>
      <c r="BF524" t="str">
        <f>HYPERLINK("http://dx.doi.org/10.5194/acp-10-1385-2010","http://dx.doi.org/10.5194/acp-10-1385-2010")</f>
        <v>http://dx.doi.org/10.5194/acp-10-1385-2010</v>
      </c>
      <c r="BG524" t="s">
        <v>74</v>
      </c>
      <c r="BH524" t="s">
        <v>74</v>
      </c>
      <c r="BI524">
        <v>16</v>
      </c>
      <c r="BJ524" t="s">
        <v>973</v>
      </c>
      <c r="BK524" t="s">
        <v>102</v>
      </c>
      <c r="BL524" t="s">
        <v>974</v>
      </c>
      <c r="BM524" t="s">
        <v>9843</v>
      </c>
      <c r="BN524" t="s">
        <v>74</v>
      </c>
      <c r="BO524" t="s">
        <v>389</v>
      </c>
      <c r="BP524" t="s">
        <v>74</v>
      </c>
      <c r="BQ524" t="s">
        <v>74</v>
      </c>
      <c r="BR524" t="s">
        <v>105</v>
      </c>
      <c r="BS524" t="s">
        <v>9844</v>
      </c>
      <c r="BT524" t="str">
        <f>HYPERLINK("https%3A%2F%2Fwww.webofscience.com%2Fwos%2Fwoscc%2Ffull-record%2FWOS:000274410000034","View Full Record in Web of Science")</f>
        <v>View Full Record in Web of Science</v>
      </c>
    </row>
    <row r="525" spans="1:72" x14ac:dyDescent="0.15">
      <c r="A525" t="s">
        <v>72</v>
      </c>
      <c r="B525" t="s">
        <v>8002</v>
      </c>
      <c r="C525" t="s">
        <v>74</v>
      </c>
      <c r="D525" t="s">
        <v>74</v>
      </c>
      <c r="E525" t="s">
        <v>74</v>
      </c>
      <c r="F525" t="s">
        <v>8003</v>
      </c>
      <c r="G525" t="s">
        <v>74</v>
      </c>
      <c r="H525" t="s">
        <v>74</v>
      </c>
      <c r="I525" t="s">
        <v>9845</v>
      </c>
      <c r="J525" t="s">
        <v>9796</v>
      </c>
      <c r="K525" t="s">
        <v>74</v>
      </c>
      <c r="L525" t="s">
        <v>74</v>
      </c>
      <c r="M525" t="s">
        <v>78</v>
      </c>
      <c r="N525" t="s">
        <v>79</v>
      </c>
      <c r="O525" t="s">
        <v>74</v>
      </c>
      <c r="P525" t="s">
        <v>74</v>
      </c>
      <c r="Q525" t="s">
        <v>74</v>
      </c>
      <c r="R525" t="s">
        <v>74</v>
      </c>
      <c r="S525" t="s">
        <v>74</v>
      </c>
      <c r="T525" t="s">
        <v>74</v>
      </c>
      <c r="U525" t="s">
        <v>9846</v>
      </c>
      <c r="V525" t="s">
        <v>9847</v>
      </c>
      <c r="W525" t="s">
        <v>8007</v>
      </c>
      <c r="X525" t="s">
        <v>8008</v>
      </c>
      <c r="Y525" t="s">
        <v>8009</v>
      </c>
      <c r="Z525" t="s">
        <v>8010</v>
      </c>
      <c r="AA525" t="s">
        <v>74</v>
      </c>
      <c r="AB525" t="s">
        <v>74</v>
      </c>
      <c r="AC525" t="s">
        <v>9848</v>
      </c>
      <c r="AD525" t="s">
        <v>470</v>
      </c>
      <c r="AE525" t="s">
        <v>74</v>
      </c>
      <c r="AF525" t="s">
        <v>74</v>
      </c>
      <c r="AG525">
        <v>39</v>
      </c>
      <c r="AH525">
        <v>35</v>
      </c>
      <c r="AI525">
        <v>36</v>
      </c>
      <c r="AJ525">
        <v>0</v>
      </c>
      <c r="AK525">
        <v>11</v>
      </c>
      <c r="AL525" t="s">
        <v>8999</v>
      </c>
      <c r="AM525" t="s">
        <v>9000</v>
      </c>
      <c r="AN525" t="s">
        <v>9001</v>
      </c>
      <c r="AO525" t="s">
        <v>9806</v>
      </c>
      <c r="AP525" t="s">
        <v>9807</v>
      </c>
      <c r="AQ525" t="s">
        <v>74</v>
      </c>
      <c r="AR525" t="s">
        <v>9808</v>
      </c>
      <c r="AS525" t="s">
        <v>9809</v>
      </c>
      <c r="AT525" t="s">
        <v>74</v>
      </c>
      <c r="AU525">
        <v>2010</v>
      </c>
      <c r="AV525">
        <v>10</v>
      </c>
      <c r="AW525">
        <v>3</v>
      </c>
      <c r="AX525" t="s">
        <v>74</v>
      </c>
      <c r="AY525" t="s">
        <v>74</v>
      </c>
      <c r="AZ525" t="s">
        <v>74</v>
      </c>
      <c r="BA525" t="s">
        <v>74</v>
      </c>
      <c r="BB525">
        <v>1461</v>
      </c>
      <c r="BC525">
        <v>1472</v>
      </c>
      <c r="BD525" t="s">
        <v>74</v>
      </c>
      <c r="BE525" t="s">
        <v>9849</v>
      </c>
      <c r="BF525" t="str">
        <f>HYPERLINK("http://dx.doi.org/10.5194/acp-10-1461-2010","http://dx.doi.org/10.5194/acp-10-1461-2010")</f>
        <v>http://dx.doi.org/10.5194/acp-10-1461-2010</v>
      </c>
      <c r="BG525" t="s">
        <v>74</v>
      </c>
      <c r="BH525" t="s">
        <v>74</v>
      </c>
      <c r="BI525">
        <v>12</v>
      </c>
      <c r="BJ525" t="s">
        <v>973</v>
      </c>
      <c r="BK525" t="s">
        <v>102</v>
      </c>
      <c r="BL525" t="s">
        <v>974</v>
      </c>
      <c r="BM525" t="s">
        <v>9843</v>
      </c>
      <c r="BN525" t="s">
        <v>74</v>
      </c>
      <c r="BO525" t="s">
        <v>8695</v>
      </c>
      <c r="BP525" t="s">
        <v>74</v>
      </c>
      <c r="BQ525" t="s">
        <v>74</v>
      </c>
      <c r="BR525" t="s">
        <v>105</v>
      </c>
      <c r="BS525" t="s">
        <v>9850</v>
      </c>
      <c r="BT525" t="str">
        <f>HYPERLINK("https%3A%2F%2Fwww.webofscience.com%2Fwos%2Fwoscc%2Ffull-record%2FWOS:000274410000040","View Full Record in Web of Science")</f>
        <v>View Full Record in Web of Science</v>
      </c>
    </row>
    <row r="526" spans="1:72" x14ac:dyDescent="0.15">
      <c r="A526" t="s">
        <v>72</v>
      </c>
      <c r="B526" t="s">
        <v>9851</v>
      </c>
      <c r="C526" t="s">
        <v>74</v>
      </c>
      <c r="D526" t="s">
        <v>74</v>
      </c>
      <c r="E526" t="s">
        <v>74</v>
      </c>
      <c r="F526" t="s">
        <v>9852</v>
      </c>
      <c r="G526" t="s">
        <v>74</v>
      </c>
      <c r="H526" t="s">
        <v>74</v>
      </c>
      <c r="I526" t="s">
        <v>9853</v>
      </c>
      <c r="J526" t="s">
        <v>9796</v>
      </c>
      <c r="K526" t="s">
        <v>74</v>
      </c>
      <c r="L526" t="s">
        <v>74</v>
      </c>
      <c r="M526" t="s">
        <v>78</v>
      </c>
      <c r="N526" t="s">
        <v>79</v>
      </c>
      <c r="O526" t="s">
        <v>74</v>
      </c>
      <c r="P526" t="s">
        <v>74</v>
      </c>
      <c r="Q526" t="s">
        <v>74</v>
      </c>
      <c r="R526" t="s">
        <v>74</v>
      </c>
      <c r="S526" t="s">
        <v>74</v>
      </c>
      <c r="T526" t="s">
        <v>74</v>
      </c>
      <c r="U526" t="s">
        <v>9854</v>
      </c>
      <c r="V526" t="s">
        <v>9855</v>
      </c>
      <c r="W526" t="s">
        <v>9856</v>
      </c>
      <c r="X526" t="s">
        <v>9857</v>
      </c>
      <c r="Y526" t="s">
        <v>9858</v>
      </c>
      <c r="Z526" t="s">
        <v>9859</v>
      </c>
      <c r="AA526" t="s">
        <v>9860</v>
      </c>
      <c r="AB526" t="s">
        <v>9861</v>
      </c>
      <c r="AC526" t="s">
        <v>9862</v>
      </c>
      <c r="AD526" t="s">
        <v>9863</v>
      </c>
      <c r="AE526" t="s">
        <v>9864</v>
      </c>
      <c r="AF526" t="s">
        <v>74</v>
      </c>
      <c r="AG526">
        <v>64</v>
      </c>
      <c r="AH526">
        <v>5</v>
      </c>
      <c r="AI526">
        <v>5</v>
      </c>
      <c r="AJ526">
        <v>0</v>
      </c>
      <c r="AK526">
        <v>0</v>
      </c>
      <c r="AL526" t="s">
        <v>8999</v>
      </c>
      <c r="AM526" t="s">
        <v>9000</v>
      </c>
      <c r="AN526" t="s">
        <v>9001</v>
      </c>
      <c r="AO526" t="s">
        <v>9806</v>
      </c>
      <c r="AP526" t="s">
        <v>9807</v>
      </c>
      <c r="AQ526" t="s">
        <v>74</v>
      </c>
      <c r="AR526" t="s">
        <v>9808</v>
      </c>
      <c r="AS526" t="s">
        <v>9809</v>
      </c>
      <c r="AT526" t="s">
        <v>74</v>
      </c>
      <c r="AU526">
        <v>2010</v>
      </c>
      <c r="AV526">
        <v>10</v>
      </c>
      <c r="AW526">
        <v>4</v>
      </c>
      <c r="AX526" t="s">
        <v>74</v>
      </c>
      <c r="AY526" t="s">
        <v>74</v>
      </c>
      <c r="AZ526" t="s">
        <v>74</v>
      </c>
      <c r="BA526" t="s">
        <v>74</v>
      </c>
      <c r="BB526">
        <v>1739</v>
      </c>
      <c r="BC526">
        <v>1757</v>
      </c>
      <c r="BD526" t="s">
        <v>74</v>
      </c>
      <c r="BE526" t="s">
        <v>9865</v>
      </c>
      <c r="BF526" t="str">
        <f>HYPERLINK("http://dx.doi.org/10.5194/acp-10-1739-2010","http://dx.doi.org/10.5194/acp-10-1739-2010")</f>
        <v>http://dx.doi.org/10.5194/acp-10-1739-2010</v>
      </c>
      <c r="BG526" t="s">
        <v>74</v>
      </c>
      <c r="BH526" t="s">
        <v>74</v>
      </c>
      <c r="BI526">
        <v>19</v>
      </c>
      <c r="BJ526" t="s">
        <v>973</v>
      </c>
      <c r="BK526" t="s">
        <v>102</v>
      </c>
      <c r="BL526" t="s">
        <v>974</v>
      </c>
      <c r="BM526" t="s">
        <v>9866</v>
      </c>
      <c r="BN526" t="s">
        <v>74</v>
      </c>
      <c r="BO526" t="s">
        <v>8695</v>
      </c>
      <c r="BP526" t="s">
        <v>74</v>
      </c>
      <c r="BQ526" t="s">
        <v>74</v>
      </c>
      <c r="BR526" t="s">
        <v>105</v>
      </c>
      <c r="BS526" t="s">
        <v>9867</v>
      </c>
      <c r="BT526" t="str">
        <f>HYPERLINK("https%3A%2F%2Fwww.webofscience.com%2Fwos%2Fwoscc%2Ffull-record%2FWOS:000274851500016","View Full Record in Web of Science")</f>
        <v>View Full Record in Web of Science</v>
      </c>
    </row>
    <row r="527" spans="1:72" x14ac:dyDescent="0.15">
      <c r="A527" t="s">
        <v>72</v>
      </c>
      <c r="B527" t="s">
        <v>9868</v>
      </c>
      <c r="C527" t="s">
        <v>74</v>
      </c>
      <c r="D527" t="s">
        <v>74</v>
      </c>
      <c r="E527" t="s">
        <v>74</v>
      </c>
      <c r="F527" t="s">
        <v>9869</v>
      </c>
      <c r="G527" t="s">
        <v>74</v>
      </c>
      <c r="H527" t="s">
        <v>74</v>
      </c>
      <c r="I527" t="s">
        <v>9870</v>
      </c>
      <c r="J527" t="s">
        <v>9796</v>
      </c>
      <c r="K527" t="s">
        <v>74</v>
      </c>
      <c r="L527" t="s">
        <v>74</v>
      </c>
      <c r="M527" t="s">
        <v>78</v>
      </c>
      <c r="N527" t="s">
        <v>79</v>
      </c>
      <c r="O527" t="s">
        <v>74</v>
      </c>
      <c r="P527" t="s">
        <v>74</v>
      </c>
      <c r="Q527" t="s">
        <v>74</v>
      </c>
      <c r="R527" t="s">
        <v>74</v>
      </c>
      <c r="S527" t="s">
        <v>74</v>
      </c>
      <c r="T527" t="s">
        <v>74</v>
      </c>
      <c r="U527" t="s">
        <v>9871</v>
      </c>
      <c r="V527" t="s">
        <v>9872</v>
      </c>
      <c r="W527" t="s">
        <v>9873</v>
      </c>
      <c r="X527" t="s">
        <v>9874</v>
      </c>
      <c r="Y527" t="s">
        <v>9875</v>
      </c>
      <c r="Z527" t="s">
        <v>9876</v>
      </c>
      <c r="AA527" t="s">
        <v>9877</v>
      </c>
      <c r="AB527" t="s">
        <v>9878</v>
      </c>
      <c r="AC527" t="s">
        <v>9879</v>
      </c>
      <c r="AD527" t="s">
        <v>9880</v>
      </c>
      <c r="AE527" t="s">
        <v>9881</v>
      </c>
      <c r="AF527" t="s">
        <v>74</v>
      </c>
      <c r="AG527">
        <v>81</v>
      </c>
      <c r="AH527">
        <v>43</v>
      </c>
      <c r="AI527">
        <v>50</v>
      </c>
      <c r="AJ527">
        <v>1</v>
      </c>
      <c r="AK527">
        <v>26</v>
      </c>
      <c r="AL527" t="s">
        <v>8999</v>
      </c>
      <c r="AM527" t="s">
        <v>9000</v>
      </c>
      <c r="AN527" t="s">
        <v>9001</v>
      </c>
      <c r="AO527" t="s">
        <v>9806</v>
      </c>
      <c r="AP527" t="s">
        <v>74</v>
      </c>
      <c r="AQ527" t="s">
        <v>74</v>
      </c>
      <c r="AR527" t="s">
        <v>9808</v>
      </c>
      <c r="AS527" t="s">
        <v>9809</v>
      </c>
      <c r="AT527" t="s">
        <v>74</v>
      </c>
      <c r="AU527">
        <v>2010</v>
      </c>
      <c r="AV527">
        <v>10</v>
      </c>
      <c r="AW527">
        <v>5</v>
      </c>
      <c r="AX527" t="s">
        <v>74</v>
      </c>
      <c r="AY527" t="s">
        <v>74</v>
      </c>
      <c r="AZ527" t="s">
        <v>74</v>
      </c>
      <c r="BA527" t="s">
        <v>74</v>
      </c>
      <c r="BB527">
        <v>2439</v>
      </c>
      <c r="BC527">
        <v>2456</v>
      </c>
      <c r="BD527" t="s">
        <v>74</v>
      </c>
      <c r="BE527" t="s">
        <v>9882</v>
      </c>
      <c r="BF527" t="str">
        <f>HYPERLINK("http://dx.doi.org/10.5194/acp-10-2439-2010","http://dx.doi.org/10.5194/acp-10-2439-2010")</f>
        <v>http://dx.doi.org/10.5194/acp-10-2439-2010</v>
      </c>
      <c r="BG527" t="s">
        <v>74</v>
      </c>
      <c r="BH527" t="s">
        <v>74</v>
      </c>
      <c r="BI527">
        <v>18</v>
      </c>
      <c r="BJ527" t="s">
        <v>973</v>
      </c>
      <c r="BK527" t="s">
        <v>102</v>
      </c>
      <c r="BL527" t="s">
        <v>974</v>
      </c>
      <c r="BM527" t="s">
        <v>9883</v>
      </c>
      <c r="BN527" t="s">
        <v>74</v>
      </c>
      <c r="BO527" t="s">
        <v>8695</v>
      </c>
      <c r="BP527" t="s">
        <v>74</v>
      </c>
      <c r="BQ527" t="s">
        <v>74</v>
      </c>
      <c r="BR527" t="s">
        <v>105</v>
      </c>
      <c r="BS527" t="s">
        <v>9884</v>
      </c>
      <c r="BT527" t="str">
        <f>HYPERLINK("https%3A%2F%2Fwww.webofscience.com%2Fwos%2Fwoscc%2Ffull-record%2FWOS:000275505500023","View Full Record in Web of Science")</f>
        <v>View Full Record in Web of Science</v>
      </c>
    </row>
    <row r="528" spans="1:72" x14ac:dyDescent="0.15">
      <c r="A528" t="s">
        <v>72</v>
      </c>
      <c r="B528" t="s">
        <v>9885</v>
      </c>
      <c r="C528" t="s">
        <v>74</v>
      </c>
      <c r="D528" t="s">
        <v>74</v>
      </c>
      <c r="E528" t="s">
        <v>74</v>
      </c>
      <c r="F528" t="s">
        <v>9886</v>
      </c>
      <c r="G528" t="s">
        <v>74</v>
      </c>
      <c r="H528" t="s">
        <v>74</v>
      </c>
      <c r="I528" t="s">
        <v>9887</v>
      </c>
      <c r="J528" t="s">
        <v>9796</v>
      </c>
      <c r="K528" t="s">
        <v>74</v>
      </c>
      <c r="L528" t="s">
        <v>74</v>
      </c>
      <c r="M528" t="s">
        <v>78</v>
      </c>
      <c r="N528" t="s">
        <v>79</v>
      </c>
      <c r="O528" t="s">
        <v>74</v>
      </c>
      <c r="P528" t="s">
        <v>74</v>
      </c>
      <c r="Q528" t="s">
        <v>74</v>
      </c>
      <c r="R528" t="s">
        <v>74</v>
      </c>
      <c r="S528" t="s">
        <v>74</v>
      </c>
      <c r="T528" t="s">
        <v>74</v>
      </c>
      <c r="U528" t="s">
        <v>9888</v>
      </c>
      <c r="V528" t="s">
        <v>9889</v>
      </c>
      <c r="W528" t="s">
        <v>9890</v>
      </c>
      <c r="X528" t="s">
        <v>9891</v>
      </c>
      <c r="Y528" t="s">
        <v>9892</v>
      </c>
      <c r="Z528" t="s">
        <v>9893</v>
      </c>
      <c r="AA528" t="s">
        <v>9894</v>
      </c>
      <c r="AB528" t="s">
        <v>5567</v>
      </c>
      <c r="AC528" t="s">
        <v>9895</v>
      </c>
      <c r="AD528" t="s">
        <v>1972</v>
      </c>
      <c r="AE528" t="s">
        <v>74</v>
      </c>
      <c r="AF528" t="s">
        <v>74</v>
      </c>
      <c r="AG528">
        <v>28</v>
      </c>
      <c r="AH528">
        <v>32</v>
      </c>
      <c r="AI528">
        <v>36</v>
      </c>
      <c r="AJ528">
        <v>1</v>
      </c>
      <c r="AK528">
        <v>25</v>
      </c>
      <c r="AL528" t="s">
        <v>8999</v>
      </c>
      <c r="AM528" t="s">
        <v>9000</v>
      </c>
      <c r="AN528" t="s">
        <v>9001</v>
      </c>
      <c r="AO528" t="s">
        <v>9806</v>
      </c>
      <c r="AP528" t="s">
        <v>74</v>
      </c>
      <c r="AQ528" t="s">
        <v>74</v>
      </c>
      <c r="AR528" t="s">
        <v>9808</v>
      </c>
      <c r="AS528" t="s">
        <v>9809</v>
      </c>
      <c r="AT528" t="s">
        <v>74</v>
      </c>
      <c r="AU528">
        <v>2010</v>
      </c>
      <c r="AV528">
        <v>10</v>
      </c>
      <c r="AW528">
        <v>5</v>
      </c>
      <c r="AX528" t="s">
        <v>74</v>
      </c>
      <c r="AY528" t="s">
        <v>74</v>
      </c>
      <c r="AZ528" t="s">
        <v>74</v>
      </c>
      <c r="BA528" t="s">
        <v>74</v>
      </c>
      <c r="BB528">
        <v>2457</v>
      </c>
      <c r="BC528">
        <v>2465</v>
      </c>
      <c r="BD528" t="s">
        <v>74</v>
      </c>
      <c r="BE528" t="s">
        <v>9896</v>
      </c>
      <c r="BF528" t="str">
        <f>HYPERLINK("http://dx.doi.org/10.5194/acp-10-2457-2010","http://dx.doi.org/10.5194/acp-10-2457-2010")</f>
        <v>http://dx.doi.org/10.5194/acp-10-2457-2010</v>
      </c>
      <c r="BG528" t="s">
        <v>74</v>
      </c>
      <c r="BH528" t="s">
        <v>74</v>
      </c>
      <c r="BI528">
        <v>9</v>
      </c>
      <c r="BJ528" t="s">
        <v>973</v>
      </c>
      <c r="BK528" t="s">
        <v>102</v>
      </c>
      <c r="BL528" t="s">
        <v>974</v>
      </c>
      <c r="BM528" t="s">
        <v>9883</v>
      </c>
      <c r="BN528" t="s">
        <v>74</v>
      </c>
      <c r="BO528" t="s">
        <v>9897</v>
      </c>
      <c r="BP528" t="s">
        <v>74</v>
      </c>
      <c r="BQ528" t="s">
        <v>74</v>
      </c>
      <c r="BR528" t="s">
        <v>105</v>
      </c>
      <c r="BS528" t="s">
        <v>9898</v>
      </c>
      <c r="BT528" t="str">
        <f>HYPERLINK("https%3A%2F%2Fwww.webofscience.com%2Fwos%2Fwoscc%2Ffull-record%2FWOS:000275505500024","View Full Record in Web of Science")</f>
        <v>View Full Record in Web of Science</v>
      </c>
    </row>
    <row r="529" spans="1:72" x14ac:dyDescent="0.15">
      <c r="A529" t="s">
        <v>72</v>
      </c>
      <c r="B529" t="s">
        <v>9899</v>
      </c>
      <c r="C529" t="s">
        <v>74</v>
      </c>
      <c r="D529" t="s">
        <v>74</v>
      </c>
      <c r="E529" t="s">
        <v>74</v>
      </c>
      <c r="F529" t="s">
        <v>9900</v>
      </c>
      <c r="G529" t="s">
        <v>74</v>
      </c>
      <c r="H529" t="s">
        <v>74</v>
      </c>
      <c r="I529" t="s">
        <v>9901</v>
      </c>
      <c r="J529" t="s">
        <v>9796</v>
      </c>
      <c r="K529" t="s">
        <v>74</v>
      </c>
      <c r="L529" t="s">
        <v>74</v>
      </c>
      <c r="M529" t="s">
        <v>78</v>
      </c>
      <c r="N529" t="s">
        <v>79</v>
      </c>
      <c r="O529" t="s">
        <v>74</v>
      </c>
      <c r="P529" t="s">
        <v>74</v>
      </c>
      <c r="Q529" t="s">
        <v>74</v>
      </c>
      <c r="R529" t="s">
        <v>74</v>
      </c>
      <c r="S529" t="s">
        <v>74</v>
      </c>
      <c r="T529" t="s">
        <v>74</v>
      </c>
      <c r="U529" t="s">
        <v>9902</v>
      </c>
      <c r="V529" t="s">
        <v>9903</v>
      </c>
      <c r="W529" t="s">
        <v>9904</v>
      </c>
      <c r="X529" t="s">
        <v>9905</v>
      </c>
      <c r="Y529" t="s">
        <v>9906</v>
      </c>
      <c r="Z529" t="s">
        <v>9907</v>
      </c>
      <c r="AA529" t="s">
        <v>9908</v>
      </c>
      <c r="AB529" t="s">
        <v>9909</v>
      </c>
      <c r="AC529" t="s">
        <v>9910</v>
      </c>
      <c r="AD529" t="s">
        <v>9911</v>
      </c>
      <c r="AE529" t="s">
        <v>9912</v>
      </c>
      <c r="AF529" t="s">
        <v>74</v>
      </c>
      <c r="AG529">
        <v>55</v>
      </c>
      <c r="AH529">
        <v>74</v>
      </c>
      <c r="AI529">
        <v>79</v>
      </c>
      <c r="AJ529">
        <v>0</v>
      </c>
      <c r="AK529">
        <v>41</v>
      </c>
      <c r="AL529" t="s">
        <v>8999</v>
      </c>
      <c r="AM529" t="s">
        <v>9000</v>
      </c>
      <c r="AN529" t="s">
        <v>9001</v>
      </c>
      <c r="AO529" t="s">
        <v>9806</v>
      </c>
      <c r="AP529" t="s">
        <v>9807</v>
      </c>
      <c r="AQ529" t="s">
        <v>74</v>
      </c>
      <c r="AR529" t="s">
        <v>9808</v>
      </c>
      <c r="AS529" t="s">
        <v>9809</v>
      </c>
      <c r="AT529" t="s">
        <v>74</v>
      </c>
      <c r="AU529">
        <v>2010</v>
      </c>
      <c r="AV529">
        <v>10</v>
      </c>
      <c r="AW529">
        <v>7</v>
      </c>
      <c r="AX529" t="s">
        <v>74</v>
      </c>
      <c r="AY529" t="s">
        <v>74</v>
      </c>
      <c r="AZ529" t="s">
        <v>74</v>
      </c>
      <c r="BA529" t="s">
        <v>74</v>
      </c>
      <c r="BB529">
        <v>3309</v>
      </c>
      <c r="BC529">
        <v>3319</v>
      </c>
      <c r="BD529" t="s">
        <v>74</v>
      </c>
      <c r="BE529" t="s">
        <v>9913</v>
      </c>
      <c r="BF529" t="str">
        <f>HYPERLINK("http://dx.doi.org/10.5194/acp-10-3309-2010","http://dx.doi.org/10.5194/acp-10-3309-2010")</f>
        <v>http://dx.doi.org/10.5194/acp-10-3309-2010</v>
      </c>
      <c r="BG529" t="s">
        <v>74</v>
      </c>
      <c r="BH529" t="s">
        <v>74</v>
      </c>
      <c r="BI529">
        <v>11</v>
      </c>
      <c r="BJ529" t="s">
        <v>973</v>
      </c>
      <c r="BK529" t="s">
        <v>102</v>
      </c>
      <c r="BL529" t="s">
        <v>974</v>
      </c>
      <c r="BM529" t="s">
        <v>9914</v>
      </c>
      <c r="BN529" t="s">
        <v>74</v>
      </c>
      <c r="BO529" t="s">
        <v>5253</v>
      </c>
      <c r="BP529" t="s">
        <v>74</v>
      </c>
      <c r="BQ529" t="s">
        <v>74</v>
      </c>
      <c r="BR529" t="s">
        <v>105</v>
      </c>
      <c r="BS529" t="s">
        <v>9915</v>
      </c>
      <c r="BT529" t="str">
        <f>HYPERLINK("https%3A%2F%2Fwww.webofscience.com%2Fwos%2Fwoscc%2Ffull-record%2FWOS:000276663600011","View Full Record in Web of Science")</f>
        <v>View Full Record in Web of Science</v>
      </c>
    </row>
    <row r="530" spans="1:72" x14ac:dyDescent="0.15">
      <c r="A530" t="s">
        <v>72</v>
      </c>
      <c r="B530" t="s">
        <v>9916</v>
      </c>
      <c r="C530" t="s">
        <v>74</v>
      </c>
      <c r="D530" t="s">
        <v>74</v>
      </c>
      <c r="E530" t="s">
        <v>74</v>
      </c>
      <c r="F530" t="s">
        <v>9917</v>
      </c>
      <c r="G530" t="s">
        <v>74</v>
      </c>
      <c r="H530" t="s">
        <v>74</v>
      </c>
      <c r="I530" t="s">
        <v>9918</v>
      </c>
      <c r="J530" t="s">
        <v>9796</v>
      </c>
      <c r="K530" t="s">
        <v>74</v>
      </c>
      <c r="L530" t="s">
        <v>74</v>
      </c>
      <c r="M530" t="s">
        <v>78</v>
      </c>
      <c r="N530" t="s">
        <v>79</v>
      </c>
      <c r="O530" t="s">
        <v>74</v>
      </c>
      <c r="P530" t="s">
        <v>74</v>
      </c>
      <c r="Q530" t="s">
        <v>74</v>
      </c>
      <c r="R530" t="s">
        <v>74</v>
      </c>
      <c r="S530" t="s">
        <v>74</v>
      </c>
      <c r="T530" t="s">
        <v>74</v>
      </c>
      <c r="U530" t="s">
        <v>9919</v>
      </c>
      <c r="V530" t="s">
        <v>9920</v>
      </c>
      <c r="W530" t="s">
        <v>9921</v>
      </c>
      <c r="X530" t="s">
        <v>9922</v>
      </c>
      <c r="Y530" t="s">
        <v>9923</v>
      </c>
      <c r="Z530" t="s">
        <v>9924</v>
      </c>
      <c r="AA530" t="s">
        <v>9925</v>
      </c>
      <c r="AB530" t="s">
        <v>9926</v>
      </c>
      <c r="AC530" t="s">
        <v>9927</v>
      </c>
      <c r="AD530" t="s">
        <v>9928</v>
      </c>
      <c r="AE530" t="s">
        <v>9929</v>
      </c>
      <c r="AF530" t="s">
        <v>74</v>
      </c>
      <c r="AG530">
        <v>33</v>
      </c>
      <c r="AH530">
        <v>23</v>
      </c>
      <c r="AI530">
        <v>27</v>
      </c>
      <c r="AJ530">
        <v>0</v>
      </c>
      <c r="AK530">
        <v>12</v>
      </c>
      <c r="AL530" t="s">
        <v>8999</v>
      </c>
      <c r="AM530" t="s">
        <v>9000</v>
      </c>
      <c r="AN530" t="s">
        <v>9001</v>
      </c>
      <c r="AO530" t="s">
        <v>9806</v>
      </c>
      <c r="AP530" t="s">
        <v>9807</v>
      </c>
      <c r="AQ530" t="s">
        <v>74</v>
      </c>
      <c r="AR530" t="s">
        <v>9808</v>
      </c>
      <c r="AS530" t="s">
        <v>9809</v>
      </c>
      <c r="AT530" t="s">
        <v>74</v>
      </c>
      <c r="AU530">
        <v>2010</v>
      </c>
      <c r="AV530">
        <v>10</v>
      </c>
      <c r="AW530">
        <v>7</v>
      </c>
      <c r="AX530" t="s">
        <v>74</v>
      </c>
      <c r="AY530" t="s">
        <v>74</v>
      </c>
      <c r="AZ530" t="s">
        <v>74</v>
      </c>
      <c r="BA530" t="s">
        <v>74</v>
      </c>
      <c r="BB530">
        <v>3397</v>
      </c>
      <c r="BC530">
        <v>3404</v>
      </c>
      <c r="BD530" t="s">
        <v>74</v>
      </c>
      <c r="BE530" t="s">
        <v>9930</v>
      </c>
      <c r="BF530" t="str">
        <f>HYPERLINK("http://dx.doi.org/10.5194/acp-10-3397-2010","http://dx.doi.org/10.5194/acp-10-3397-2010")</f>
        <v>http://dx.doi.org/10.5194/acp-10-3397-2010</v>
      </c>
      <c r="BG530" t="s">
        <v>74</v>
      </c>
      <c r="BH530" t="s">
        <v>74</v>
      </c>
      <c r="BI530">
        <v>8</v>
      </c>
      <c r="BJ530" t="s">
        <v>973</v>
      </c>
      <c r="BK530" t="s">
        <v>102</v>
      </c>
      <c r="BL530" t="s">
        <v>974</v>
      </c>
      <c r="BM530" t="s">
        <v>9914</v>
      </c>
      <c r="BN530" t="s">
        <v>74</v>
      </c>
      <c r="BO530" t="s">
        <v>8695</v>
      </c>
      <c r="BP530" t="s">
        <v>74</v>
      </c>
      <c r="BQ530" t="s">
        <v>74</v>
      </c>
      <c r="BR530" t="s">
        <v>105</v>
      </c>
      <c r="BS530" t="s">
        <v>9931</v>
      </c>
      <c r="BT530" t="str">
        <f>HYPERLINK("https%3A%2F%2Fwww.webofscience.com%2Fwos%2Fwoscc%2Ffull-record%2FWOS:000276663600018","View Full Record in Web of Science")</f>
        <v>View Full Record in Web of Science</v>
      </c>
    </row>
    <row r="531" spans="1:72" x14ac:dyDescent="0.15">
      <c r="A531" t="s">
        <v>72</v>
      </c>
      <c r="B531" t="s">
        <v>9932</v>
      </c>
      <c r="C531" t="s">
        <v>74</v>
      </c>
      <c r="D531" t="s">
        <v>74</v>
      </c>
      <c r="E531" t="s">
        <v>74</v>
      </c>
      <c r="F531" t="s">
        <v>9933</v>
      </c>
      <c r="G531" t="s">
        <v>74</v>
      </c>
      <c r="H531" t="s">
        <v>74</v>
      </c>
      <c r="I531" t="s">
        <v>9934</v>
      </c>
      <c r="J531" t="s">
        <v>9796</v>
      </c>
      <c r="K531" t="s">
        <v>74</v>
      </c>
      <c r="L531" t="s">
        <v>74</v>
      </c>
      <c r="M531" t="s">
        <v>78</v>
      </c>
      <c r="N531" t="s">
        <v>79</v>
      </c>
      <c r="O531" t="s">
        <v>74</v>
      </c>
      <c r="P531" t="s">
        <v>74</v>
      </c>
      <c r="Q531" t="s">
        <v>74</v>
      </c>
      <c r="R531" t="s">
        <v>74</v>
      </c>
      <c r="S531" t="s">
        <v>74</v>
      </c>
      <c r="T531" t="s">
        <v>74</v>
      </c>
      <c r="U531" t="s">
        <v>9935</v>
      </c>
      <c r="V531" t="s">
        <v>9936</v>
      </c>
      <c r="W531" t="s">
        <v>9937</v>
      </c>
      <c r="X531" t="s">
        <v>9938</v>
      </c>
      <c r="Y531" t="s">
        <v>9939</v>
      </c>
      <c r="Z531" t="s">
        <v>9940</v>
      </c>
      <c r="AA531" t="s">
        <v>9941</v>
      </c>
      <c r="AB531" t="s">
        <v>9942</v>
      </c>
      <c r="AC531" t="s">
        <v>9943</v>
      </c>
      <c r="AD531" t="s">
        <v>9944</v>
      </c>
      <c r="AE531" t="s">
        <v>9945</v>
      </c>
      <c r="AF531" t="s">
        <v>74</v>
      </c>
      <c r="AG531">
        <v>98</v>
      </c>
      <c r="AH531">
        <v>100</v>
      </c>
      <c r="AI531">
        <v>109</v>
      </c>
      <c r="AJ531">
        <v>3</v>
      </c>
      <c r="AK531">
        <v>79</v>
      </c>
      <c r="AL531" t="s">
        <v>8999</v>
      </c>
      <c r="AM531" t="s">
        <v>9000</v>
      </c>
      <c r="AN531" t="s">
        <v>9001</v>
      </c>
      <c r="AO531" t="s">
        <v>9806</v>
      </c>
      <c r="AP531" t="s">
        <v>74</v>
      </c>
      <c r="AQ531" t="s">
        <v>74</v>
      </c>
      <c r="AR531" t="s">
        <v>9808</v>
      </c>
      <c r="AS531" t="s">
        <v>9809</v>
      </c>
      <c r="AT531" t="s">
        <v>74</v>
      </c>
      <c r="AU531">
        <v>2010</v>
      </c>
      <c r="AV531">
        <v>10</v>
      </c>
      <c r="AW531">
        <v>9</v>
      </c>
      <c r="AX531" t="s">
        <v>74</v>
      </c>
      <c r="AY531" t="s">
        <v>74</v>
      </c>
      <c r="AZ531" t="s">
        <v>74</v>
      </c>
      <c r="BA531" t="s">
        <v>74</v>
      </c>
      <c r="BB531">
        <v>4253</v>
      </c>
      <c r="BC531">
        <v>4271</v>
      </c>
      <c r="BD531" t="s">
        <v>74</v>
      </c>
      <c r="BE531" t="s">
        <v>9946</v>
      </c>
      <c r="BF531" t="str">
        <f>HYPERLINK("http://dx.doi.org/10.5194/acp-10-4253-2010","http://dx.doi.org/10.5194/acp-10-4253-2010")</f>
        <v>http://dx.doi.org/10.5194/acp-10-4253-2010</v>
      </c>
      <c r="BG531" t="s">
        <v>74</v>
      </c>
      <c r="BH531" t="s">
        <v>74</v>
      </c>
      <c r="BI531">
        <v>19</v>
      </c>
      <c r="BJ531" t="s">
        <v>973</v>
      </c>
      <c r="BK531" t="s">
        <v>102</v>
      </c>
      <c r="BL531" t="s">
        <v>974</v>
      </c>
      <c r="BM531" t="s">
        <v>9947</v>
      </c>
      <c r="BN531" t="s">
        <v>74</v>
      </c>
      <c r="BO531" t="s">
        <v>8695</v>
      </c>
      <c r="BP531" t="s">
        <v>74</v>
      </c>
      <c r="BQ531" t="s">
        <v>74</v>
      </c>
      <c r="BR531" t="s">
        <v>105</v>
      </c>
      <c r="BS531" t="s">
        <v>9948</v>
      </c>
      <c r="BT531" t="str">
        <f>HYPERLINK("https%3A%2F%2Fwww.webofscience.com%2Fwos%2Fwoscc%2Ffull-record%2FWOS:000277601700011","View Full Record in Web of Science")</f>
        <v>View Full Record in Web of Science</v>
      </c>
    </row>
    <row r="532" spans="1:72" x14ac:dyDescent="0.15">
      <c r="A532" t="s">
        <v>72</v>
      </c>
      <c r="B532" t="s">
        <v>9949</v>
      </c>
      <c r="C532" t="s">
        <v>74</v>
      </c>
      <c r="D532" t="s">
        <v>74</v>
      </c>
      <c r="E532" t="s">
        <v>74</v>
      </c>
      <c r="F532" t="s">
        <v>9950</v>
      </c>
      <c r="G532" t="s">
        <v>74</v>
      </c>
      <c r="H532" t="s">
        <v>74</v>
      </c>
      <c r="I532" t="s">
        <v>9951</v>
      </c>
      <c r="J532" t="s">
        <v>9796</v>
      </c>
      <c r="K532" t="s">
        <v>74</v>
      </c>
      <c r="L532" t="s">
        <v>74</v>
      </c>
      <c r="M532" t="s">
        <v>78</v>
      </c>
      <c r="N532" t="s">
        <v>79</v>
      </c>
      <c r="O532" t="s">
        <v>74</v>
      </c>
      <c r="P532" t="s">
        <v>74</v>
      </c>
      <c r="Q532" t="s">
        <v>74</v>
      </c>
      <c r="R532" t="s">
        <v>74</v>
      </c>
      <c r="S532" t="s">
        <v>74</v>
      </c>
      <c r="T532" t="s">
        <v>74</v>
      </c>
      <c r="U532" t="s">
        <v>9952</v>
      </c>
      <c r="V532" t="s">
        <v>9953</v>
      </c>
      <c r="W532" t="s">
        <v>9954</v>
      </c>
      <c r="X532" t="s">
        <v>9955</v>
      </c>
      <c r="Y532" t="s">
        <v>9956</v>
      </c>
      <c r="Z532" t="s">
        <v>9957</v>
      </c>
      <c r="AA532" t="s">
        <v>9958</v>
      </c>
      <c r="AB532" t="s">
        <v>9959</v>
      </c>
      <c r="AC532" t="s">
        <v>9960</v>
      </c>
      <c r="AD532" t="s">
        <v>9961</v>
      </c>
      <c r="AE532" t="s">
        <v>9962</v>
      </c>
      <c r="AF532" t="s">
        <v>74</v>
      </c>
      <c r="AG532">
        <v>53</v>
      </c>
      <c r="AH532">
        <v>41</v>
      </c>
      <c r="AI532">
        <v>45</v>
      </c>
      <c r="AJ532">
        <v>0</v>
      </c>
      <c r="AK532">
        <v>20</v>
      </c>
      <c r="AL532" t="s">
        <v>8999</v>
      </c>
      <c r="AM532" t="s">
        <v>9000</v>
      </c>
      <c r="AN532" t="s">
        <v>9001</v>
      </c>
      <c r="AO532" t="s">
        <v>9806</v>
      </c>
      <c r="AP532" t="s">
        <v>9807</v>
      </c>
      <c r="AQ532" t="s">
        <v>74</v>
      </c>
      <c r="AR532" t="s">
        <v>9808</v>
      </c>
      <c r="AS532" t="s">
        <v>9809</v>
      </c>
      <c r="AT532" t="s">
        <v>74</v>
      </c>
      <c r="AU532">
        <v>2010</v>
      </c>
      <c r="AV532">
        <v>10</v>
      </c>
      <c r="AW532">
        <v>9</v>
      </c>
      <c r="AX532" t="s">
        <v>74</v>
      </c>
      <c r="AY532" t="s">
        <v>74</v>
      </c>
      <c r="AZ532" t="s">
        <v>74</v>
      </c>
      <c r="BA532" t="s">
        <v>74</v>
      </c>
      <c r="BB532">
        <v>4359</v>
      </c>
      <c r="BC532">
        <v>4375</v>
      </c>
      <c r="BD532" t="s">
        <v>74</v>
      </c>
      <c r="BE532" t="s">
        <v>9963</v>
      </c>
      <c r="BF532" t="str">
        <f>HYPERLINK("http://dx.doi.org/10.5194/acp-10-4359-2010","http://dx.doi.org/10.5194/acp-10-4359-2010")</f>
        <v>http://dx.doi.org/10.5194/acp-10-4359-2010</v>
      </c>
      <c r="BG532" t="s">
        <v>74</v>
      </c>
      <c r="BH532" t="s">
        <v>74</v>
      </c>
      <c r="BI532">
        <v>17</v>
      </c>
      <c r="BJ532" t="s">
        <v>973</v>
      </c>
      <c r="BK532" t="s">
        <v>102</v>
      </c>
      <c r="BL532" t="s">
        <v>974</v>
      </c>
      <c r="BM532" t="s">
        <v>9947</v>
      </c>
      <c r="BN532" t="s">
        <v>74</v>
      </c>
      <c r="BO532" t="s">
        <v>8695</v>
      </c>
      <c r="BP532" t="s">
        <v>74</v>
      </c>
      <c r="BQ532" t="s">
        <v>74</v>
      </c>
      <c r="BR532" t="s">
        <v>105</v>
      </c>
      <c r="BS532" t="s">
        <v>9964</v>
      </c>
      <c r="BT532" t="str">
        <f>HYPERLINK("https%3A%2F%2Fwww.webofscience.com%2Fwos%2Fwoscc%2Ffull-record%2FWOS:000277601700018","View Full Record in Web of Science")</f>
        <v>View Full Record in Web of Science</v>
      </c>
    </row>
    <row r="533" spans="1:72" x14ac:dyDescent="0.15">
      <c r="A533" t="s">
        <v>72</v>
      </c>
      <c r="B533" t="s">
        <v>9965</v>
      </c>
      <c r="C533" t="s">
        <v>74</v>
      </c>
      <c r="D533" t="s">
        <v>74</v>
      </c>
      <c r="E533" t="s">
        <v>74</v>
      </c>
      <c r="F533" t="s">
        <v>9966</v>
      </c>
      <c r="G533" t="s">
        <v>74</v>
      </c>
      <c r="H533" t="s">
        <v>74</v>
      </c>
      <c r="I533" t="s">
        <v>9967</v>
      </c>
      <c r="J533" t="s">
        <v>9796</v>
      </c>
      <c r="K533" t="s">
        <v>74</v>
      </c>
      <c r="L533" t="s">
        <v>74</v>
      </c>
      <c r="M533" t="s">
        <v>78</v>
      </c>
      <c r="N533" t="s">
        <v>79</v>
      </c>
      <c r="O533" t="s">
        <v>74</v>
      </c>
      <c r="P533" t="s">
        <v>74</v>
      </c>
      <c r="Q533" t="s">
        <v>74</v>
      </c>
      <c r="R533" t="s">
        <v>74</v>
      </c>
      <c r="S533" t="s">
        <v>74</v>
      </c>
      <c r="T533" t="s">
        <v>74</v>
      </c>
      <c r="U533" t="s">
        <v>9968</v>
      </c>
      <c r="V533" t="s">
        <v>9969</v>
      </c>
      <c r="W533" t="s">
        <v>9970</v>
      </c>
      <c r="X533" t="s">
        <v>9971</v>
      </c>
      <c r="Y533" t="s">
        <v>9972</v>
      </c>
      <c r="Z533" t="s">
        <v>9973</v>
      </c>
      <c r="AA533" t="s">
        <v>9974</v>
      </c>
      <c r="AB533" t="s">
        <v>9975</v>
      </c>
      <c r="AC533" t="s">
        <v>9976</v>
      </c>
      <c r="AD533" t="s">
        <v>9977</v>
      </c>
      <c r="AE533" t="s">
        <v>9978</v>
      </c>
      <c r="AF533" t="s">
        <v>74</v>
      </c>
      <c r="AG533">
        <v>45</v>
      </c>
      <c r="AH533">
        <v>17</v>
      </c>
      <c r="AI533">
        <v>19</v>
      </c>
      <c r="AJ533">
        <v>0</v>
      </c>
      <c r="AK533">
        <v>16</v>
      </c>
      <c r="AL533" t="s">
        <v>8999</v>
      </c>
      <c r="AM533" t="s">
        <v>9000</v>
      </c>
      <c r="AN533" t="s">
        <v>9001</v>
      </c>
      <c r="AO533" t="s">
        <v>9806</v>
      </c>
      <c r="AP533" t="s">
        <v>9807</v>
      </c>
      <c r="AQ533" t="s">
        <v>74</v>
      </c>
      <c r="AR533" t="s">
        <v>9808</v>
      </c>
      <c r="AS533" t="s">
        <v>9809</v>
      </c>
      <c r="AT533" t="s">
        <v>74</v>
      </c>
      <c r="AU533">
        <v>2010</v>
      </c>
      <c r="AV533">
        <v>10</v>
      </c>
      <c r="AW533">
        <v>11</v>
      </c>
      <c r="AX533" t="s">
        <v>74</v>
      </c>
      <c r="AY533" t="s">
        <v>74</v>
      </c>
      <c r="AZ533" t="s">
        <v>74</v>
      </c>
      <c r="BA533" t="s">
        <v>74</v>
      </c>
      <c r="BB533">
        <v>5135</v>
      </c>
      <c r="BC533">
        <v>5144</v>
      </c>
      <c r="BD533" t="s">
        <v>74</v>
      </c>
      <c r="BE533" t="s">
        <v>9979</v>
      </c>
      <c r="BF533" t="str">
        <f>HYPERLINK("http://dx.doi.org/10.5194/acp-10-5135-2010","http://dx.doi.org/10.5194/acp-10-5135-2010")</f>
        <v>http://dx.doi.org/10.5194/acp-10-5135-2010</v>
      </c>
      <c r="BG533" t="s">
        <v>74</v>
      </c>
      <c r="BH533" t="s">
        <v>74</v>
      </c>
      <c r="BI533">
        <v>10</v>
      </c>
      <c r="BJ533" t="s">
        <v>973</v>
      </c>
      <c r="BK533" t="s">
        <v>102</v>
      </c>
      <c r="BL533" t="s">
        <v>974</v>
      </c>
      <c r="BM533" t="s">
        <v>9980</v>
      </c>
      <c r="BN533" t="s">
        <v>74</v>
      </c>
      <c r="BO533" t="s">
        <v>5253</v>
      </c>
      <c r="BP533" t="s">
        <v>74</v>
      </c>
      <c r="BQ533" t="s">
        <v>74</v>
      </c>
      <c r="BR533" t="s">
        <v>105</v>
      </c>
      <c r="BS533" t="s">
        <v>9981</v>
      </c>
      <c r="BT533" t="str">
        <f>HYPERLINK("https%3A%2F%2Fwww.webofscience.com%2Fwos%2Fwoscc%2Ffull-record%2FWOS:000278745300010","View Full Record in Web of Science")</f>
        <v>View Full Record in Web of Science</v>
      </c>
    </row>
    <row r="534" spans="1:72" x14ac:dyDescent="0.15">
      <c r="A534" t="s">
        <v>72</v>
      </c>
      <c r="B534" t="s">
        <v>9982</v>
      </c>
      <c r="C534" t="s">
        <v>74</v>
      </c>
      <c r="D534" t="s">
        <v>74</v>
      </c>
      <c r="E534" t="s">
        <v>74</v>
      </c>
      <c r="F534" t="s">
        <v>9983</v>
      </c>
      <c r="G534" t="s">
        <v>74</v>
      </c>
      <c r="H534" t="s">
        <v>74</v>
      </c>
      <c r="I534" t="s">
        <v>9984</v>
      </c>
      <c r="J534" t="s">
        <v>9796</v>
      </c>
      <c r="K534" t="s">
        <v>74</v>
      </c>
      <c r="L534" t="s">
        <v>74</v>
      </c>
      <c r="M534" t="s">
        <v>78</v>
      </c>
      <c r="N534" t="s">
        <v>79</v>
      </c>
      <c r="O534" t="s">
        <v>74</v>
      </c>
      <c r="P534" t="s">
        <v>74</v>
      </c>
      <c r="Q534" t="s">
        <v>74</v>
      </c>
      <c r="R534" t="s">
        <v>74</v>
      </c>
      <c r="S534" t="s">
        <v>74</v>
      </c>
      <c r="T534" t="s">
        <v>74</v>
      </c>
      <c r="U534" t="s">
        <v>9985</v>
      </c>
      <c r="V534" t="s">
        <v>9986</v>
      </c>
      <c r="W534" t="s">
        <v>9987</v>
      </c>
      <c r="X534" t="s">
        <v>9988</v>
      </c>
      <c r="Y534" t="s">
        <v>9989</v>
      </c>
      <c r="Z534" t="s">
        <v>9990</v>
      </c>
      <c r="AA534" t="s">
        <v>9991</v>
      </c>
      <c r="AB534" t="s">
        <v>9992</v>
      </c>
      <c r="AC534" t="s">
        <v>9993</v>
      </c>
      <c r="AD534" t="s">
        <v>360</v>
      </c>
      <c r="AE534" t="s">
        <v>9994</v>
      </c>
      <c r="AF534" t="s">
        <v>74</v>
      </c>
      <c r="AG534">
        <v>76</v>
      </c>
      <c r="AH534">
        <v>117</v>
      </c>
      <c r="AI534">
        <v>124</v>
      </c>
      <c r="AJ534">
        <v>3</v>
      </c>
      <c r="AK534">
        <v>62</v>
      </c>
      <c r="AL534" t="s">
        <v>8999</v>
      </c>
      <c r="AM534" t="s">
        <v>9000</v>
      </c>
      <c r="AN534" t="s">
        <v>9001</v>
      </c>
      <c r="AO534" t="s">
        <v>9806</v>
      </c>
      <c r="AP534" t="s">
        <v>9807</v>
      </c>
      <c r="AQ534" t="s">
        <v>74</v>
      </c>
      <c r="AR534" t="s">
        <v>9808</v>
      </c>
      <c r="AS534" t="s">
        <v>9809</v>
      </c>
      <c r="AT534" t="s">
        <v>74</v>
      </c>
      <c r="AU534">
        <v>2010</v>
      </c>
      <c r="AV534">
        <v>10</v>
      </c>
      <c r="AW534">
        <v>11</v>
      </c>
      <c r="AX534" t="s">
        <v>74</v>
      </c>
      <c r="AY534" t="s">
        <v>74</v>
      </c>
      <c r="AZ534" t="s">
        <v>74</v>
      </c>
      <c r="BA534" t="s">
        <v>74</v>
      </c>
      <c r="BB534">
        <v>5145</v>
      </c>
      <c r="BC534">
        <v>5164</v>
      </c>
      <c r="BD534" t="s">
        <v>74</v>
      </c>
      <c r="BE534" t="s">
        <v>9995</v>
      </c>
      <c r="BF534" t="str">
        <f>HYPERLINK("http://dx.doi.org/10.5194/acp-10-5145-2010","http://dx.doi.org/10.5194/acp-10-5145-2010")</f>
        <v>http://dx.doi.org/10.5194/acp-10-5145-2010</v>
      </c>
      <c r="BG534" t="s">
        <v>74</v>
      </c>
      <c r="BH534" t="s">
        <v>74</v>
      </c>
      <c r="BI534">
        <v>20</v>
      </c>
      <c r="BJ534" t="s">
        <v>973</v>
      </c>
      <c r="BK534" t="s">
        <v>102</v>
      </c>
      <c r="BL534" t="s">
        <v>974</v>
      </c>
      <c r="BM534" t="s">
        <v>9980</v>
      </c>
      <c r="BN534" t="s">
        <v>74</v>
      </c>
      <c r="BO534" t="s">
        <v>5253</v>
      </c>
      <c r="BP534" t="s">
        <v>74</v>
      </c>
      <c r="BQ534" t="s">
        <v>74</v>
      </c>
      <c r="BR534" t="s">
        <v>105</v>
      </c>
      <c r="BS534" t="s">
        <v>9996</v>
      </c>
      <c r="BT534" t="str">
        <f>HYPERLINK("https%3A%2F%2Fwww.webofscience.com%2Fwos%2Fwoscc%2Ffull-record%2FWOS:000278745300011","View Full Record in Web of Science")</f>
        <v>View Full Record in Web of Science</v>
      </c>
    </row>
    <row r="535" spans="1:72" x14ac:dyDescent="0.15">
      <c r="A535" t="s">
        <v>72</v>
      </c>
      <c r="B535" t="s">
        <v>9997</v>
      </c>
      <c r="C535" t="s">
        <v>74</v>
      </c>
      <c r="D535" t="s">
        <v>74</v>
      </c>
      <c r="E535" t="s">
        <v>74</v>
      </c>
      <c r="F535" t="s">
        <v>9998</v>
      </c>
      <c r="G535" t="s">
        <v>74</v>
      </c>
      <c r="H535" t="s">
        <v>74</v>
      </c>
      <c r="I535" t="s">
        <v>9999</v>
      </c>
      <c r="J535" t="s">
        <v>9796</v>
      </c>
      <c r="K535" t="s">
        <v>74</v>
      </c>
      <c r="L535" t="s">
        <v>74</v>
      </c>
      <c r="M535" t="s">
        <v>78</v>
      </c>
      <c r="N535" t="s">
        <v>79</v>
      </c>
      <c r="O535" t="s">
        <v>74</v>
      </c>
      <c r="P535" t="s">
        <v>74</v>
      </c>
      <c r="Q535" t="s">
        <v>74</v>
      </c>
      <c r="R535" t="s">
        <v>74</v>
      </c>
      <c r="S535" t="s">
        <v>74</v>
      </c>
      <c r="T535" t="s">
        <v>74</v>
      </c>
      <c r="U535" t="s">
        <v>10000</v>
      </c>
      <c r="V535" t="s">
        <v>10001</v>
      </c>
      <c r="W535" t="s">
        <v>10002</v>
      </c>
      <c r="X535" t="s">
        <v>10003</v>
      </c>
      <c r="Y535" t="s">
        <v>10004</v>
      </c>
      <c r="Z535" t="s">
        <v>10005</v>
      </c>
      <c r="AA535" t="s">
        <v>10006</v>
      </c>
      <c r="AB535" t="s">
        <v>10007</v>
      </c>
      <c r="AC535" t="s">
        <v>74</v>
      </c>
      <c r="AD535" t="s">
        <v>74</v>
      </c>
      <c r="AE535" t="s">
        <v>74</v>
      </c>
      <c r="AF535" t="s">
        <v>74</v>
      </c>
      <c r="AG535">
        <v>45</v>
      </c>
      <c r="AH535">
        <v>50</v>
      </c>
      <c r="AI535">
        <v>57</v>
      </c>
      <c r="AJ535">
        <v>0</v>
      </c>
      <c r="AK535">
        <v>15</v>
      </c>
      <c r="AL535" t="s">
        <v>8999</v>
      </c>
      <c r="AM535" t="s">
        <v>9000</v>
      </c>
      <c r="AN535" t="s">
        <v>9001</v>
      </c>
      <c r="AO535" t="s">
        <v>9806</v>
      </c>
      <c r="AP535" t="s">
        <v>74</v>
      </c>
      <c r="AQ535" t="s">
        <v>74</v>
      </c>
      <c r="AR535" t="s">
        <v>9808</v>
      </c>
      <c r="AS535" t="s">
        <v>9809</v>
      </c>
      <c r="AT535" t="s">
        <v>74</v>
      </c>
      <c r="AU535">
        <v>2010</v>
      </c>
      <c r="AV535">
        <v>10</v>
      </c>
      <c r="AW535">
        <v>14</v>
      </c>
      <c r="AX535" t="s">
        <v>74</v>
      </c>
      <c r="AY535" t="s">
        <v>74</v>
      </c>
      <c r="AZ535" t="s">
        <v>74</v>
      </c>
      <c r="BA535" t="s">
        <v>74</v>
      </c>
      <c r="BB535">
        <v>6515</v>
      </c>
      <c r="BC535">
        <v>6526</v>
      </c>
      <c r="BD535" t="s">
        <v>74</v>
      </c>
      <c r="BE535" t="s">
        <v>10008</v>
      </c>
      <c r="BF535" t="str">
        <f>HYPERLINK("http://dx.doi.org/10.5194/acp-10-6515-2010","http://dx.doi.org/10.5194/acp-10-6515-2010")</f>
        <v>http://dx.doi.org/10.5194/acp-10-6515-2010</v>
      </c>
      <c r="BG535" t="s">
        <v>74</v>
      </c>
      <c r="BH535" t="s">
        <v>74</v>
      </c>
      <c r="BI535">
        <v>12</v>
      </c>
      <c r="BJ535" t="s">
        <v>973</v>
      </c>
      <c r="BK535" t="s">
        <v>102</v>
      </c>
      <c r="BL535" t="s">
        <v>974</v>
      </c>
      <c r="BM535" t="s">
        <v>10009</v>
      </c>
      <c r="BN535" t="s">
        <v>74</v>
      </c>
      <c r="BO535" t="s">
        <v>9897</v>
      </c>
      <c r="BP535" t="s">
        <v>74</v>
      </c>
      <c r="BQ535" t="s">
        <v>74</v>
      </c>
      <c r="BR535" t="s">
        <v>105</v>
      </c>
      <c r="BS535" t="s">
        <v>10010</v>
      </c>
      <c r="BT535" t="str">
        <f>HYPERLINK("https%3A%2F%2Fwww.webofscience.com%2Fwos%2Fwoscc%2Ffull-record%2FWOS:000280515600006","View Full Record in Web of Science")</f>
        <v>View Full Record in Web of Science</v>
      </c>
    </row>
    <row r="536" spans="1:72" x14ac:dyDescent="0.15">
      <c r="A536" t="s">
        <v>72</v>
      </c>
      <c r="B536" t="s">
        <v>10011</v>
      </c>
      <c r="C536" t="s">
        <v>74</v>
      </c>
      <c r="D536" t="s">
        <v>74</v>
      </c>
      <c r="E536" t="s">
        <v>74</v>
      </c>
      <c r="F536" t="s">
        <v>10012</v>
      </c>
      <c r="G536" t="s">
        <v>74</v>
      </c>
      <c r="H536" t="s">
        <v>74</v>
      </c>
      <c r="I536" t="s">
        <v>10013</v>
      </c>
      <c r="J536" t="s">
        <v>9796</v>
      </c>
      <c r="K536" t="s">
        <v>74</v>
      </c>
      <c r="L536" t="s">
        <v>74</v>
      </c>
      <c r="M536" t="s">
        <v>78</v>
      </c>
      <c r="N536" t="s">
        <v>79</v>
      </c>
      <c r="O536" t="s">
        <v>74</v>
      </c>
      <c r="P536" t="s">
        <v>74</v>
      </c>
      <c r="Q536" t="s">
        <v>74</v>
      </c>
      <c r="R536" t="s">
        <v>74</v>
      </c>
      <c r="S536" t="s">
        <v>74</v>
      </c>
      <c r="T536" t="s">
        <v>74</v>
      </c>
      <c r="U536" t="s">
        <v>10014</v>
      </c>
      <c r="V536" t="s">
        <v>10015</v>
      </c>
      <c r="W536" t="s">
        <v>10016</v>
      </c>
      <c r="X536" t="s">
        <v>10017</v>
      </c>
      <c r="Y536" t="s">
        <v>10018</v>
      </c>
      <c r="Z536" t="s">
        <v>10019</v>
      </c>
      <c r="AA536" t="s">
        <v>10020</v>
      </c>
      <c r="AB536" t="s">
        <v>10021</v>
      </c>
      <c r="AC536" t="s">
        <v>10022</v>
      </c>
      <c r="AD536" t="s">
        <v>1972</v>
      </c>
      <c r="AE536" t="s">
        <v>74</v>
      </c>
      <c r="AF536" t="s">
        <v>74</v>
      </c>
      <c r="AG536">
        <v>53</v>
      </c>
      <c r="AH536">
        <v>27</v>
      </c>
      <c r="AI536">
        <v>27</v>
      </c>
      <c r="AJ536">
        <v>0</v>
      </c>
      <c r="AK536">
        <v>8</v>
      </c>
      <c r="AL536" t="s">
        <v>8999</v>
      </c>
      <c r="AM536" t="s">
        <v>9000</v>
      </c>
      <c r="AN536" t="s">
        <v>9001</v>
      </c>
      <c r="AO536" t="s">
        <v>9806</v>
      </c>
      <c r="AP536" t="s">
        <v>9807</v>
      </c>
      <c r="AQ536" t="s">
        <v>74</v>
      </c>
      <c r="AR536" t="s">
        <v>9808</v>
      </c>
      <c r="AS536" t="s">
        <v>9809</v>
      </c>
      <c r="AT536" t="s">
        <v>74</v>
      </c>
      <c r="AU536">
        <v>2010</v>
      </c>
      <c r="AV536">
        <v>10</v>
      </c>
      <c r="AW536">
        <v>14</v>
      </c>
      <c r="AX536" t="s">
        <v>74</v>
      </c>
      <c r="AY536" t="s">
        <v>74</v>
      </c>
      <c r="AZ536" t="s">
        <v>74</v>
      </c>
      <c r="BA536" t="s">
        <v>74</v>
      </c>
      <c r="BB536">
        <v>6569</v>
      </c>
      <c r="BC536">
        <v>6581</v>
      </c>
      <c r="BD536" t="s">
        <v>74</v>
      </c>
      <c r="BE536" t="s">
        <v>10023</v>
      </c>
      <c r="BF536" t="str">
        <f>HYPERLINK("http://dx.doi.org/10.5194/acp-10-6569-2010","http://dx.doi.org/10.5194/acp-10-6569-2010")</f>
        <v>http://dx.doi.org/10.5194/acp-10-6569-2010</v>
      </c>
      <c r="BG536" t="s">
        <v>74</v>
      </c>
      <c r="BH536" t="s">
        <v>74</v>
      </c>
      <c r="BI536">
        <v>13</v>
      </c>
      <c r="BJ536" t="s">
        <v>973</v>
      </c>
      <c r="BK536" t="s">
        <v>102</v>
      </c>
      <c r="BL536" t="s">
        <v>974</v>
      </c>
      <c r="BM536" t="s">
        <v>10009</v>
      </c>
      <c r="BN536" t="s">
        <v>74</v>
      </c>
      <c r="BO536" t="s">
        <v>10024</v>
      </c>
      <c r="BP536" t="s">
        <v>74</v>
      </c>
      <c r="BQ536" t="s">
        <v>74</v>
      </c>
      <c r="BR536" t="s">
        <v>105</v>
      </c>
      <c r="BS536" t="s">
        <v>10025</v>
      </c>
      <c r="BT536" t="str">
        <f>HYPERLINK("https%3A%2F%2Fwww.webofscience.com%2Fwos%2Fwoscc%2Ffull-record%2FWOS:000280515600010","View Full Record in Web of Science")</f>
        <v>View Full Record in Web of Science</v>
      </c>
    </row>
    <row r="537" spans="1:72" x14ac:dyDescent="0.15">
      <c r="A537" t="s">
        <v>72</v>
      </c>
      <c r="B537" t="s">
        <v>10026</v>
      </c>
      <c r="C537" t="s">
        <v>74</v>
      </c>
      <c r="D537" t="s">
        <v>74</v>
      </c>
      <c r="E537" t="s">
        <v>74</v>
      </c>
      <c r="F537" t="s">
        <v>10027</v>
      </c>
      <c r="G537" t="s">
        <v>74</v>
      </c>
      <c r="H537" t="s">
        <v>74</v>
      </c>
      <c r="I537" t="s">
        <v>10028</v>
      </c>
      <c r="J537" t="s">
        <v>9796</v>
      </c>
      <c r="K537" t="s">
        <v>74</v>
      </c>
      <c r="L537" t="s">
        <v>74</v>
      </c>
      <c r="M537" t="s">
        <v>78</v>
      </c>
      <c r="N537" t="s">
        <v>79</v>
      </c>
      <c r="O537" t="s">
        <v>74</v>
      </c>
      <c r="P537" t="s">
        <v>74</v>
      </c>
      <c r="Q537" t="s">
        <v>74</v>
      </c>
      <c r="R537" t="s">
        <v>74</v>
      </c>
      <c r="S537" t="s">
        <v>74</v>
      </c>
      <c r="T537" t="s">
        <v>74</v>
      </c>
      <c r="U537" t="s">
        <v>10029</v>
      </c>
      <c r="V537" t="s">
        <v>10030</v>
      </c>
      <c r="W537" t="s">
        <v>10031</v>
      </c>
      <c r="X537" t="s">
        <v>10032</v>
      </c>
      <c r="Y537" t="s">
        <v>10033</v>
      </c>
      <c r="Z537" t="s">
        <v>10034</v>
      </c>
      <c r="AA537" t="s">
        <v>10035</v>
      </c>
      <c r="AB537" t="s">
        <v>10036</v>
      </c>
      <c r="AC537" t="s">
        <v>10037</v>
      </c>
      <c r="AD537" t="s">
        <v>10038</v>
      </c>
      <c r="AE537" t="s">
        <v>10039</v>
      </c>
      <c r="AF537" t="s">
        <v>74</v>
      </c>
      <c r="AG537">
        <v>50</v>
      </c>
      <c r="AH537">
        <v>99</v>
      </c>
      <c r="AI537">
        <v>113</v>
      </c>
      <c r="AJ537">
        <v>2</v>
      </c>
      <c r="AK537">
        <v>36</v>
      </c>
      <c r="AL537" t="s">
        <v>8999</v>
      </c>
      <c r="AM537" t="s">
        <v>9000</v>
      </c>
      <c r="AN537" t="s">
        <v>9001</v>
      </c>
      <c r="AO537" t="s">
        <v>9806</v>
      </c>
      <c r="AP537" t="s">
        <v>9807</v>
      </c>
      <c r="AQ537" t="s">
        <v>74</v>
      </c>
      <c r="AR537" t="s">
        <v>9808</v>
      </c>
      <c r="AS537" t="s">
        <v>9809</v>
      </c>
      <c r="AT537" t="s">
        <v>74</v>
      </c>
      <c r="AU537">
        <v>2010</v>
      </c>
      <c r="AV537">
        <v>10</v>
      </c>
      <c r="AW537">
        <v>16</v>
      </c>
      <c r="AX537" t="s">
        <v>74</v>
      </c>
      <c r="AY537" t="s">
        <v>74</v>
      </c>
      <c r="AZ537" t="s">
        <v>74</v>
      </c>
      <c r="BA537" t="s">
        <v>74</v>
      </c>
      <c r="BB537">
        <v>7763</v>
      </c>
      <c r="BC537">
        <v>7773</v>
      </c>
      <c r="BD537" t="s">
        <v>74</v>
      </c>
      <c r="BE537" t="s">
        <v>10040</v>
      </c>
      <c r="BF537" t="str">
        <f>HYPERLINK("http://dx.doi.org/10.5194/acp-10-7763-2010","http://dx.doi.org/10.5194/acp-10-7763-2010")</f>
        <v>http://dx.doi.org/10.5194/acp-10-7763-2010</v>
      </c>
      <c r="BG537" t="s">
        <v>74</v>
      </c>
      <c r="BH537" t="s">
        <v>74</v>
      </c>
      <c r="BI537">
        <v>11</v>
      </c>
      <c r="BJ537" t="s">
        <v>973</v>
      </c>
      <c r="BK537" t="s">
        <v>102</v>
      </c>
      <c r="BL537" t="s">
        <v>974</v>
      </c>
      <c r="BM537" t="s">
        <v>10041</v>
      </c>
      <c r="BN537" t="s">
        <v>74</v>
      </c>
      <c r="BO537" t="s">
        <v>10042</v>
      </c>
      <c r="BP537" t="s">
        <v>74</v>
      </c>
      <c r="BQ537" t="s">
        <v>74</v>
      </c>
      <c r="BR537" t="s">
        <v>105</v>
      </c>
      <c r="BS537" t="s">
        <v>10043</v>
      </c>
      <c r="BT537" t="str">
        <f>HYPERLINK("https%3A%2F%2Fwww.webofscience.com%2Fwos%2Fwoscc%2Ffull-record%2FWOS:000281432800017","View Full Record in Web of Science")</f>
        <v>View Full Record in Web of Science</v>
      </c>
    </row>
    <row r="538" spans="1:72" x14ac:dyDescent="0.15">
      <c r="A538" t="s">
        <v>72</v>
      </c>
      <c r="B538" t="s">
        <v>10044</v>
      </c>
      <c r="C538" t="s">
        <v>74</v>
      </c>
      <c r="D538" t="s">
        <v>74</v>
      </c>
      <c r="E538" t="s">
        <v>74</v>
      </c>
      <c r="F538" t="s">
        <v>10045</v>
      </c>
      <c r="G538" t="s">
        <v>74</v>
      </c>
      <c r="H538" t="s">
        <v>74</v>
      </c>
      <c r="I538" t="s">
        <v>10046</v>
      </c>
      <c r="J538" t="s">
        <v>9796</v>
      </c>
      <c r="K538" t="s">
        <v>74</v>
      </c>
      <c r="L538" t="s">
        <v>74</v>
      </c>
      <c r="M538" t="s">
        <v>78</v>
      </c>
      <c r="N538" t="s">
        <v>79</v>
      </c>
      <c r="O538" t="s">
        <v>74</v>
      </c>
      <c r="P538" t="s">
        <v>74</v>
      </c>
      <c r="Q538" t="s">
        <v>74</v>
      </c>
      <c r="R538" t="s">
        <v>74</v>
      </c>
      <c r="S538" t="s">
        <v>74</v>
      </c>
      <c r="T538" t="s">
        <v>74</v>
      </c>
      <c r="U538" t="s">
        <v>10047</v>
      </c>
      <c r="V538" t="s">
        <v>10048</v>
      </c>
      <c r="W538" t="s">
        <v>10049</v>
      </c>
      <c r="X538" t="s">
        <v>10050</v>
      </c>
      <c r="Y538" t="s">
        <v>10051</v>
      </c>
      <c r="Z538" t="s">
        <v>10052</v>
      </c>
      <c r="AA538" t="s">
        <v>10053</v>
      </c>
      <c r="AB538" t="s">
        <v>10054</v>
      </c>
      <c r="AC538" t="s">
        <v>10055</v>
      </c>
      <c r="AD538" t="s">
        <v>2112</v>
      </c>
      <c r="AE538" t="s">
        <v>10056</v>
      </c>
      <c r="AF538" t="s">
        <v>74</v>
      </c>
      <c r="AG538">
        <v>58</v>
      </c>
      <c r="AH538">
        <v>43</v>
      </c>
      <c r="AI538">
        <v>50</v>
      </c>
      <c r="AJ538">
        <v>1</v>
      </c>
      <c r="AK538">
        <v>18</v>
      </c>
      <c r="AL538" t="s">
        <v>8999</v>
      </c>
      <c r="AM538" t="s">
        <v>9000</v>
      </c>
      <c r="AN538" t="s">
        <v>9001</v>
      </c>
      <c r="AO538" t="s">
        <v>9806</v>
      </c>
      <c r="AP538" t="s">
        <v>9807</v>
      </c>
      <c r="AQ538" t="s">
        <v>74</v>
      </c>
      <c r="AR538" t="s">
        <v>9808</v>
      </c>
      <c r="AS538" t="s">
        <v>9809</v>
      </c>
      <c r="AT538" t="s">
        <v>74</v>
      </c>
      <c r="AU538">
        <v>2010</v>
      </c>
      <c r="AV538">
        <v>10</v>
      </c>
      <c r="AW538">
        <v>16</v>
      </c>
      <c r="AX538" t="s">
        <v>74</v>
      </c>
      <c r="AY538" t="s">
        <v>74</v>
      </c>
      <c r="AZ538" t="s">
        <v>74</v>
      </c>
      <c r="BA538" t="s">
        <v>74</v>
      </c>
      <c r="BB538">
        <v>7775</v>
      </c>
      <c r="BC538">
        <v>7794</v>
      </c>
      <c r="BD538" t="s">
        <v>74</v>
      </c>
      <c r="BE538" t="s">
        <v>10057</v>
      </c>
      <c r="BF538" t="str">
        <f>HYPERLINK("http://dx.doi.org/10.5194/acp-10-7775-2010","http://dx.doi.org/10.5194/acp-10-7775-2010")</f>
        <v>http://dx.doi.org/10.5194/acp-10-7775-2010</v>
      </c>
      <c r="BG538" t="s">
        <v>74</v>
      </c>
      <c r="BH538" t="s">
        <v>74</v>
      </c>
      <c r="BI538">
        <v>20</v>
      </c>
      <c r="BJ538" t="s">
        <v>973</v>
      </c>
      <c r="BK538" t="s">
        <v>102</v>
      </c>
      <c r="BL538" t="s">
        <v>974</v>
      </c>
      <c r="BM538" t="s">
        <v>10041</v>
      </c>
      <c r="BN538" t="s">
        <v>74</v>
      </c>
      <c r="BO538" t="s">
        <v>10058</v>
      </c>
      <c r="BP538" t="s">
        <v>74</v>
      </c>
      <c r="BQ538" t="s">
        <v>74</v>
      </c>
      <c r="BR538" t="s">
        <v>105</v>
      </c>
      <c r="BS538" t="s">
        <v>10059</v>
      </c>
      <c r="BT538" t="str">
        <f>HYPERLINK("https%3A%2F%2Fwww.webofscience.com%2Fwos%2Fwoscc%2Ffull-record%2FWOS:000281432800018","View Full Record in Web of Science")</f>
        <v>View Full Record in Web of Science</v>
      </c>
    </row>
    <row r="539" spans="1:72" x14ac:dyDescent="0.15">
      <c r="A539" t="s">
        <v>72</v>
      </c>
      <c r="B539" t="s">
        <v>10060</v>
      </c>
      <c r="C539" t="s">
        <v>74</v>
      </c>
      <c r="D539" t="s">
        <v>74</v>
      </c>
      <c r="E539" t="s">
        <v>74</v>
      </c>
      <c r="F539" t="s">
        <v>10061</v>
      </c>
      <c r="G539" t="s">
        <v>74</v>
      </c>
      <c r="H539" t="s">
        <v>74</v>
      </c>
      <c r="I539" t="s">
        <v>10062</v>
      </c>
      <c r="J539" t="s">
        <v>9796</v>
      </c>
      <c r="K539" t="s">
        <v>74</v>
      </c>
      <c r="L539" t="s">
        <v>74</v>
      </c>
      <c r="M539" t="s">
        <v>78</v>
      </c>
      <c r="N539" t="s">
        <v>79</v>
      </c>
      <c r="O539" t="s">
        <v>74</v>
      </c>
      <c r="P539" t="s">
        <v>74</v>
      </c>
      <c r="Q539" t="s">
        <v>74</v>
      </c>
      <c r="R539" t="s">
        <v>74</v>
      </c>
      <c r="S539" t="s">
        <v>74</v>
      </c>
      <c r="T539" t="s">
        <v>74</v>
      </c>
      <c r="U539" t="s">
        <v>10063</v>
      </c>
      <c r="V539" t="s">
        <v>10064</v>
      </c>
      <c r="W539" t="s">
        <v>10065</v>
      </c>
      <c r="X539" t="s">
        <v>10066</v>
      </c>
      <c r="Y539" t="s">
        <v>10067</v>
      </c>
      <c r="Z539" t="s">
        <v>10068</v>
      </c>
      <c r="AA539" t="s">
        <v>10069</v>
      </c>
      <c r="AB539" t="s">
        <v>10070</v>
      </c>
      <c r="AC539" t="s">
        <v>74</v>
      </c>
      <c r="AD539" t="s">
        <v>74</v>
      </c>
      <c r="AE539" t="s">
        <v>74</v>
      </c>
      <c r="AF539" t="s">
        <v>74</v>
      </c>
      <c r="AG539">
        <v>75</v>
      </c>
      <c r="AH539">
        <v>57</v>
      </c>
      <c r="AI539">
        <v>63</v>
      </c>
      <c r="AJ539">
        <v>1</v>
      </c>
      <c r="AK539">
        <v>39</v>
      </c>
      <c r="AL539" t="s">
        <v>8999</v>
      </c>
      <c r="AM539" t="s">
        <v>9000</v>
      </c>
      <c r="AN539" t="s">
        <v>9001</v>
      </c>
      <c r="AO539" t="s">
        <v>9806</v>
      </c>
      <c r="AP539" t="s">
        <v>9807</v>
      </c>
      <c r="AQ539" t="s">
        <v>74</v>
      </c>
      <c r="AR539" t="s">
        <v>9808</v>
      </c>
      <c r="AS539" t="s">
        <v>9809</v>
      </c>
      <c r="AT539" t="s">
        <v>74</v>
      </c>
      <c r="AU539">
        <v>2010</v>
      </c>
      <c r="AV539">
        <v>10</v>
      </c>
      <c r="AW539">
        <v>17</v>
      </c>
      <c r="AX539" t="s">
        <v>74</v>
      </c>
      <c r="AY539" t="s">
        <v>74</v>
      </c>
      <c r="AZ539" t="s">
        <v>74</v>
      </c>
      <c r="BA539" t="s">
        <v>74</v>
      </c>
      <c r="BB539">
        <v>8287</v>
      </c>
      <c r="BC539">
        <v>8303</v>
      </c>
      <c r="BD539" t="s">
        <v>74</v>
      </c>
      <c r="BE539" t="s">
        <v>10071</v>
      </c>
      <c r="BF539" t="str">
        <f>HYPERLINK("http://dx.doi.org/10.5194/acp-10-8287-2010","http://dx.doi.org/10.5194/acp-10-8287-2010")</f>
        <v>http://dx.doi.org/10.5194/acp-10-8287-2010</v>
      </c>
      <c r="BG539" t="s">
        <v>74</v>
      </c>
      <c r="BH539" t="s">
        <v>74</v>
      </c>
      <c r="BI539">
        <v>17</v>
      </c>
      <c r="BJ539" t="s">
        <v>973</v>
      </c>
      <c r="BK539" t="s">
        <v>102</v>
      </c>
      <c r="BL539" t="s">
        <v>974</v>
      </c>
      <c r="BM539" t="s">
        <v>10072</v>
      </c>
      <c r="BN539" t="s">
        <v>74</v>
      </c>
      <c r="BO539" t="s">
        <v>5253</v>
      </c>
      <c r="BP539" t="s">
        <v>74</v>
      </c>
      <c r="BQ539" t="s">
        <v>74</v>
      </c>
      <c r="BR539" t="s">
        <v>105</v>
      </c>
      <c r="BS539" t="s">
        <v>10073</v>
      </c>
      <c r="BT539" t="str">
        <f>HYPERLINK("https%3A%2F%2Fwww.webofscience.com%2Fwos%2Fwoscc%2Ffull-record%2FWOS:000281845800011","View Full Record in Web of Science")</f>
        <v>View Full Record in Web of Science</v>
      </c>
    </row>
    <row r="540" spans="1:72" x14ac:dyDescent="0.15">
      <c r="A540" t="s">
        <v>72</v>
      </c>
      <c r="B540" t="s">
        <v>10074</v>
      </c>
      <c r="C540" t="s">
        <v>74</v>
      </c>
      <c r="D540" t="s">
        <v>74</v>
      </c>
      <c r="E540" t="s">
        <v>74</v>
      </c>
      <c r="F540" t="s">
        <v>10075</v>
      </c>
      <c r="G540" t="s">
        <v>74</v>
      </c>
      <c r="H540" t="s">
        <v>74</v>
      </c>
      <c r="I540" t="s">
        <v>10076</v>
      </c>
      <c r="J540" t="s">
        <v>9796</v>
      </c>
      <c r="K540" t="s">
        <v>74</v>
      </c>
      <c r="L540" t="s">
        <v>74</v>
      </c>
      <c r="M540" t="s">
        <v>78</v>
      </c>
      <c r="N540" t="s">
        <v>79</v>
      </c>
      <c r="O540" t="s">
        <v>74</v>
      </c>
      <c r="P540" t="s">
        <v>74</v>
      </c>
      <c r="Q540" t="s">
        <v>74</v>
      </c>
      <c r="R540" t="s">
        <v>74</v>
      </c>
      <c r="S540" t="s">
        <v>74</v>
      </c>
      <c r="T540" t="s">
        <v>74</v>
      </c>
      <c r="U540" t="s">
        <v>10077</v>
      </c>
      <c r="V540" t="s">
        <v>10078</v>
      </c>
      <c r="W540" t="s">
        <v>10079</v>
      </c>
      <c r="X540" t="s">
        <v>10080</v>
      </c>
      <c r="Y540" t="s">
        <v>10081</v>
      </c>
      <c r="Z540" t="s">
        <v>10082</v>
      </c>
      <c r="AA540" t="s">
        <v>10083</v>
      </c>
      <c r="AB540" t="s">
        <v>10084</v>
      </c>
      <c r="AC540" t="s">
        <v>10085</v>
      </c>
      <c r="AD540" t="s">
        <v>10086</v>
      </c>
      <c r="AE540" t="s">
        <v>10087</v>
      </c>
      <c r="AF540" t="s">
        <v>74</v>
      </c>
      <c r="AG540">
        <v>51</v>
      </c>
      <c r="AH540">
        <v>37</v>
      </c>
      <c r="AI540">
        <v>38</v>
      </c>
      <c r="AJ540">
        <v>0</v>
      </c>
      <c r="AK540">
        <v>19</v>
      </c>
      <c r="AL540" t="s">
        <v>8999</v>
      </c>
      <c r="AM540" t="s">
        <v>9000</v>
      </c>
      <c r="AN540" t="s">
        <v>9001</v>
      </c>
      <c r="AO540" t="s">
        <v>9806</v>
      </c>
      <c r="AP540" t="s">
        <v>9807</v>
      </c>
      <c r="AQ540" t="s">
        <v>74</v>
      </c>
      <c r="AR540" t="s">
        <v>9808</v>
      </c>
      <c r="AS540" t="s">
        <v>9809</v>
      </c>
      <c r="AT540" t="s">
        <v>74</v>
      </c>
      <c r="AU540">
        <v>2010</v>
      </c>
      <c r="AV540">
        <v>10</v>
      </c>
      <c r="AW540">
        <v>17</v>
      </c>
      <c r="AX540" t="s">
        <v>74</v>
      </c>
      <c r="AY540" t="s">
        <v>74</v>
      </c>
      <c r="AZ540" t="s">
        <v>74</v>
      </c>
      <c r="BA540" t="s">
        <v>74</v>
      </c>
      <c r="BB540">
        <v>8499</v>
      </c>
      <c r="BC540">
        <v>8510</v>
      </c>
      <c r="BD540" t="s">
        <v>74</v>
      </c>
      <c r="BE540" t="s">
        <v>10088</v>
      </c>
      <c r="BF540" t="str">
        <f>HYPERLINK("http://dx.doi.org/10.5194/acp-10-8499-2010","http://dx.doi.org/10.5194/acp-10-8499-2010")</f>
        <v>http://dx.doi.org/10.5194/acp-10-8499-2010</v>
      </c>
      <c r="BG540" t="s">
        <v>74</v>
      </c>
      <c r="BH540" t="s">
        <v>74</v>
      </c>
      <c r="BI540">
        <v>12</v>
      </c>
      <c r="BJ540" t="s">
        <v>973</v>
      </c>
      <c r="BK540" t="s">
        <v>102</v>
      </c>
      <c r="BL540" t="s">
        <v>974</v>
      </c>
      <c r="BM540" t="s">
        <v>10072</v>
      </c>
      <c r="BN540" t="s">
        <v>74</v>
      </c>
      <c r="BO540" t="s">
        <v>5253</v>
      </c>
      <c r="BP540" t="s">
        <v>74</v>
      </c>
      <c r="BQ540" t="s">
        <v>74</v>
      </c>
      <c r="BR540" t="s">
        <v>105</v>
      </c>
      <c r="BS540" t="s">
        <v>10089</v>
      </c>
      <c r="BT540" t="str">
        <f>HYPERLINK("https%3A%2F%2Fwww.webofscience.com%2Fwos%2Fwoscc%2Ffull-record%2FWOS:000281845800024","View Full Record in Web of Science")</f>
        <v>View Full Record in Web of Science</v>
      </c>
    </row>
    <row r="541" spans="1:72" x14ac:dyDescent="0.15">
      <c r="A541" t="s">
        <v>72</v>
      </c>
      <c r="B541" t="s">
        <v>10090</v>
      </c>
      <c r="C541" t="s">
        <v>74</v>
      </c>
      <c r="D541" t="s">
        <v>74</v>
      </c>
      <c r="E541" t="s">
        <v>74</v>
      </c>
      <c r="F541" t="s">
        <v>10091</v>
      </c>
      <c r="G541" t="s">
        <v>74</v>
      </c>
      <c r="H541" t="s">
        <v>74</v>
      </c>
      <c r="I541" t="s">
        <v>10092</v>
      </c>
      <c r="J541" t="s">
        <v>9796</v>
      </c>
      <c r="K541" t="s">
        <v>74</v>
      </c>
      <c r="L541" t="s">
        <v>74</v>
      </c>
      <c r="M541" t="s">
        <v>78</v>
      </c>
      <c r="N541" t="s">
        <v>79</v>
      </c>
      <c r="O541" t="s">
        <v>74</v>
      </c>
      <c r="P541" t="s">
        <v>74</v>
      </c>
      <c r="Q541" t="s">
        <v>74</v>
      </c>
      <c r="R541" t="s">
        <v>74</v>
      </c>
      <c r="S541" t="s">
        <v>74</v>
      </c>
      <c r="T541" t="s">
        <v>74</v>
      </c>
      <c r="U541" t="s">
        <v>10093</v>
      </c>
      <c r="V541" t="s">
        <v>10094</v>
      </c>
      <c r="W541" t="s">
        <v>10095</v>
      </c>
      <c r="X541" t="s">
        <v>10096</v>
      </c>
      <c r="Y541" t="s">
        <v>10097</v>
      </c>
      <c r="Z541" t="s">
        <v>10098</v>
      </c>
      <c r="AA541" t="s">
        <v>10099</v>
      </c>
      <c r="AB541" t="s">
        <v>10100</v>
      </c>
      <c r="AC541" t="s">
        <v>10101</v>
      </c>
      <c r="AD541" t="s">
        <v>10102</v>
      </c>
      <c r="AE541" t="s">
        <v>10103</v>
      </c>
      <c r="AF541" t="s">
        <v>74</v>
      </c>
      <c r="AG541">
        <v>68</v>
      </c>
      <c r="AH541">
        <v>168</v>
      </c>
      <c r="AI541">
        <v>175</v>
      </c>
      <c r="AJ541">
        <v>4</v>
      </c>
      <c r="AK541">
        <v>58</v>
      </c>
      <c r="AL541" t="s">
        <v>8999</v>
      </c>
      <c r="AM541" t="s">
        <v>9000</v>
      </c>
      <c r="AN541" t="s">
        <v>9001</v>
      </c>
      <c r="AO541" t="s">
        <v>9806</v>
      </c>
      <c r="AP541" t="s">
        <v>9807</v>
      </c>
      <c r="AQ541" t="s">
        <v>74</v>
      </c>
      <c r="AR541" t="s">
        <v>9808</v>
      </c>
      <c r="AS541" t="s">
        <v>9809</v>
      </c>
      <c r="AT541" t="s">
        <v>74</v>
      </c>
      <c r="AU541">
        <v>2010</v>
      </c>
      <c r="AV541">
        <v>10</v>
      </c>
      <c r="AW541">
        <v>19</v>
      </c>
      <c r="AX541" t="s">
        <v>74</v>
      </c>
      <c r="AY541" t="s">
        <v>74</v>
      </c>
      <c r="AZ541" t="s">
        <v>74</v>
      </c>
      <c r="BA541" t="s">
        <v>74</v>
      </c>
      <c r="BB541">
        <v>9451</v>
      </c>
      <c r="BC541">
        <v>9472</v>
      </c>
      <c r="BD541" t="s">
        <v>74</v>
      </c>
      <c r="BE541" t="s">
        <v>10104</v>
      </c>
      <c r="BF541" t="str">
        <f>HYPERLINK("http://dx.doi.org/10.5194/acp-10-9451-2010","http://dx.doi.org/10.5194/acp-10-9451-2010")</f>
        <v>http://dx.doi.org/10.5194/acp-10-9451-2010</v>
      </c>
      <c r="BG541" t="s">
        <v>74</v>
      </c>
      <c r="BH541" t="s">
        <v>74</v>
      </c>
      <c r="BI541">
        <v>22</v>
      </c>
      <c r="BJ541" t="s">
        <v>973</v>
      </c>
      <c r="BK541" t="s">
        <v>102</v>
      </c>
      <c r="BL541" t="s">
        <v>974</v>
      </c>
      <c r="BM541" t="s">
        <v>10105</v>
      </c>
      <c r="BN541" t="s">
        <v>74</v>
      </c>
      <c r="BO541" t="s">
        <v>10106</v>
      </c>
      <c r="BP541" t="s">
        <v>74</v>
      </c>
      <c r="BQ541" t="s">
        <v>74</v>
      </c>
      <c r="BR541" t="s">
        <v>105</v>
      </c>
      <c r="BS541" t="s">
        <v>10107</v>
      </c>
      <c r="BT541" t="str">
        <f>HYPERLINK("https%3A%2F%2Fwww.webofscience.com%2Fwos%2Fwoscc%2Ffull-record%2FWOS:000283066300015","View Full Record in Web of Science")</f>
        <v>View Full Record in Web of Science</v>
      </c>
    </row>
    <row r="542" spans="1:72" x14ac:dyDescent="0.15">
      <c r="A542" t="s">
        <v>72</v>
      </c>
      <c r="B542" t="s">
        <v>10108</v>
      </c>
      <c r="C542" t="s">
        <v>74</v>
      </c>
      <c r="D542" t="s">
        <v>74</v>
      </c>
      <c r="E542" t="s">
        <v>74</v>
      </c>
      <c r="F542" t="s">
        <v>10109</v>
      </c>
      <c r="G542" t="s">
        <v>74</v>
      </c>
      <c r="H542" t="s">
        <v>74</v>
      </c>
      <c r="I542" t="s">
        <v>10110</v>
      </c>
      <c r="J542" t="s">
        <v>9796</v>
      </c>
      <c r="K542" t="s">
        <v>74</v>
      </c>
      <c r="L542" t="s">
        <v>74</v>
      </c>
      <c r="M542" t="s">
        <v>78</v>
      </c>
      <c r="N542" t="s">
        <v>79</v>
      </c>
      <c r="O542" t="s">
        <v>74</v>
      </c>
      <c r="P542" t="s">
        <v>74</v>
      </c>
      <c r="Q542" t="s">
        <v>74</v>
      </c>
      <c r="R542" t="s">
        <v>74</v>
      </c>
      <c r="S542" t="s">
        <v>74</v>
      </c>
      <c r="T542" t="s">
        <v>74</v>
      </c>
      <c r="U542" t="s">
        <v>10111</v>
      </c>
      <c r="V542" t="s">
        <v>10112</v>
      </c>
      <c r="W542" t="s">
        <v>10113</v>
      </c>
      <c r="X542" t="s">
        <v>10114</v>
      </c>
      <c r="Y542" t="s">
        <v>10115</v>
      </c>
      <c r="Z542" t="s">
        <v>10116</v>
      </c>
      <c r="AA542" t="s">
        <v>10117</v>
      </c>
      <c r="AB542" t="s">
        <v>10118</v>
      </c>
      <c r="AC542" t="s">
        <v>10119</v>
      </c>
      <c r="AD542" t="s">
        <v>10120</v>
      </c>
      <c r="AE542" t="s">
        <v>10121</v>
      </c>
      <c r="AF542" t="s">
        <v>74</v>
      </c>
      <c r="AG542">
        <v>59</v>
      </c>
      <c r="AH542">
        <v>49</v>
      </c>
      <c r="AI542">
        <v>53</v>
      </c>
      <c r="AJ542">
        <v>4</v>
      </c>
      <c r="AK542">
        <v>53</v>
      </c>
      <c r="AL542" t="s">
        <v>8999</v>
      </c>
      <c r="AM542" t="s">
        <v>9000</v>
      </c>
      <c r="AN542" t="s">
        <v>9001</v>
      </c>
      <c r="AO542" t="s">
        <v>9806</v>
      </c>
      <c r="AP542" t="s">
        <v>9807</v>
      </c>
      <c r="AQ542" t="s">
        <v>74</v>
      </c>
      <c r="AR542" t="s">
        <v>9808</v>
      </c>
      <c r="AS542" t="s">
        <v>9809</v>
      </c>
      <c r="AT542" t="s">
        <v>74</v>
      </c>
      <c r="AU542">
        <v>2010</v>
      </c>
      <c r="AV542">
        <v>10</v>
      </c>
      <c r="AW542">
        <v>20</v>
      </c>
      <c r="AX542" t="s">
        <v>74</v>
      </c>
      <c r="AY542" t="s">
        <v>74</v>
      </c>
      <c r="AZ542" t="s">
        <v>74</v>
      </c>
      <c r="BA542" t="s">
        <v>74</v>
      </c>
      <c r="BB542">
        <v>9781</v>
      </c>
      <c r="BC542">
        <v>9795</v>
      </c>
      <c r="BD542" t="s">
        <v>74</v>
      </c>
      <c r="BE542" t="s">
        <v>10122</v>
      </c>
      <c r="BF542" t="str">
        <f>HYPERLINK("http://dx.doi.org/10.5194/acp-10-9781-2010","http://dx.doi.org/10.5194/acp-10-9781-2010")</f>
        <v>http://dx.doi.org/10.5194/acp-10-9781-2010</v>
      </c>
      <c r="BG542" t="s">
        <v>74</v>
      </c>
      <c r="BH542" t="s">
        <v>74</v>
      </c>
      <c r="BI542">
        <v>15</v>
      </c>
      <c r="BJ542" t="s">
        <v>973</v>
      </c>
      <c r="BK542" t="s">
        <v>102</v>
      </c>
      <c r="BL542" t="s">
        <v>974</v>
      </c>
      <c r="BM542" t="s">
        <v>10123</v>
      </c>
      <c r="BN542" t="s">
        <v>74</v>
      </c>
      <c r="BO542" t="s">
        <v>8695</v>
      </c>
      <c r="BP542" t="s">
        <v>74</v>
      </c>
      <c r="BQ542" t="s">
        <v>74</v>
      </c>
      <c r="BR542" t="s">
        <v>105</v>
      </c>
      <c r="BS542" t="s">
        <v>10124</v>
      </c>
      <c r="BT542" t="str">
        <f>HYPERLINK("https%3A%2F%2Fwww.webofscience.com%2Fwos%2Fwoscc%2Ffull-record%2FWOS:000283663000005","View Full Record in Web of Science")</f>
        <v>View Full Record in Web of Science</v>
      </c>
    </row>
    <row r="543" spans="1:72" x14ac:dyDescent="0.15">
      <c r="A543" t="s">
        <v>72</v>
      </c>
      <c r="B543" t="s">
        <v>10125</v>
      </c>
      <c r="C543" t="s">
        <v>74</v>
      </c>
      <c r="D543" t="s">
        <v>74</v>
      </c>
      <c r="E543" t="s">
        <v>74</v>
      </c>
      <c r="F543" t="s">
        <v>10126</v>
      </c>
      <c r="G543" t="s">
        <v>74</v>
      </c>
      <c r="H543" t="s">
        <v>74</v>
      </c>
      <c r="I543" t="s">
        <v>10127</v>
      </c>
      <c r="J543" t="s">
        <v>9796</v>
      </c>
      <c r="K543" t="s">
        <v>74</v>
      </c>
      <c r="L543" t="s">
        <v>74</v>
      </c>
      <c r="M543" t="s">
        <v>78</v>
      </c>
      <c r="N543" t="s">
        <v>79</v>
      </c>
      <c r="O543" t="s">
        <v>74</v>
      </c>
      <c r="P543" t="s">
        <v>74</v>
      </c>
      <c r="Q543" t="s">
        <v>74</v>
      </c>
      <c r="R543" t="s">
        <v>74</v>
      </c>
      <c r="S543" t="s">
        <v>74</v>
      </c>
      <c r="T543" t="s">
        <v>74</v>
      </c>
      <c r="U543" t="s">
        <v>10128</v>
      </c>
      <c r="V543" t="s">
        <v>10129</v>
      </c>
      <c r="W543" t="s">
        <v>10130</v>
      </c>
      <c r="X543" t="s">
        <v>10131</v>
      </c>
      <c r="Y543" t="s">
        <v>10132</v>
      </c>
      <c r="Z543" t="s">
        <v>10133</v>
      </c>
      <c r="AA543" t="s">
        <v>10134</v>
      </c>
      <c r="AB543" t="s">
        <v>10135</v>
      </c>
      <c r="AC543" t="s">
        <v>10136</v>
      </c>
      <c r="AD543" t="s">
        <v>10137</v>
      </c>
      <c r="AE543" t="s">
        <v>10138</v>
      </c>
      <c r="AF543" t="s">
        <v>74</v>
      </c>
      <c r="AG543">
        <v>97</v>
      </c>
      <c r="AH543">
        <v>40</v>
      </c>
      <c r="AI543">
        <v>46</v>
      </c>
      <c r="AJ543">
        <v>2</v>
      </c>
      <c r="AK543">
        <v>42</v>
      </c>
      <c r="AL543" t="s">
        <v>8999</v>
      </c>
      <c r="AM543" t="s">
        <v>9000</v>
      </c>
      <c r="AN543" t="s">
        <v>9001</v>
      </c>
      <c r="AO543" t="s">
        <v>9806</v>
      </c>
      <c r="AP543" t="s">
        <v>9807</v>
      </c>
      <c r="AQ543" t="s">
        <v>74</v>
      </c>
      <c r="AR543" t="s">
        <v>9808</v>
      </c>
      <c r="AS543" t="s">
        <v>9809</v>
      </c>
      <c r="AT543" t="s">
        <v>74</v>
      </c>
      <c r="AU543">
        <v>2010</v>
      </c>
      <c r="AV543">
        <v>10</v>
      </c>
      <c r="AW543">
        <v>21</v>
      </c>
      <c r="AX543" t="s">
        <v>74</v>
      </c>
      <c r="AY543" t="s">
        <v>74</v>
      </c>
      <c r="AZ543" t="s">
        <v>74</v>
      </c>
      <c r="BA543" t="s">
        <v>74</v>
      </c>
      <c r="BB543">
        <v>10187</v>
      </c>
      <c r="BC543">
        <v>10209</v>
      </c>
      <c r="BD543" t="s">
        <v>74</v>
      </c>
      <c r="BE543" t="s">
        <v>10139</v>
      </c>
      <c r="BF543" t="str">
        <f>HYPERLINK("http://dx.doi.org/10.5194/acp-10-10187-2010","http://dx.doi.org/10.5194/acp-10-10187-2010")</f>
        <v>http://dx.doi.org/10.5194/acp-10-10187-2010</v>
      </c>
      <c r="BG543" t="s">
        <v>74</v>
      </c>
      <c r="BH543" t="s">
        <v>74</v>
      </c>
      <c r="BI543">
        <v>23</v>
      </c>
      <c r="BJ543" t="s">
        <v>973</v>
      </c>
      <c r="BK543" t="s">
        <v>102</v>
      </c>
      <c r="BL543" t="s">
        <v>974</v>
      </c>
      <c r="BM543" t="s">
        <v>10140</v>
      </c>
      <c r="BN543" t="s">
        <v>74</v>
      </c>
      <c r="BO543" t="s">
        <v>8695</v>
      </c>
      <c r="BP543" t="s">
        <v>74</v>
      </c>
      <c r="BQ543" t="s">
        <v>74</v>
      </c>
      <c r="BR543" t="s">
        <v>105</v>
      </c>
      <c r="BS543" t="s">
        <v>10141</v>
      </c>
      <c r="BT543" t="str">
        <f>HYPERLINK("https%3A%2F%2Fwww.webofscience.com%2Fwos%2Fwoscc%2Ffull-record%2FWOS:000284210400003","View Full Record in Web of Science")</f>
        <v>View Full Record in Web of Science</v>
      </c>
    </row>
    <row r="544" spans="1:72" x14ac:dyDescent="0.15">
      <c r="A544" t="s">
        <v>72</v>
      </c>
      <c r="B544" t="s">
        <v>10142</v>
      </c>
      <c r="C544" t="s">
        <v>74</v>
      </c>
      <c r="D544" t="s">
        <v>74</v>
      </c>
      <c r="E544" t="s">
        <v>74</v>
      </c>
      <c r="F544" t="s">
        <v>10143</v>
      </c>
      <c r="G544" t="s">
        <v>74</v>
      </c>
      <c r="H544" t="s">
        <v>74</v>
      </c>
      <c r="I544" t="s">
        <v>10144</v>
      </c>
      <c r="J544" t="s">
        <v>9796</v>
      </c>
      <c r="K544" t="s">
        <v>74</v>
      </c>
      <c r="L544" t="s">
        <v>74</v>
      </c>
      <c r="M544" t="s">
        <v>78</v>
      </c>
      <c r="N544" t="s">
        <v>79</v>
      </c>
      <c r="O544" t="s">
        <v>74</v>
      </c>
      <c r="P544" t="s">
        <v>74</v>
      </c>
      <c r="Q544" t="s">
        <v>74</v>
      </c>
      <c r="R544" t="s">
        <v>74</v>
      </c>
      <c r="S544" t="s">
        <v>74</v>
      </c>
      <c r="T544" t="s">
        <v>74</v>
      </c>
      <c r="U544" t="s">
        <v>10145</v>
      </c>
      <c r="V544" t="s">
        <v>10146</v>
      </c>
      <c r="W544" t="s">
        <v>10147</v>
      </c>
      <c r="X544" t="s">
        <v>10148</v>
      </c>
      <c r="Y544" t="s">
        <v>10149</v>
      </c>
      <c r="Z544" t="s">
        <v>10150</v>
      </c>
      <c r="AA544" t="s">
        <v>10151</v>
      </c>
      <c r="AB544" t="s">
        <v>10152</v>
      </c>
      <c r="AC544" t="s">
        <v>10153</v>
      </c>
      <c r="AD544" t="s">
        <v>10154</v>
      </c>
      <c r="AE544" t="s">
        <v>10155</v>
      </c>
      <c r="AF544" t="s">
        <v>74</v>
      </c>
      <c r="AG544">
        <v>43</v>
      </c>
      <c r="AH544">
        <v>36</v>
      </c>
      <c r="AI544">
        <v>36</v>
      </c>
      <c r="AJ544">
        <v>0</v>
      </c>
      <c r="AK544">
        <v>9</v>
      </c>
      <c r="AL544" t="s">
        <v>8999</v>
      </c>
      <c r="AM544" t="s">
        <v>9000</v>
      </c>
      <c r="AN544" t="s">
        <v>9001</v>
      </c>
      <c r="AO544" t="s">
        <v>9806</v>
      </c>
      <c r="AP544" t="s">
        <v>9807</v>
      </c>
      <c r="AQ544" t="s">
        <v>74</v>
      </c>
      <c r="AR544" t="s">
        <v>9808</v>
      </c>
      <c r="AS544" t="s">
        <v>9809</v>
      </c>
      <c r="AT544" t="s">
        <v>74</v>
      </c>
      <c r="AU544">
        <v>2010</v>
      </c>
      <c r="AV544">
        <v>10</v>
      </c>
      <c r="AW544">
        <v>21</v>
      </c>
      <c r="AX544" t="s">
        <v>74</v>
      </c>
      <c r="AY544" t="s">
        <v>74</v>
      </c>
      <c r="AZ544" t="s">
        <v>74</v>
      </c>
      <c r="BA544" t="s">
        <v>74</v>
      </c>
      <c r="BB544">
        <v>10273</v>
      </c>
      <c r="BC544">
        <v>10289</v>
      </c>
      <c r="BD544" t="s">
        <v>74</v>
      </c>
      <c r="BE544" t="s">
        <v>10156</v>
      </c>
      <c r="BF544" t="str">
        <f>HYPERLINK("http://dx.doi.org/10.5194/acp-10-10273-2010","http://dx.doi.org/10.5194/acp-10-10273-2010")</f>
        <v>http://dx.doi.org/10.5194/acp-10-10273-2010</v>
      </c>
      <c r="BG544" t="s">
        <v>74</v>
      </c>
      <c r="BH544" t="s">
        <v>74</v>
      </c>
      <c r="BI544">
        <v>17</v>
      </c>
      <c r="BJ544" t="s">
        <v>973</v>
      </c>
      <c r="BK544" t="s">
        <v>102</v>
      </c>
      <c r="BL544" t="s">
        <v>974</v>
      </c>
      <c r="BM544" t="s">
        <v>10140</v>
      </c>
      <c r="BN544" t="s">
        <v>74</v>
      </c>
      <c r="BO544" t="s">
        <v>10157</v>
      </c>
      <c r="BP544" t="s">
        <v>74</v>
      </c>
      <c r="BQ544" t="s">
        <v>74</v>
      </c>
      <c r="BR544" t="s">
        <v>105</v>
      </c>
      <c r="BS544" t="s">
        <v>10158</v>
      </c>
      <c r="BT544" t="str">
        <f>HYPERLINK("https%3A%2F%2Fwww.webofscience.com%2Fwos%2Fwoscc%2Ffull-record%2FWOS:000284210400008","View Full Record in Web of Science")</f>
        <v>View Full Record in Web of Science</v>
      </c>
    </row>
    <row r="545" spans="1:72" x14ac:dyDescent="0.15">
      <c r="A545" t="s">
        <v>72</v>
      </c>
      <c r="B545" t="s">
        <v>10159</v>
      </c>
      <c r="C545" t="s">
        <v>74</v>
      </c>
      <c r="D545" t="s">
        <v>74</v>
      </c>
      <c r="E545" t="s">
        <v>74</v>
      </c>
      <c r="F545" t="s">
        <v>10160</v>
      </c>
      <c r="G545" t="s">
        <v>74</v>
      </c>
      <c r="H545" t="s">
        <v>74</v>
      </c>
      <c r="I545" t="s">
        <v>10161</v>
      </c>
      <c r="J545" t="s">
        <v>9796</v>
      </c>
      <c r="K545" t="s">
        <v>74</v>
      </c>
      <c r="L545" t="s">
        <v>74</v>
      </c>
      <c r="M545" t="s">
        <v>78</v>
      </c>
      <c r="N545" t="s">
        <v>79</v>
      </c>
      <c r="O545" t="s">
        <v>74</v>
      </c>
      <c r="P545" t="s">
        <v>74</v>
      </c>
      <c r="Q545" t="s">
        <v>74</v>
      </c>
      <c r="R545" t="s">
        <v>74</v>
      </c>
      <c r="S545" t="s">
        <v>74</v>
      </c>
      <c r="T545" t="s">
        <v>74</v>
      </c>
      <c r="U545" t="s">
        <v>10162</v>
      </c>
      <c r="V545" t="s">
        <v>10163</v>
      </c>
      <c r="W545" t="s">
        <v>10164</v>
      </c>
      <c r="X545" t="s">
        <v>10165</v>
      </c>
      <c r="Y545" t="s">
        <v>10166</v>
      </c>
      <c r="Z545" t="s">
        <v>10167</v>
      </c>
      <c r="AA545" t="s">
        <v>10168</v>
      </c>
      <c r="AB545" t="s">
        <v>10169</v>
      </c>
      <c r="AC545" t="s">
        <v>10170</v>
      </c>
      <c r="AD545" t="s">
        <v>10171</v>
      </c>
      <c r="AE545" t="s">
        <v>10172</v>
      </c>
      <c r="AF545" t="s">
        <v>74</v>
      </c>
      <c r="AG545">
        <v>98</v>
      </c>
      <c r="AH545">
        <v>307</v>
      </c>
      <c r="AI545">
        <v>349</v>
      </c>
      <c r="AJ545">
        <v>3</v>
      </c>
      <c r="AK545">
        <v>128</v>
      </c>
      <c r="AL545" t="s">
        <v>8999</v>
      </c>
      <c r="AM545" t="s">
        <v>9000</v>
      </c>
      <c r="AN545" t="s">
        <v>9001</v>
      </c>
      <c r="AO545" t="s">
        <v>9806</v>
      </c>
      <c r="AP545" t="s">
        <v>9807</v>
      </c>
      <c r="AQ545" t="s">
        <v>74</v>
      </c>
      <c r="AR545" t="s">
        <v>9808</v>
      </c>
      <c r="AS545" t="s">
        <v>9809</v>
      </c>
      <c r="AT545" t="s">
        <v>74</v>
      </c>
      <c r="AU545">
        <v>2010</v>
      </c>
      <c r="AV545">
        <v>10</v>
      </c>
      <c r="AW545">
        <v>22</v>
      </c>
      <c r="AX545" t="s">
        <v>74</v>
      </c>
      <c r="AY545" t="s">
        <v>74</v>
      </c>
      <c r="AZ545" t="s">
        <v>74</v>
      </c>
      <c r="BA545" t="s">
        <v>74</v>
      </c>
      <c r="BB545">
        <v>10875</v>
      </c>
      <c r="BC545">
        <v>10893</v>
      </c>
      <c r="BD545" t="s">
        <v>74</v>
      </c>
      <c r="BE545" t="s">
        <v>10173</v>
      </c>
      <c r="BF545" t="str">
        <f>HYPERLINK("http://dx.doi.org/10.5194/acp-10-10875-2010","http://dx.doi.org/10.5194/acp-10-10875-2010")</f>
        <v>http://dx.doi.org/10.5194/acp-10-10875-2010</v>
      </c>
      <c r="BG545" t="s">
        <v>74</v>
      </c>
      <c r="BH545" t="s">
        <v>74</v>
      </c>
      <c r="BI545">
        <v>19</v>
      </c>
      <c r="BJ545" t="s">
        <v>973</v>
      </c>
      <c r="BK545" t="s">
        <v>102</v>
      </c>
      <c r="BL545" t="s">
        <v>974</v>
      </c>
      <c r="BM545" t="s">
        <v>10174</v>
      </c>
      <c r="BN545" t="s">
        <v>74</v>
      </c>
      <c r="BO545" t="s">
        <v>9077</v>
      </c>
      <c r="BP545" t="s">
        <v>74</v>
      </c>
      <c r="BQ545" t="s">
        <v>74</v>
      </c>
      <c r="BR545" t="s">
        <v>105</v>
      </c>
      <c r="BS545" t="s">
        <v>10175</v>
      </c>
      <c r="BT545" t="str">
        <f>HYPERLINK("https%3A%2F%2Fwww.webofscience.com%2Fwos%2Fwoscc%2Ffull-record%2FWOS:000284759500011","View Full Record in Web of Science")</f>
        <v>View Full Record in Web of Science</v>
      </c>
    </row>
    <row r="546" spans="1:72" x14ac:dyDescent="0.15">
      <c r="A546" t="s">
        <v>72</v>
      </c>
      <c r="B546" t="s">
        <v>10176</v>
      </c>
      <c r="C546" t="s">
        <v>74</v>
      </c>
      <c r="D546" t="s">
        <v>74</v>
      </c>
      <c r="E546" t="s">
        <v>74</v>
      </c>
      <c r="F546" t="s">
        <v>10177</v>
      </c>
      <c r="G546" t="s">
        <v>74</v>
      </c>
      <c r="H546" t="s">
        <v>74</v>
      </c>
      <c r="I546" t="s">
        <v>10178</v>
      </c>
      <c r="J546" t="s">
        <v>9796</v>
      </c>
      <c r="K546" t="s">
        <v>74</v>
      </c>
      <c r="L546" t="s">
        <v>74</v>
      </c>
      <c r="M546" t="s">
        <v>78</v>
      </c>
      <c r="N546" t="s">
        <v>79</v>
      </c>
      <c r="O546" t="s">
        <v>74</v>
      </c>
      <c r="P546" t="s">
        <v>74</v>
      </c>
      <c r="Q546" t="s">
        <v>74</v>
      </c>
      <c r="R546" t="s">
        <v>74</v>
      </c>
      <c r="S546" t="s">
        <v>74</v>
      </c>
      <c r="T546" t="s">
        <v>74</v>
      </c>
      <c r="U546" t="s">
        <v>10179</v>
      </c>
      <c r="V546" t="s">
        <v>10180</v>
      </c>
      <c r="W546" t="s">
        <v>10181</v>
      </c>
      <c r="X546" t="s">
        <v>10182</v>
      </c>
      <c r="Y546" t="s">
        <v>10183</v>
      </c>
      <c r="Z546" t="s">
        <v>10184</v>
      </c>
      <c r="AA546" t="s">
        <v>10185</v>
      </c>
      <c r="AB546" t="s">
        <v>10186</v>
      </c>
      <c r="AC546" t="s">
        <v>10187</v>
      </c>
      <c r="AD546" t="s">
        <v>1972</v>
      </c>
      <c r="AE546" t="s">
        <v>74</v>
      </c>
      <c r="AF546" t="s">
        <v>74</v>
      </c>
      <c r="AG546">
        <v>53</v>
      </c>
      <c r="AH546">
        <v>14</v>
      </c>
      <c r="AI546">
        <v>18</v>
      </c>
      <c r="AJ546">
        <v>0</v>
      </c>
      <c r="AK546">
        <v>10</v>
      </c>
      <c r="AL546" t="s">
        <v>8999</v>
      </c>
      <c r="AM546" t="s">
        <v>9000</v>
      </c>
      <c r="AN546" t="s">
        <v>9001</v>
      </c>
      <c r="AO546" t="s">
        <v>9806</v>
      </c>
      <c r="AP546" t="s">
        <v>9807</v>
      </c>
      <c r="AQ546" t="s">
        <v>74</v>
      </c>
      <c r="AR546" t="s">
        <v>9808</v>
      </c>
      <c r="AS546" t="s">
        <v>9809</v>
      </c>
      <c r="AT546" t="s">
        <v>74</v>
      </c>
      <c r="AU546">
        <v>2010</v>
      </c>
      <c r="AV546">
        <v>10</v>
      </c>
      <c r="AW546">
        <v>22</v>
      </c>
      <c r="AX546" t="s">
        <v>74</v>
      </c>
      <c r="AY546" t="s">
        <v>74</v>
      </c>
      <c r="AZ546" t="s">
        <v>74</v>
      </c>
      <c r="BA546" t="s">
        <v>74</v>
      </c>
      <c r="BB546">
        <v>11175</v>
      </c>
      <c r="BC546">
        <v>11188</v>
      </c>
      <c r="BD546" t="s">
        <v>74</v>
      </c>
      <c r="BE546" t="s">
        <v>10188</v>
      </c>
      <c r="BF546" t="str">
        <f>HYPERLINK("http://dx.doi.org/10.5194/acp-10-11175-2010","http://dx.doi.org/10.5194/acp-10-11175-2010")</f>
        <v>http://dx.doi.org/10.5194/acp-10-11175-2010</v>
      </c>
      <c r="BG546" t="s">
        <v>74</v>
      </c>
      <c r="BH546" t="s">
        <v>74</v>
      </c>
      <c r="BI546">
        <v>14</v>
      </c>
      <c r="BJ546" t="s">
        <v>973</v>
      </c>
      <c r="BK546" t="s">
        <v>102</v>
      </c>
      <c r="BL546" t="s">
        <v>974</v>
      </c>
      <c r="BM546" t="s">
        <v>10174</v>
      </c>
      <c r="BN546" t="s">
        <v>74</v>
      </c>
      <c r="BO546" t="s">
        <v>5253</v>
      </c>
      <c r="BP546" t="s">
        <v>74</v>
      </c>
      <c r="BQ546" t="s">
        <v>74</v>
      </c>
      <c r="BR546" t="s">
        <v>105</v>
      </c>
      <c r="BS546" t="s">
        <v>10189</v>
      </c>
      <c r="BT546" t="str">
        <f>HYPERLINK("https%3A%2F%2Fwww.webofscience.com%2Fwos%2Fwoscc%2Ffull-record%2FWOS:000284759500025","View Full Record in Web of Science")</f>
        <v>View Full Record in Web of Science</v>
      </c>
    </row>
    <row r="547" spans="1:72" x14ac:dyDescent="0.15">
      <c r="A547" t="s">
        <v>72</v>
      </c>
      <c r="B547" t="s">
        <v>10190</v>
      </c>
      <c r="C547" t="s">
        <v>74</v>
      </c>
      <c r="D547" t="s">
        <v>74</v>
      </c>
      <c r="E547" t="s">
        <v>74</v>
      </c>
      <c r="F547" t="s">
        <v>10191</v>
      </c>
      <c r="G547" t="s">
        <v>74</v>
      </c>
      <c r="H547" t="s">
        <v>74</v>
      </c>
      <c r="I547" t="s">
        <v>10192</v>
      </c>
      <c r="J547" t="s">
        <v>9796</v>
      </c>
      <c r="K547" t="s">
        <v>74</v>
      </c>
      <c r="L547" t="s">
        <v>74</v>
      </c>
      <c r="M547" t="s">
        <v>78</v>
      </c>
      <c r="N547" t="s">
        <v>79</v>
      </c>
      <c r="O547" t="s">
        <v>74</v>
      </c>
      <c r="P547" t="s">
        <v>74</v>
      </c>
      <c r="Q547" t="s">
        <v>74</v>
      </c>
      <c r="R547" t="s">
        <v>74</v>
      </c>
      <c r="S547" t="s">
        <v>74</v>
      </c>
      <c r="T547" t="s">
        <v>74</v>
      </c>
      <c r="U547" t="s">
        <v>10193</v>
      </c>
      <c r="V547" t="s">
        <v>10194</v>
      </c>
      <c r="W547" t="s">
        <v>10195</v>
      </c>
      <c r="X547" t="s">
        <v>10196</v>
      </c>
      <c r="Y547" t="s">
        <v>10197</v>
      </c>
      <c r="Z547" t="s">
        <v>10198</v>
      </c>
      <c r="AA547" t="s">
        <v>74</v>
      </c>
      <c r="AB547" t="s">
        <v>10199</v>
      </c>
      <c r="AC547" t="s">
        <v>10200</v>
      </c>
      <c r="AD547" t="s">
        <v>10200</v>
      </c>
      <c r="AE547" t="s">
        <v>10201</v>
      </c>
      <c r="AF547" t="s">
        <v>74</v>
      </c>
      <c r="AG547">
        <v>24</v>
      </c>
      <c r="AH547">
        <v>41</v>
      </c>
      <c r="AI547">
        <v>46</v>
      </c>
      <c r="AJ547">
        <v>0</v>
      </c>
      <c r="AK547">
        <v>3</v>
      </c>
      <c r="AL547" t="s">
        <v>8999</v>
      </c>
      <c r="AM547" t="s">
        <v>9000</v>
      </c>
      <c r="AN547" t="s">
        <v>9001</v>
      </c>
      <c r="AO547" t="s">
        <v>9806</v>
      </c>
      <c r="AP547" t="s">
        <v>9807</v>
      </c>
      <c r="AQ547" t="s">
        <v>74</v>
      </c>
      <c r="AR547" t="s">
        <v>9808</v>
      </c>
      <c r="AS547" t="s">
        <v>9809</v>
      </c>
      <c r="AT547" t="s">
        <v>74</v>
      </c>
      <c r="AU547">
        <v>2010</v>
      </c>
      <c r="AV547">
        <v>10</v>
      </c>
      <c r="AW547">
        <v>23</v>
      </c>
      <c r="AX547" t="s">
        <v>74</v>
      </c>
      <c r="AY547" t="s">
        <v>74</v>
      </c>
      <c r="AZ547" t="s">
        <v>74</v>
      </c>
      <c r="BA547" t="s">
        <v>74</v>
      </c>
      <c r="BB547">
        <v>11439</v>
      </c>
      <c r="BC547">
        <v>11446</v>
      </c>
      <c r="BD547" t="s">
        <v>74</v>
      </c>
      <c r="BE547" t="s">
        <v>10202</v>
      </c>
      <c r="BF547" t="str">
        <f>HYPERLINK("http://dx.doi.org/10.5194/acp-10-11439-2010","http://dx.doi.org/10.5194/acp-10-11439-2010")</f>
        <v>http://dx.doi.org/10.5194/acp-10-11439-2010</v>
      </c>
      <c r="BG547" t="s">
        <v>74</v>
      </c>
      <c r="BH547" t="s">
        <v>74</v>
      </c>
      <c r="BI547">
        <v>8</v>
      </c>
      <c r="BJ547" t="s">
        <v>973</v>
      </c>
      <c r="BK547" t="s">
        <v>102</v>
      </c>
      <c r="BL547" t="s">
        <v>974</v>
      </c>
      <c r="BM547" t="s">
        <v>10203</v>
      </c>
      <c r="BN547" t="s">
        <v>74</v>
      </c>
      <c r="BO547" t="s">
        <v>9077</v>
      </c>
      <c r="BP547" t="s">
        <v>74</v>
      </c>
      <c r="BQ547" t="s">
        <v>74</v>
      </c>
      <c r="BR547" t="s">
        <v>105</v>
      </c>
      <c r="BS547" t="s">
        <v>10204</v>
      </c>
      <c r="BT547" t="str">
        <f>HYPERLINK("https%3A%2F%2Fwww.webofscience.com%2Fwos%2Fwoscc%2Ffull-record%2FWOS:000285334900008","View Full Record in Web of Science")</f>
        <v>View Full Record in Web of Science</v>
      </c>
    </row>
    <row r="548" spans="1:72" x14ac:dyDescent="0.15">
      <c r="A548" t="s">
        <v>72</v>
      </c>
      <c r="B548" t="s">
        <v>10205</v>
      </c>
      <c r="C548" t="s">
        <v>74</v>
      </c>
      <c r="D548" t="s">
        <v>74</v>
      </c>
      <c r="E548" t="s">
        <v>74</v>
      </c>
      <c r="F548" t="s">
        <v>10206</v>
      </c>
      <c r="G548" t="s">
        <v>74</v>
      </c>
      <c r="H548" t="s">
        <v>74</v>
      </c>
      <c r="I548" t="s">
        <v>10207</v>
      </c>
      <c r="J548" t="s">
        <v>9796</v>
      </c>
      <c r="K548" t="s">
        <v>74</v>
      </c>
      <c r="L548" t="s">
        <v>74</v>
      </c>
      <c r="M548" t="s">
        <v>78</v>
      </c>
      <c r="N548" t="s">
        <v>79</v>
      </c>
      <c r="O548" t="s">
        <v>74</v>
      </c>
      <c r="P548" t="s">
        <v>74</v>
      </c>
      <c r="Q548" t="s">
        <v>74</v>
      </c>
      <c r="R548" t="s">
        <v>74</v>
      </c>
      <c r="S548" t="s">
        <v>74</v>
      </c>
      <c r="T548" t="s">
        <v>74</v>
      </c>
      <c r="U548" t="s">
        <v>10208</v>
      </c>
      <c r="V548" t="s">
        <v>10209</v>
      </c>
      <c r="W548" t="s">
        <v>10210</v>
      </c>
      <c r="X548" t="s">
        <v>10211</v>
      </c>
      <c r="Y548" t="s">
        <v>10212</v>
      </c>
      <c r="Z548" t="s">
        <v>10213</v>
      </c>
      <c r="AA548" t="s">
        <v>10214</v>
      </c>
      <c r="AB548" t="s">
        <v>10215</v>
      </c>
      <c r="AC548" t="s">
        <v>10216</v>
      </c>
      <c r="AD548" t="s">
        <v>10217</v>
      </c>
      <c r="AE548" t="s">
        <v>10218</v>
      </c>
      <c r="AF548" t="s">
        <v>74</v>
      </c>
      <c r="AG548">
        <v>153</v>
      </c>
      <c r="AH548">
        <v>344</v>
      </c>
      <c r="AI548">
        <v>384</v>
      </c>
      <c r="AJ548">
        <v>11</v>
      </c>
      <c r="AK548">
        <v>182</v>
      </c>
      <c r="AL548" t="s">
        <v>8999</v>
      </c>
      <c r="AM548" t="s">
        <v>9000</v>
      </c>
      <c r="AN548" t="s">
        <v>9001</v>
      </c>
      <c r="AO548" t="s">
        <v>9806</v>
      </c>
      <c r="AP548" t="s">
        <v>9807</v>
      </c>
      <c r="AQ548" t="s">
        <v>74</v>
      </c>
      <c r="AR548" t="s">
        <v>9808</v>
      </c>
      <c r="AS548" t="s">
        <v>9809</v>
      </c>
      <c r="AT548" t="s">
        <v>74</v>
      </c>
      <c r="AU548">
        <v>2010</v>
      </c>
      <c r="AV548">
        <v>10</v>
      </c>
      <c r="AW548">
        <v>24</v>
      </c>
      <c r="AX548" t="s">
        <v>74</v>
      </c>
      <c r="AY548" t="s">
        <v>74</v>
      </c>
      <c r="AZ548" t="s">
        <v>74</v>
      </c>
      <c r="BA548" t="s">
        <v>74</v>
      </c>
      <c r="BB548">
        <v>12037</v>
      </c>
      <c r="BC548">
        <v>12057</v>
      </c>
      <c r="BD548" t="s">
        <v>74</v>
      </c>
      <c r="BE548" t="s">
        <v>10219</v>
      </c>
      <c r="BF548" t="str">
        <f>HYPERLINK("http://dx.doi.org/10.5194/acp-10-12037-2010","http://dx.doi.org/10.5194/acp-10-12037-2010")</f>
        <v>http://dx.doi.org/10.5194/acp-10-12037-2010</v>
      </c>
      <c r="BG548" t="s">
        <v>74</v>
      </c>
      <c r="BH548" t="s">
        <v>74</v>
      </c>
      <c r="BI548">
        <v>21</v>
      </c>
      <c r="BJ548" t="s">
        <v>973</v>
      </c>
      <c r="BK548" t="s">
        <v>102</v>
      </c>
      <c r="BL548" t="s">
        <v>974</v>
      </c>
      <c r="BM548" t="s">
        <v>10220</v>
      </c>
      <c r="BN548" t="s">
        <v>74</v>
      </c>
      <c r="BO548" t="s">
        <v>5253</v>
      </c>
      <c r="BP548" t="s">
        <v>74</v>
      </c>
      <c r="BQ548" t="s">
        <v>74</v>
      </c>
      <c r="BR548" t="s">
        <v>105</v>
      </c>
      <c r="BS548" t="s">
        <v>10221</v>
      </c>
      <c r="BT548" t="str">
        <f>HYPERLINK("https%3A%2F%2Fwww.webofscience.com%2Fwos%2Fwoscc%2Ffull-record%2FWOS:000285581000004","View Full Record in Web of Science")</f>
        <v>View Full Record in Web of Science</v>
      </c>
    </row>
    <row r="549" spans="1:72" x14ac:dyDescent="0.15">
      <c r="A549" t="s">
        <v>72</v>
      </c>
      <c r="B549" t="s">
        <v>10222</v>
      </c>
      <c r="C549" t="s">
        <v>74</v>
      </c>
      <c r="D549" t="s">
        <v>74</v>
      </c>
      <c r="E549" t="s">
        <v>74</v>
      </c>
      <c r="F549" t="s">
        <v>10223</v>
      </c>
      <c r="G549" t="s">
        <v>74</v>
      </c>
      <c r="H549" t="s">
        <v>74</v>
      </c>
      <c r="I549" t="s">
        <v>10224</v>
      </c>
      <c r="J549" t="s">
        <v>6347</v>
      </c>
      <c r="K549" t="s">
        <v>74</v>
      </c>
      <c r="L549" t="s">
        <v>74</v>
      </c>
      <c r="M549" t="s">
        <v>78</v>
      </c>
      <c r="N549" t="s">
        <v>79</v>
      </c>
      <c r="O549" t="s">
        <v>74</v>
      </c>
      <c r="P549" t="s">
        <v>74</v>
      </c>
      <c r="Q549" t="s">
        <v>74</v>
      </c>
      <c r="R549" t="s">
        <v>74</v>
      </c>
      <c r="S549" t="s">
        <v>74</v>
      </c>
      <c r="T549" t="s">
        <v>10225</v>
      </c>
      <c r="U549" t="s">
        <v>10226</v>
      </c>
      <c r="V549" t="s">
        <v>10227</v>
      </c>
      <c r="W549" t="s">
        <v>10228</v>
      </c>
      <c r="X549" t="s">
        <v>10229</v>
      </c>
      <c r="Y549" t="s">
        <v>10230</v>
      </c>
      <c r="Z549" t="s">
        <v>10231</v>
      </c>
      <c r="AA549" t="s">
        <v>953</v>
      </c>
      <c r="AB549" t="s">
        <v>74</v>
      </c>
      <c r="AC549" t="s">
        <v>10232</v>
      </c>
      <c r="AD549" t="s">
        <v>1951</v>
      </c>
      <c r="AE549" t="s">
        <v>10233</v>
      </c>
      <c r="AF549" t="s">
        <v>74</v>
      </c>
      <c r="AG549">
        <v>46</v>
      </c>
      <c r="AH549">
        <v>42</v>
      </c>
      <c r="AI549">
        <v>64</v>
      </c>
      <c r="AJ549">
        <v>6</v>
      </c>
      <c r="AK549">
        <v>72</v>
      </c>
      <c r="AL549" t="s">
        <v>1063</v>
      </c>
      <c r="AM549" t="s">
        <v>1064</v>
      </c>
      <c r="AN549" t="s">
        <v>1065</v>
      </c>
      <c r="AO549" t="s">
        <v>6358</v>
      </c>
      <c r="AP549" t="s">
        <v>6359</v>
      </c>
      <c r="AQ549" t="s">
        <v>74</v>
      </c>
      <c r="AR549" t="s">
        <v>6360</v>
      </c>
      <c r="AS549" t="s">
        <v>6361</v>
      </c>
      <c r="AT549" t="s">
        <v>8958</v>
      </c>
      <c r="AU549">
        <v>2010</v>
      </c>
      <c r="AV549">
        <v>44</v>
      </c>
      <c r="AW549">
        <v>3</v>
      </c>
      <c r="AX549" t="s">
        <v>74</v>
      </c>
      <c r="AY549" t="s">
        <v>74</v>
      </c>
      <c r="AZ549" t="s">
        <v>74</v>
      </c>
      <c r="BA549" t="s">
        <v>74</v>
      </c>
      <c r="BB549">
        <v>304</v>
      </c>
      <c r="BC549">
        <v>311</v>
      </c>
      <c r="BD549" t="s">
        <v>74</v>
      </c>
      <c r="BE549" t="s">
        <v>10234</v>
      </c>
      <c r="BF549" t="str">
        <f>HYPERLINK("http://dx.doi.org/10.1016/j.atmosenv.2009.10.038","http://dx.doi.org/10.1016/j.atmosenv.2009.10.038")</f>
        <v>http://dx.doi.org/10.1016/j.atmosenv.2009.10.038</v>
      </c>
      <c r="BG549" t="s">
        <v>74</v>
      </c>
      <c r="BH549" t="s">
        <v>74</v>
      </c>
      <c r="BI549">
        <v>8</v>
      </c>
      <c r="BJ549" t="s">
        <v>973</v>
      </c>
      <c r="BK549" t="s">
        <v>102</v>
      </c>
      <c r="BL549" t="s">
        <v>974</v>
      </c>
      <c r="BM549" t="s">
        <v>10235</v>
      </c>
      <c r="BN549" t="s">
        <v>74</v>
      </c>
      <c r="BO549" t="s">
        <v>74</v>
      </c>
      <c r="BP549" t="s">
        <v>74</v>
      </c>
      <c r="BQ549" t="s">
        <v>74</v>
      </c>
      <c r="BR549" t="s">
        <v>105</v>
      </c>
      <c r="BS549" t="s">
        <v>10236</v>
      </c>
      <c r="BT549" t="str">
        <f>HYPERLINK("https%3A%2F%2Fwww.webofscience.com%2Fwos%2Fwoscc%2Ffull-record%2FWOS:000274353500003","View Full Record in Web of Science")</f>
        <v>View Full Record in Web of Science</v>
      </c>
    </row>
    <row r="550" spans="1:72" x14ac:dyDescent="0.15">
      <c r="A550" t="s">
        <v>72</v>
      </c>
      <c r="B550" t="s">
        <v>10237</v>
      </c>
      <c r="C550" t="s">
        <v>74</v>
      </c>
      <c r="D550" t="s">
        <v>74</v>
      </c>
      <c r="E550" t="s">
        <v>74</v>
      </c>
      <c r="F550" t="s">
        <v>10238</v>
      </c>
      <c r="G550" t="s">
        <v>74</v>
      </c>
      <c r="H550" t="s">
        <v>74</v>
      </c>
      <c r="I550" t="s">
        <v>10239</v>
      </c>
      <c r="J550" t="s">
        <v>10240</v>
      </c>
      <c r="K550" t="s">
        <v>74</v>
      </c>
      <c r="L550" t="s">
        <v>74</v>
      </c>
      <c r="M550" t="s">
        <v>78</v>
      </c>
      <c r="N550" t="s">
        <v>79</v>
      </c>
      <c r="O550" t="s">
        <v>74</v>
      </c>
      <c r="P550" t="s">
        <v>74</v>
      </c>
      <c r="Q550" t="s">
        <v>74</v>
      </c>
      <c r="R550" t="s">
        <v>74</v>
      </c>
      <c r="S550" t="s">
        <v>74</v>
      </c>
      <c r="T550" t="s">
        <v>74</v>
      </c>
      <c r="U550" t="s">
        <v>10241</v>
      </c>
      <c r="V550" t="s">
        <v>10242</v>
      </c>
      <c r="W550" t="s">
        <v>10243</v>
      </c>
      <c r="X550" t="s">
        <v>10244</v>
      </c>
      <c r="Y550" t="s">
        <v>10245</v>
      </c>
      <c r="Z550" t="s">
        <v>10246</v>
      </c>
      <c r="AA550" t="s">
        <v>10247</v>
      </c>
      <c r="AB550" t="s">
        <v>10248</v>
      </c>
      <c r="AC550" t="s">
        <v>10249</v>
      </c>
      <c r="AD550" t="s">
        <v>10250</v>
      </c>
      <c r="AE550" t="s">
        <v>10251</v>
      </c>
      <c r="AF550" t="s">
        <v>74</v>
      </c>
      <c r="AG550">
        <v>20</v>
      </c>
      <c r="AH550">
        <v>72</v>
      </c>
      <c r="AI550">
        <v>77</v>
      </c>
      <c r="AJ550">
        <v>0</v>
      </c>
      <c r="AK550">
        <v>31</v>
      </c>
      <c r="AL550" t="s">
        <v>8999</v>
      </c>
      <c r="AM550" t="s">
        <v>9000</v>
      </c>
      <c r="AN550" t="s">
        <v>9001</v>
      </c>
      <c r="AO550" t="s">
        <v>10252</v>
      </c>
      <c r="AP550" t="s">
        <v>74</v>
      </c>
      <c r="AQ550" t="s">
        <v>74</v>
      </c>
      <c r="AR550" t="s">
        <v>10253</v>
      </c>
      <c r="AS550" t="s">
        <v>10254</v>
      </c>
      <c r="AT550" t="s">
        <v>74</v>
      </c>
      <c r="AU550">
        <v>2010</v>
      </c>
      <c r="AV550">
        <v>3</v>
      </c>
      <c r="AW550">
        <v>6</v>
      </c>
      <c r="AX550" t="s">
        <v>74</v>
      </c>
      <c r="AY550" t="s">
        <v>74</v>
      </c>
      <c r="AZ550" t="s">
        <v>74</v>
      </c>
      <c r="BA550" t="s">
        <v>74</v>
      </c>
      <c r="BB550">
        <v>1629</v>
      </c>
      <c r="BC550">
        <v>1646</v>
      </c>
      <c r="BD550" t="s">
        <v>74</v>
      </c>
      <c r="BE550" t="s">
        <v>10255</v>
      </c>
      <c r="BF550" t="str">
        <f>HYPERLINK("http://dx.doi.org/10.5194/amt-3-1629-2010","http://dx.doi.org/10.5194/amt-3-1629-2010")</f>
        <v>http://dx.doi.org/10.5194/amt-3-1629-2010</v>
      </c>
      <c r="BG550" t="s">
        <v>74</v>
      </c>
      <c r="BH550" t="s">
        <v>74</v>
      </c>
      <c r="BI550">
        <v>18</v>
      </c>
      <c r="BJ550" t="s">
        <v>258</v>
      </c>
      <c r="BK550" t="s">
        <v>102</v>
      </c>
      <c r="BL550" t="s">
        <v>258</v>
      </c>
      <c r="BM550" t="s">
        <v>10256</v>
      </c>
      <c r="BN550" t="s">
        <v>74</v>
      </c>
      <c r="BO550" t="s">
        <v>8695</v>
      </c>
      <c r="BP550" t="s">
        <v>74</v>
      </c>
      <c r="BQ550" t="s">
        <v>74</v>
      </c>
      <c r="BR550" t="s">
        <v>105</v>
      </c>
      <c r="BS550" t="s">
        <v>10257</v>
      </c>
      <c r="BT550" t="str">
        <f>HYPERLINK("https%3A%2F%2Fwww.webofscience.com%2Fwos%2Fwoscc%2Ffull-record%2FWOS:000285573200011","View Full Record in Web of Science")</f>
        <v>View Full Record in Web of Science</v>
      </c>
    </row>
    <row r="551" spans="1:72" x14ac:dyDescent="0.15">
      <c r="A551" t="s">
        <v>72</v>
      </c>
      <c r="B551" t="s">
        <v>10258</v>
      </c>
      <c r="C551" t="s">
        <v>74</v>
      </c>
      <c r="D551" t="s">
        <v>74</v>
      </c>
      <c r="E551" t="s">
        <v>74</v>
      </c>
      <c r="F551" t="s">
        <v>10259</v>
      </c>
      <c r="G551" t="s">
        <v>74</v>
      </c>
      <c r="H551" t="s">
        <v>74</v>
      </c>
      <c r="I551" t="s">
        <v>10260</v>
      </c>
      <c r="J551" t="s">
        <v>10261</v>
      </c>
      <c r="K551" t="s">
        <v>74</v>
      </c>
      <c r="L551" t="s">
        <v>74</v>
      </c>
      <c r="M551" t="s">
        <v>78</v>
      </c>
      <c r="N551" t="s">
        <v>79</v>
      </c>
      <c r="O551" t="s">
        <v>74</v>
      </c>
      <c r="P551" t="s">
        <v>74</v>
      </c>
      <c r="Q551" t="s">
        <v>74</v>
      </c>
      <c r="R551" t="s">
        <v>74</v>
      </c>
      <c r="S551" t="s">
        <v>74</v>
      </c>
      <c r="T551" t="s">
        <v>10262</v>
      </c>
      <c r="U551" t="s">
        <v>10263</v>
      </c>
      <c r="V551" t="s">
        <v>10264</v>
      </c>
      <c r="W551" t="s">
        <v>10265</v>
      </c>
      <c r="X551" t="s">
        <v>10266</v>
      </c>
      <c r="Y551" t="s">
        <v>10267</v>
      </c>
      <c r="Z551" t="s">
        <v>10268</v>
      </c>
      <c r="AA551" t="s">
        <v>10269</v>
      </c>
      <c r="AB551" t="s">
        <v>10270</v>
      </c>
      <c r="AC551" t="s">
        <v>10271</v>
      </c>
      <c r="AD551" t="s">
        <v>10272</v>
      </c>
      <c r="AE551" t="s">
        <v>10273</v>
      </c>
      <c r="AF551" t="s">
        <v>74</v>
      </c>
      <c r="AG551">
        <v>23</v>
      </c>
      <c r="AH551">
        <v>36</v>
      </c>
      <c r="AI551">
        <v>39</v>
      </c>
      <c r="AJ551">
        <v>0</v>
      </c>
      <c r="AK551">
        <v>13</v>
      </c>
      <c r="AL551" t="s">
        <v>10274</v>
      </c>
      <c r="AM551" t="s">
        <v>10275</v>
      </c>
      <c r="AN551" t="s">
        <v>10276</v>
      </c>
      <c r="AO551" t="s">
        <v>10277</v>
      </c>
      <c r="AP551" t="s">
        <v>74</v>
      </c>
      <c r="AQ551" t="s">
        <v>74</v>
      </c>
      <c r="AR551" t="s">
        <v>10278</v>
      </c>
      <c r="AS551" t="s">
        <v>10279</v>
      </c>
      <c r="AT551" t="s">
        <v>9557</v>
      </c>
      <c r="AU551">
        <v>2010</v>
      </c>
      <c r="AV551">
        <v>11</v>
      </c>
      <c r="AW551">
        <v>1</v>
      </c>
      <c r="AX551" t="s">
        <v>74</v>
      </c>
      <c r="AY551" t="s">
        <v>74</v>
      </c>
      <c r="AZ551" t="s">
        <v>74</v>
      </c>
      <c r="BA551" t="s">
        <v>74</v>
      </c>
      <c r="BB551">
        <v>21</v>
      </c>
      <c r="BC551">
        <v>26</v>
      </c>
      <c r="BD551" t="s">
        <v>74</v>
      </c>
      <c r="BE551" t="s">
        <v>10280</v>
      </c>
      <c r="BF551" t="str">
        <f>HYPERLINK("http://dx.doi.org/10.1002/asl.247","http://dx.doi.org/10.1002/asl.247")</f>
        <v>http://dx.doi.org/10.1002/asl.247</v>
      </c>
      <c r="BG551" t="s">
        <v>74</v>
      </c>
      <c r="BH551" t="s">
        <v>74</v>
      </c>
      <c r="BI551">
        <v>6</v>
      </c>
      <c r="BJ551" t="s">
        <v>1693</v>
      </c>
      <c r="BK551" t="s">
        <v>102</v>
      </c>
      <c r="BL551" t="s">
        <v>1693</v>
      </c>
      <c r="BM551" t="s">
        <v>10281</v>
      </c>
      <c r="BN551" t="s">
        <v>74</v>
      </c>
      <c r="BO551" t="s">
        <v>74</v>
      </c>
      <c r="BP551" t="s">
        <v>74</v>
      </c>
      <c r="BQ551" t="s">
        <v>74</v>
      </c>
      <c r="BR551" t="s">
        <v>105</v>
      </c>
      <c r="BS551" t="s">
        <v>10282</v>
      </c>
      <c r="BT551" t="str">
        <f>HYPERLINK("https%3A%2F%2Fwww.webofscience.com%2Fwos%2Fwoscc%2Ffull-record%2FWOS:000275395300004","View Full Record in Web of Science")</f>
        <v>View Full Record in Web of Science</v>
      </c>
    </row>
    <row r="552" spans="1:72" x14ac:dyDescent="0.15">
      <c r="A552" t="s">
        <v>72</v>
      </c>
      <c r="B552" t="s">
        <v>10283</v>
      </c>
      <c r="C552" t="s">
        <v>74</v>
      </c>
      <c r="D552" t="s">
        <v>74</v>
      </c>
      <c r="E552" t="s">
        <v>74</v>
      </c>
      <c r="F552" t="s">
        <v>10284</v>
      </c>
      <c r="G552" t="s">
        <v>74</v>
      </c>
      <c r="H552" t="s">
        <v>74</v>
      </c>
      <c r="I552" t="s">
        <v>10285</v>
      </c>
      <c r="J552" t="s">
        <v>10261</v>
      </c>
      <c r="K552" t="s">
        <v>74</v>
      </c>
      <c r="L552" t="s">
        <v>74</v>
      </c>
      <c r="M552" t="s">
        <v>78</v>
      </c>
      <c r="N552" t="s">
        <v>79</v>
      </c>
      <c r="O552" t="s">
        <v>74</v>
      </c>
      <c r="P552" t="s">
        <v>74</v>
      </c>
      <c r="Q552" t="s">
        <v>74</v>
      </c>
      <c r="R552" t="s">
        <v>74</v>
      </c>
      <c r="S552" t="s">
        <v>74</v>
      </c>
      <c r="T552" t="s">
        <v>10286</v>
      </c>
      <c r="U552" t="s">
        <v>10287</v>
      </c>
      <c r="V552" t="s">
        <v>10288</v>
      </c>
      <c r="W552" t="s">
        <v>10289</v>
      </c>
      <c r="X552" t="s">
        <v>10290</v>
      </c>
      <c r="Y552" t="s">
        <v>10291</v>
      </c>
      <c r="Z552" t="s">
        <v>10292</v>
      </c>
      <c r="AA552" t="s">
        <v>10293</v>
      </c>
      <c r="AB552" t="s">
        <v>10294</v>
      </c>
      <c r="AC552" t="s">
        <v>10295</v>
      </c>
      <c r="AD552" t="s">
        <v>10296</v>
      </c>
      <c r="AE552" t="s">
        <v>10297</v>
      </c>
      <c r="AF552" t="s">
        <v>74</v>
      </c>
      <c r="AG552">
        <v>25</v>
      </c>
      <c r="AH552">
        <v>11</v>
      </c>
      <c r="AI552">
        <v>15</v>
      </c>
      <c r="AJ552">
        <v>0</v>
      </c>
      <c r="AK552">
        <v>5</v>
      </c>
      <c r="AL552" t="s">
        <v>991</v>
      </c>
      <c r="AM552" t="s">
        <v>992</v>
      </c>
      <c r="AN552" t="s">
        <v>993</v>
      </c>
      <c r="AO552" t="s">
        <v>10277</v>
      </c>
      <c r="AP552" t="s">
        <v>74</v>
      </c>
      <c r="AQ552" t="s">
        <v>74</v>
      </c>
      <c r="AR552" t="s">
        <v>10278</v>
      </c>
      <c r="AS552" t="s">
        <v>10279</v>
      </c>
      <c r="AT552" t="s">
        <v>9557</v>
      </c>
      <c r="AU552">
        <v>2010</v>
      </c>
      <c r="AV552">
        <v>11</v>
      </c>
      <c r="AW552">
        <v>1</v>
      </c>
      <c r="AX552" t="s">
        <v>74</v>
      </c>
      <c r="AY552" t="s">
        <v>74</v>
      </c>
      <c r="AZ552" t="s">
        <v>74</v>
      </c>
      <c r="BA552" t="s">
        <v>74</v>
      </c>
      <c r="BB552">
        <v>39</v>
      </c>
      <c r="BC552">
        <v>45</v>
      </c>
      <c r="BD552" t="s">
        <v>74</v>
      </c>
      <c r="BE552" t="s">
        <v>10298</v>
      </c>
      <c r="BF552" t="str">
        <f>HYPERLINK("http://dx.doi.org/10.1002/asl.253","http://dx.doi.org/10.1002/asl.253")</f>
        <v>http://dx.doi.org/10.1002/asl.253</v>
      </c>
      <c r="BG552" t="s">
        <v>74</v>
      </c>
      <c r="BH552" t="s">
        <v>74</v>
      </c>
      <c r="BI552">
        <v>7</v>
      </c>
      <c r="BJ552" t="s">
        <v>1693</v>
      </c>
      <c r="BK552" t="s">
        <v>102</v>
      </c>
      <c r="BL552" t="s">
        <v>1693</v>
      </c>
      <c r="BM552" t="s">
        <v>10281</v>
      </c>
      <c r="BN552" t="s">
        <v>74</v>
      </c>
      <c r="BO552" t="s">
        <v>3033</v>
      </c>
      <c r="BP552" t="s">
        <v>74</v>
      </c>
      <c r="BQ552" t="s">
        <v>74</v>
      </c>
      <c r="BR552" t="s">
        <v>105</v>
      </c>
      <c r="BS552" t="s">
        <v>10299</v>
      </c>
      <c r="BT552" t="str">
        <f>HYPERLINK("https%3A%2F%2Fwww.webofscience.com%2Fwos%2Fwoscc%2Ffull-record%2FWOS:000275395300007","View Full Record in Web of Science")</f>
        <v>View Full Record in Web of Science</v>
      </c>
    </row>
    <row r="553" spans="1:72" x14ac:dyDescent="0.15">
      <c r="A553" t="s">
        <v>72</v>
      </c>
      <c r="B553" t="s">
        <v>10300</v>
      </c>
      <c r="C553" t="s">
        <v>74</v>
      </c>
      <c r="D553" t="s">
        <v>74</v>
      </c>
      <c r="E553" t="s">
        <v>74</v>
      </c>
      <c r="F553" t="s">
        <v>10301</v>
      </c>
      <c r="G553" t="s">
        <v>74</v>
      </c>
      <c r="H553" t="s">
        <v>74</v>
      </c>
      <c r="I553" t="s">
        <v>10302</v>
      </c>
      <c r="J553" t="s">
        <v>10303</v>
      </c>
      <c r="K553" t="s">
        <v>74</v>
      </c>
      <c r="L553" t="s">
        <v>74</v>
      </c>
      <c r="M553" t="s">
        <v>78</v>
      </c>
      <c r="N553" t="s">
        <v>79</v>
      </c>
      <c r="O553" t="s">
        <v>74</v>
      </c>
      <c r="P553" t="s">
        <v>74</v>
      </c>
      <c r="Q553" t="s">
        <v>74</v>
      </c>
      <c r="R553" t="s">
        <v>74</v>
      </c>
      <c r="S553" t="s">
        <v>74</v>
      </c>
      <c r="T553" t="s">
        <v>10304</v>
      </c>
      <c r="U553" t="s">
        <v>10305</v>
      </c>
      <c r="V553" t="s">
        <v>10306</v>
      </c>
      <c r="W553" t="s">
        <v>10307</v>
      </c>
      <c r="X553" t="s">
        <v>1787</v>
      </c>
      <c r="Y553" t="s">
        <v>10308</v>
      </c>
      <c r="Z553" t="s">
        <v>10309</v>
      </c>
      <c r="AA553" t="s">
        <v>10310</v>
      </c>
      <c r="AB553" t="s">
        <v>10311</v>
      </c>
      <c r="AC553" t="s">
        <v>10312</v>
      </c>
      <c r="AD553" t="s">
        <v>10313</v>
      </c>
      <c r="AE553" t="s">
        <v>10314</v>
      </c>
      <c r="AF553" t="s">
        <v>74</v>
      </c>
      <c r="AG553">
        <v>45</v>
      </c>
      <c r="AH553">
        <v>3</v>
      </c>
      <c r="AI553">
        <v>3</v>
      </c>
      <c r="AJ553">
        <v>2</v>
      </c>
      <c r="AK553">
        <v>18</v>
      </c>
      <c r="AL553" t="s">
        <v>10315</v>
      </c>
      <c r="AM553" t="s">
        <v>1876</v>
      </c>
      <c r="AN553" t="s">
        <v>10316</v>
      </c>
      <c r="AO553" t="s">
        <v>10317</v>
      </c>
      <c r="AP553" t="s">
        <v>74</v>
      </c>
      <c r="AQ553" t="s">
        <v>74</v>
      </c>
      <c r="AR553" t="s">
        <v>10303</v>
      </c>
      <c r="AS553" t="s">
        <v>10303</v>
      </c>
      <c r="AT553" t="s">
        <v>8958</v>
      </c>
      <c r="AU553">
        <v>2010</v>
      </c>
      <c r="AV553">
        <v>127</v>
      </c>
      <c r="AW553">
        <v>1</v>
      </c>
      <c r="AX553" t="s">
        <v>74</v>
      </c>
      <c r="AY553" t="s">
        <v>74</v>
      </c>
      <c r="AZ553" t="s">
        <v>74</v>
      </c>
      <c r="BA553" t="s">
        <v>74</v>
      </c>
      <c r="BB553">
        <v>140</v>
      </c>
      <c r="BC553">
        <v>150</v>
      </c>
      <c r="BD553" t="s">
        <v>74</v>
      </c>
      <c r="BE553" t="s">
        <v>10318</v>
      </c>
      <c r="BF553" t="str">
        <f>HYPERLINK("http://dx.doi.org/10.1525/auk.2009.09158","http://dx.doi.org/10.1525/auk.2009.09158")</f>
        <v>http://dx.doi.org/10.1525/auk.2009.09158</v>
      </c>
      <c r="BG553" t="s">
        <v>74</v>
      </c>
      <c r="BH553" t="s">
        <v>74</v>
      </c>
      <c r="BI553">
        <v>11</v>
      </c>
      <c r="BJ553" t="s">
        <v>10319</v>
      </c>
      <c r="BK553" t="s">
        <v>102</v>
      </c>
      <c r="BL553" t="s">
        <v>281</v>
      </c>
      <c r="BM553" t="s">
        <v>10320</v>
      </c>
      <c r="BN553" t="s">
        <v>74</v>
      </c>
      <c r="BO553" t="s">
        <v>104</v>
      </c>
      <c r="BP553" t="s">
        <v>74</v>
      </c>
      <c r="BQ553" t="s">
        <v>74</v>
      </c>
      <c r="BR553" t="s">
        <v>105</v>
      </c>
      <c r="BS553" t="s">
        <v>10321</v>
      </c>
      <c r="BT553" t="str">
        <f>HYPERLINK("https%3A%2F%2Fwww.webofscience.com%2Fwos%2Fwoscc%2Ffull-record%2FWOS:000274452500016","View Full Record in Web of Science")</f>
        <v>View Full Record in Web of Science</v>
      </c>
    </row>
    <row r="554" spans="1:72" x14ac:dyDescent="0.15">
      <c r="A554" t="s">
        <v>72</v>
      </c>
      <c r="B554" t="s">
        <v>5578</v>
      </c>
      <c r="C554" t="s">
        <v>74</v>
      </c>
      <c r="D554" t="s">
        <v>74</v>
      </c>
      <c r="E554" t="s">
        <v>74</v>
      </c>
      <c r="F554" t="s">
        <v>5579</v>
      </c>
      <c r="G554" t="s">
        <v>74</v>
      </c>
      <c r="H554" t="s">
        <v>74</v>
      </c>
      <c r="I554" t="s">
        <v>10322</v>
      </c>
      <c r="J554" t="s">
        <v>10323</v>
      </c>
      <c r="K554" t="s">
        <v>74</v>
      </c>
      <c r="L554" t="s">
        <v>74</v>
      </c>
      <c r="M554" t="s">
        <v>78</v>
      </c>
      <c r="N554" t="s">
        <v>79</v>
      </c>
      <c r="O554" t="s">
        <v>74</v>
      </c>
      <c r="P554" t="s">
        <v>74</v>
      </c>
      <c r="Q554" t="s">
        <v>74</v>
      </c>
      <c r="R554" t="s">
        <v>74</v>
      </c>
      <c r="S554" t="s">
        <v>74</v>
      </c>
      <c r="T554" t="s">
        <v>74</v>
      </c>
      <c r="U554" t="s">
        <v>10324</v>
      </c>
      <c r="V554" t="s">
        <v>10325</v>
      </c>
      <c r="W554" t="s">
        <v>10326</v>
      </c>
      <c r="X554" t="s">
        <v>10327</v>
      </c>
      <c r="Y554" t="s">
        <v>5587</v>
      </c>
      <c r="Z554" t="s">
        <v>5588</v>
      </c>
      <c r="AA554" t="s">
        <v>4405</v>
      </c>
      <c r="AB554" t="s">
        <v>5589</v>
      </c>
      <c r="AC554" t="s">
        <v>10328</v>
      </c>
      <c r="AD554" t="s">
        <v>1165</v>
      </c>
      <c r="AE554" t="s">
        <v>10329</v>
      </c>
      <c r="AF554" t="s">
        <v>74</v>
      </c>
      <c r="AG554">
        <v>14</v>
      </c>
      <c r="AH554">
        <v>21</v>
      </c>
      <c r="AI554">
        <v>21</v>
      </c>
      <c r="AJ554">
        <v>0</v>
      </c>
      <c r="AK554">
        <v>7</v>
      </c>
      <c r="AL554" t="s">
        <v>10330</v>
      </c>
      <c r="AM554" t="s">
        <v>10331</v>
      </c>
      <c r="AN554" t="s">
        <v>10332</v>
      </c>
      <c r="AO554" t="s">
        <v>10333</v>
      </c>
      <c r="AP554" t="s">
        <v>10334</v>
      </c>
      <c r="AQ554" t="s">
        <v>74</v>
      </c>
      <c r="AR554" t="s">
        <v>10335</v>
      </c>
      <c r="AS554" t="s">
        <v>10336</v>
      </c>
      <c r="AT554" t="s">
        <v>74</v>
      </c>
      <c r="AU554">
        <v>2010</v>
      </c>
      <c r="AV554">
        <v>63</v>
      </c>
      <c r="AW554">
        <v>6</v>
      </c>
      <c r="AX554" t="s">
        <v>74</v>
      </c>
      <c r="AY554" t="s">
        <v>74</v>
      </c>
      <c r="AZ554" t="s">
        <v>74</v>
      </c>
      <c r="BA554" t="s">
        <v>74</v>
      </c>
      <c r="BB554">
        <v>862</v>
      </c>
      <c r="BC554">
        <v>866</v>
      </c>
      <c r="BD554" t="s">
        <v>74</v>
      </c>
      <c r="BE554" t="s">
        <v>10337</v>
      </c>
      <c r="BF554" t="str">
        <f>HYPERLINK("http://dx.doi.org/10.1071/CH10042","http://dx.doi.org/10.1071/CH10042")</f>
        <v>http://dx.doi.org/10.1071/CH10042</v>
      </c>
      <c r="BG554" t="s">
        <v>74</v>
      </c>
      <c r="BH554" t="s">
        <v>74</v>
      </c>
      <c r="BI554">
        <v>5</v>
      </c>
      <c r="BJ554" t="s">
        <v>3286</v>
      </c>
      <c r="BK554" t="s">
        <v>2027</v>
      </c>
      <c r="BL554" t="s">
        <v>2921</v>
      </c>
      <c r="BM554" t="s">
        <v>10338</v>
      </c>
      <c r="BN554" t="s">
        <v>74</v>
      </c>
      <c r="BO554" t="s">
        <v>74</v>
      </c>
      <c r="BP554" t="s">
        <v>74</v>
      </c>
      <c r="BQ554" t="s">
        <v>74</v>
      </c>
      <c r="BR554" t="s">
        <v>105</v>
      </c>
      <c r="BS554" t="s">
        <v>10339</v>
      </c>
      <c r="BT554" t="str">
        <f>HYPERLINK("https%3A%2F%2Fwww.webofscience.com%2Fwos%2Fwoscc%2Ffull-record%2FWOS:000278626800003","View Full Record in Web of Science")</f>
        <v>View Full Record in Web of Science</v>
      </c>
    </row>
    <row r="555" spans="1:72" x14ac:dyDescent="0.15">
      <c r="A555" t="s">
        <v>72</v>
      </c>
      <c r="B555" t="s">
        <v>10340</v>
      </c>
      <c r="C555" t="s">
        <v>74</v>
      </c>
      <c r="D555" t="s">
        <v>74</v>
      </c>
      <c r="E555" t="s">
        <v>74</v>
      </c>
      <c r="F555" t="s">
        <v>10341</v>
      </c>
      <c r="G555" t="s">
        <v>74</v>
      </c>
      <c r="H555" t="s">
        <v>74</v>
      </c>
      <c r="I555" t="s">
        <v>10342</v>
      </c>
      <c r="J555" t="s">
        <v>10343</v>
      </c>
      <c r="K555" t="s">
        <v>74</v>
      </c>
      <c r="L555" t="s">
        <v>74</v>
      </c>
      <c r="M555" t="s">
        <v>78</v>
      </c>
      <c r="N555" t="s">
        <v>79</v>
      </c>
      <c r="O555" t="s">
        <v>74</v>
      </c>
      <c r="P555" t="s">
        <v>74</v>
      </c>
      <c r="Q555" t="s">
        <v>74</v>
      </c>
      <c r="R555" t="s">
        <v>74</v>
      </c>
      <c r="S555" t="s">
        <v>74</v>
      </c>
      <c r="T555" t="s">
        <v>10344</v>
      </c>
      <c r="U555" t="s">
        <v>10345</v>
      </c>
      <c r="V555" t="s">
        <v>10346</v>
      </c>
      <c r="W555" t="s">
        <v>10347</v>
      </c>
      <c r="X555" t="s">
        <v>2474</v>
      </c>
      <c r="Y555" t="s">
        <v>10348</v>
      </c>
      <c r="Z555" t="s">
        <v>10349</v>
      </c>
      <c r="AA555" t="s">
        <v>74</v>
      </c>
      <c r="AB555" t="s">
        <v>74</v>
      </c>
      <c r="AC555" t="s">
        <v>74</v>
      </c>
      <c r="AD555" t="s">
        <v>74</v>
      </c>
      <c r="AE555" t="s">
        <v>74</v>
      </c>
      <c r="AF555" t="s">
        <v>74</v>
      </c>
      <c r="AG555">
        <v>24</v>
      </c>
      <c r="AH555">
        <v>14</v>
      </c>
      <c r="AI555">
        <v>14</v>
      </c>
      <c r="AJ555">
        <v>0</v>
      </c>
      <c r="AK555">
        <v>32</v>
      </c>
      <c r="AL555" t="s">
        <v>546</v>
      </c>
      <c r="AM555" t="s">
        <v>547</v>
      </c>
      <c r="AN555" t="s">
        <v>8932</v>
      </c>
      <c r="AO555" t="s">
        <v>10350</v>
      </c>
      <c r="AP555" t="s">
        <v>74</v>
      </c>
      <c r="AQ555" t="s">
        <v>74</v>
      </c>
      <c r="AR555" t="s">
        <v>10351</v>
      </c>
      <c r="AS555" t="s">
        <v>10352</v>
      </c>
      <c r="AT555" t="s">
        <v>74</v>
      </c>
      <c r="AU555">
        <v>2010</v>
      </c>
      <c r="AV555">
        <v>57</v>
      </c>
      <c r="AW555">
        <v>2</v>
      </c>
      <c r="AX555" t="s">
        <v>74</v>
      </c>
      <c r="AY555" t="s">
        <v>74</v>
      </c>
      <c r="AZ555" t="s">
        <v>74</v>
      </c>
      <c r="BA555" t="s">
        <v>74</v>
      </c>
      <c r="BB555">
        <v>207</v>
      </c>
      <c r="BC555">
        <v>219</v>
      </c>
      <c r="BD555" t="s">
        <v>10353</v>
      </c>
      <c r="BE555" t="s">
        <v>10354</v>
      </c>
      <c r="BF555" t="str">
        <f>HYPERLINK("http://dx.doi.org/10.1080/08120090903521671","http://dx.doi.org/10.1080/08120090903521671")</f>
        <v>http://dx.doi.org/10.1080/08120090903521671</v>
      </c>
      <c r="BG555" t="s">
        <v>74</v>
      </c>
      <c r="BH555" t="s">
        <v>74</v>
      </c>
      <c r="BI555">
        <v>13</v>
      </c>
      <c r="BJ555" t="s">
        <v>913</v>
      </c>
      <c r="BK555" t="s">
        <v>102</v>
      </c>
      <c r="BL555" t="s">
        <v>914</v>
      </c>
      <c r="BM555" t="s">
        <v>10355</v>
      </c>
      <c r="BN555" t="s">
        <v>74</v>
      </c>
      <c r="BO555" t="s">
        <v>74</v>
      </c>
      <c r="BP555" t="s">
        <v>74</v>
      </c>
      <c r="BQ555" t="s">
        <v>74</v>
      </c>
      <c r="BR555" t="s">
        <v>105</v>
      </c>
      <c r="BS555" t="s">
        <v>10356</v>
      </c>
      <c r="BT555" t="str">
        <f>HYPERLINK("https%3A%2F%2Fwww.webofscience.com%2Fwos%2Fwoscc%2Ffull-record%2FWOS:000277464000004","View Full Record in Web of Science")</f>
        <v>View Full Record in Web of Science</v>
      </c>
    </row>
    <row r="556" spans="1:72" x14ac:dyDescent="0.15">
      <c r="A556" t="s">
        <v>72</v>
      </c>
      <c r="B556" t="s">
        <v>10357</v>
      </c>
      <c r="C556" t="s">
        <v>74</v>
      </c>
      <c r="D556" t="s">
        <v>74</v>
      </c>
      <c r="E556" t="s">
        <v>74</v>
      </c>
      <c r="F556" t="s">
        <v>10358</v>
      </c>
      <c r="G556" t="s">
        <v>74</v>
      </c>
      <c r="H556" t="s">
        <v>74</v>
      </c>
      <c r="I556" t="s">
        <v>10359</v>
      </c>
      <c r="J556" t="s">
        <v>10360</v>
      </c>
      <c r="K556" t="s">
        <v>74</v>
      </c>
      <c r="L556" t="s">
        <v>74</v>
      </c>
      <c r="M556" t="s">
        <v>78</v>
      </c>
      <c r="N556" t="s">
        <v>79</v>
      </c>
      <c r="O556" t="s">
        <v>74</v>
      </c>
      <c r="P556" t="s">
        <v>74</v>
      </c>
      <c r="Q556" t="s">
        <v>74</v>
      </c>
      <c r="R556" t="s">
        <v>74</v>
      </c>
      <c r="S556" t="s">
        <v>74</v>
      </c>
      <c r="T556" t="s">
        <v>10361</v>
      </c>
      <c r="U556" t="s">
        <v>10362</v>
      </c>
      <c r="V556" t="s">
        <v>10363</v>
      </c>
      <c r="W556" t="s">
        <v>10364</v>
      </c>
      <c r="X556" t="s">
        <v>10365</v>
      </c>
      <c r="Y556" t="s">
        <v>10366</v>
      </c>
      <c r="Z556" t="s">
        <v>10367</v>
      </c>
      <c r="AA556" t="s">
        <v>10368</v>
      </c>
      <c r="AB556" t="s">
        <v>10369</v>
      </c>
      <c r="AC556" t="s">
        <v>10370</v>
      </c>
      <c r="AD556" t="s">
        <v>10370</v>
      </c>
      <c r="AE556" t="s">
        <v>10371</v>
      </c>
      <c r="AF556" t="s">
        <v>74</v>
      </c>
      <c r="AG556">
        <v>60</v>
      </c>
      <c r="AH556">
        <v>11</v>
      </c>
      <c r="AI556">
        <v>12</v>
      </c>
      <c r="AJ556">
        <v>1</v>
      </c>
      <c r="AK556">
        <v>61</v>
      </c>
      <c r="AL556" t="s">
        <v>10372</v>
      </c>
      <c r="AM556" t="s">
        <v>10373</v>
      </c>
      <c r="AN556" t="s">
        <v>10374</v>
      </c>
      <c r="AO556" t="s">
        <v>10375</v>
      </c>
      <c r="AP556" t="s">
        <v>10376</v>
      </c>
      <c r="AQ556" t="s">
        <v>74</v>
      </c>
      <c r="AR556" t="s">
        <v>10360</v>
      </c>
      <c r="AS556" t="s">
        <v>10377</v>
      </c>
      <c r="AT556" t="s">
        <v>74</v>
      </c>
      <c r="AU556">
        <v>2010</v>
      </c>
      <c r="AV556">
        <v>147</v>
      </c>
      <c r="AW556">
        <v>2</v>
      </c>
      <c r="AX556" t="s">
        <v>74</v>
      </c>
      <c r="AY556" t="s">
        <v>74</v>
      </c>
      <c r="AZ556" t="s">
        <v>74</v>
      </c>
      <c r="BA556" t="s">
        <v>74</v>
      </c>
      <c r="BB556">
        <v>165</v>
      </c>
      <c r="BC556">
        <v>184</v>
      </c>
      <c r="BD556" t="s">
        <v>74</v>
      </c>
      <c r="BE556" t="s">
        <v>10378</v>
      </c>
      <c r="BF556" t="str">
        <f>HYPERLINK("http://dx.doi.org/10.1163/000579509X12512863752751","http://dx.doi.org/10.1163/000579509X12512863752751")</f>
        <v>http://dx.doi.org/10.1163/000579509X12512863752751</v>
      </c>
      <c r="BG556" t="s">
        <v>74</v>
      </c>
      <c r="BH556" t="s">
        <v>74</v>
      </c>
      <c r="BI556">
        <v>20</v>
      </c>
      <c r="BJ556" t="s">
        <v>580</v>
      </c>
      <c r="BK556" t="s">
        <v>102</v>
      </c>
      <c r="BL556" t="s">
        <v>580</v>
      </c>
      <c r="BM556" t="s">
        <v>10379</v>
      </c>
      <c r="BN556" t="s">
        <v>74</v>
      </c>
      <c r="BO556" t="s">
        <v>74</v>
      </c>
      <c r="BP556" t="s">
        <v>74</v>
      </c>
      <c r="BQ556" t="s">
        <v>74</v>
      </c>
      <c r="BR556" t="s">
        <v>105</v>
      </c>
      <c r="BS556" t="s">
        <v>10380</v>
      </c>
      <c r="BT556" t="str">
        <f>HYPERLINK("https%3A%2F%2Fwww.webofscience.com%2Fwos%2Fwoscc%2Ffull-record%2FWOS:000275079400002","View Full Record in Web of Science")</f>
        <v>View Full Record in Web of Science</v>
      </c>
    </row>
    <row r="557" spans="1:72" x14ac:dyDescent="0.15">
      <c r="A557" t="s">
        <v>72</v>
      </c>
      <c r="B557" t="s">
        <v>10381</v>
      </c>
      <c r="C557" t="s">
        <v>74</v>
      </c>
      <c r="D557" t="s">
        <v>74</v>
      </c>
      <c r="E557" t="s">
        <v>74</v>
      </c>
      <c r="F557" t="s">
        <v>10382</v>
      </c>
      <c r="G557" t="s">
        <v>74</v>
      </c>
      <c r="H557" t="s">
        <v>74</v>
      </c>
      <c r="I557" t="s">
        <v>10383</v>
      </c>
      <c r="J557" t="s">
        <v>10384</v>
      </c>
      <c r="K557" t="s">
        <v>74</v>
      </c>
      <c r="L557" t="s">
        <v>74</v>
      </c>
      <c r="M557" t="s">
        <v>78</v>
      </c>
      <c r="N557" t="s">
        <v>79</v>
      </c>
      <c r="O557" t="s">
        <v>74</v>
      </c>
      <c r="P557" t="s">
        <v>74</v>
      </c>
      <c r="Q557" t="s">
        <v>74</v>
      </c>
      <c r="R557" t="s">
        <v>74</v>
      </c>
      <c r="S557" t="s">
        <v>74</v>
      </c>
      <c r="T557" t="s">
        <v>10385</v>
      </c>
      <c r="U557" t="s">
        <v>10386</v>
      </c>
      <c r="V557" t="s">
        <v>10387</v>
      </c>
      <c r="W557" t="s">
        <v>10388</v>
      </c>
      <c r="X557" t="s">
        <v>10389</v>
      </c>
      <c r="Y557" t="s">
        <v>10390</v>
      </c>
      <c r="Z557" t="s">
        <v>10391</v>
      </c>
      <c r="AA557" t="s">
        <v>10392</v>
      </c>
      <c r="AB557" t="s">
        <v>10393</v>
      </c>
      <c r="AC557" t="s">
        <v>10394</v>
      </c>
      <c r="AD557" t="s">
        <v>10395</v>
      </c>
      <c r="AE557" t="s">
        <v>10396</v>
      </c>
      <c r="AF557" t="s">
        <v>74</v>
      </c>
      <c r="AG557">
        <v>35</v>
      </c>
      <c r="AH557">
        <v>9</v>
      </c>
      <c r="AI557">
        <v>10</v>
      </c>
      <c r="AJ557">
        <v>0</v>
      </c>
      <c r="AK557">
        <v>9</v>
      </c>
      <c r="AL557" t="s">
        <v>546</v>
      </c>
      <c r="AM557" t="s">
        <v>547</v>
      </c>
      <c r="AN557" t="s">
        <v>548</v>
      </c>
      <c r="AO557" t="s">
        <v>10397</v>
      </c>
      <c r="AP557" t="s">
        <v>10398</v>
      </c>
      <c r="AQ557" t="s">
        <v>74</v>
      </c>
      <c r="AR557" t="s">
        <v>10384</v>
      </c>
      <c r="AS557" t="s">
        <v>10399</v>
      </c>
      <c r="AT557" t="s">
        <v>74</v>
      </c>
      <c r="AU557">
        <v>2010</v>
      </c>
      <c r="AV557">
        <v>26</v>
      </c>
      <c r="AW557">
        <v>6</v>
      </c>
      <c r="AX557" t="s">
        <v>74</v>
      </c>
      <c r="AY557" t="s">
        <v>74</v>
      </c>
      <c r="AZ557" t="s">
        <v>74</v>
      </c>
      <c r="BA557" t="s">
        <v>74</v>
      </c>
      <c r="BB557">
        <v>637</v>
      </c>
      <c r="BC557">
        <v>644</v>
      </c>
      <c r="BD557" t="s">
        <v>74</v>
      </c>
      <c r="BE557" t="s">
        <v>10400</v>
      </c>
      <c r="BF557" t="str">
        <f>HYPERLINK("http://dx.doi.org/10.1080/08927014.2010.506610","http://dx.doi.org/10.1080/08927014.2010.506610")</f>
        <v>http://dx.doi.org/10.1080/08927014.2010.506610</v>
      </c>
      <c r="BG557" t="s">
        <v>74</v>
      </c>
      <c r="BH557" t="s">
        <v>74</v>
      </c>
      <c r="BI557">
        <v>8</v>
      </c>
      <c r="BJ557" t="s">
        <v>2267</v>
      </c>
      <c r="BK557" t="s">
        <v>102</v>
      </c>
      <c r="BL557" t="s">
        <v>2267</v>
      </c>
      <c r="BM557" t="s">
        <v>10401</v>
      </c>
      <c r="BN557">
        <v>20645193</v>
      </c>
      <c r="BO557" t="s">
        <v>5946</v>
      </c>
      <c r="BP557" t="s">
        <v>74</v>
      </c>
      <c r="BQ557" t="s">
        <v>74</v>
      </c>
      <c r="BR557" t="s">
        <v>105</v>
      </c>
      <c r="BS557" t="s">
        <v>10402</v>
      </c>
      <c r="BT557" t="str">
        <f>HYPERLINK("https%3A%2F%2Fwww.webofscience.com%2Fwos%2Fwoscc%2Ffull-record%2FWOS:000281887000002","View Full Record in Web of Science")</f>
        <v>View Full Record in Web of Science</v>
      </c>
    </row>
    <row r="558" spans="1:72" x14ac:dyDescent="0.15">
      <c r="A558" t="s">
        <v>72</v>
      </c>
      <c r="B558" t="s">
        <v>10403</v>
      </c>
      <c r="C558" t="s">
        <v>74</v>
      </c>
      <c r="D558" t="s">
        <v>74</v>
      </c>
      <c r="E558" t="s">
        <v>74</v>
      </c>
      <c r="F558" t="s">
        <v>10404</v>
      </c>
      <c r="G558" t="s">
        <v>74</v>
      </c>
      <c r="H558" t="s">
        <v>74</v>
      </c>
      <c r="I558" t="s">
        <v>10405</v>
      </c>
      <c r="J558" t="s">
        <v>10406</v>
      </c>
      <c r="K558" t="s">
        <v>74</v>
      </c>
      <c r="L558" t="s">
        <v>74</v>
      </c>
      <c r="M558" t="s">
        <v>78</v>
      </c>
      <c r="N558" t="s">
        <v>79</v>
      </c>
      <c r="O558" t="s">
        <v>74</v>
      </c>
      <c r="P558" t="s">
        <v>74</v>
      </c>
      <c r="Q558" t="s">
        <v>74</v>
      </c>
      <c r="R558" t="s">
        <v>74</v>
      </c>
      <c r="S558" t="s">
        <v>74</v>
      </c>
      <c r="T558" t="s">
        <v>74</v>
      </c>
      <c r="U558" t="s">
        <v>10407</v>
      </c>
      <c r="V558" t="s">
        <v>10408</v>
      </c>
      <c r="W558" t="s">
        <v>10409</v>
      </c>
      <c r="X558" t="s">
        <v>10410</v>
      </c>
      <c r="Y558" t="s">
        <v>10411</v>
      </c>
      <c r="Z558" t="s">
        <v>10412</v>
      </c>
      <c r="AA558" t="s">
        <v>74</v>
      </c>
      <c r="AB558" t="s">
        <v>10413</v>
      </c>
      <c r="AC558" t="s">
        <v>10414</v>
      </c>
      <c r="AD558" t="s">
        <v>10415</v>
      </c>
      <c r="AE558" t="s">
        <v>10416</v>
      </c>
      <c r="AF558" t="s">
        <v>74</v>
      </c>
      <c r="AG558">
        <v>60</v>
      </c>
      <c r="AH558">
        <v>31</v>
      </c>
      <c r="AI558">
        <v>41</v>
      </c>
      <c r="AJ558">
        <v>0</v>
      </c>
      <c r="AK558">
        <v>20</v>
      </c>
      <c r="AL558" t="s">
        <v>8999</v>
      </c>
      <c r="AM558" t="s">
        <v>9000</v>
      </c>
      <c r="AN558" t="s">
        <v>9001</v>
      </c>
      <c r="AO558" t="s">
        <v>10417</v>
      </c>
      <c r="AP558" t="s">
        <v>10418</v>
      </c>
      <c r="AQ558" t="s">
        <v>74</v>
      </c>
      <c r="AR558" t="s">
        <v>10406</v>
      </c>
      <c r="AS558" t="s">
        <v>10419</v>
      </c>
      <c r="AT558" t="s">
        <v>74</v>
      </c>
      <c r="AU558">
        <v>2010</v>
      </c>
      <c r="AV558">
        <v>7</v>
      </c>
      <c r="AW558">
        <v>1</v>
      </c>
      <c r="AX558" t="s">
        <v>74</v>
      </c>
      <c r="AY558" t="s">
        <v>74</v>
      </c>
      <c r="AZ558" t="s">
        <v>74</v>
      </c>
      <c r="BA558" t="s">
        <v>74</v>
      </c>
      <c r="BB558">
        <v>1</v>
      </c>
      <c r="BC558">
        <v>9</v>
      </c>
      <c r="BD558" t="s">
        <v>74</v>
      </c>
      <c r="BE558" t="s">
        <v>10420</v>
      </c>
      <c r="BF558" t="str">
        <f>HYPERLINK("http://dx.doi.org/10.5194/bg-7-1-2010","http://dx.doi.org/10.5194/bg-7-1-2010")</f>
        <v>http://dx.doi.org/10.5194/bg-7-1-2010</v>
      </c>
      <c r="BG558" t="s">
        <v>74</v>
      </c>
      <c r="BH558" t="s">
        <v>74</v>
      </c>
      <c r="BI558">
        <v>9</v>
      </c>
      <c r="BJ558" t="s">
        <v>10421</v>
      </c>
      <c r="BK558" t="s">
        <v>102</v>
      </c>
      <c r="BL558" t="s">
        <v>821</v>
      </c>
      <c r="BM558" t="s">
        <v>10422</v>
      </c>
      <c r="BN558" t="s">
        <v>74</v>
      </c>
      <c r="BO558" t="s">
        <v>8695</v>
      </c>
      <c r="BP558" t="s">
        <v>74</v>
      </c>
      <c r="BQ558" t="s">
        <v>74</v>
      </c>
      <c r="BR558" t="s">
        <v>105</v>
      </c>
      <c r="BS558" t="s">
        <v>10423</v>
      </c>
      <c r="BT558" t="str">
        <f>HYPERLINK("https%3A%2F%2Fwww.webofscience.com%2Fwos%2Fwoscc%2Ffull-record%2FWOS:000274058100001","View Full Record in Web of Science")</f>
        <v>View Full Record in Web of Science</v>
      </c>
    </row>
    <row r="559" spans="1:72" x14ac:dyDescent="0.15">
      <c r="A559" t="s">
        <v>72</v>
      </c>
      <c r="B559" t="s">
        <v>10424</v>
      </c>
      <c r="C559" t="s">
        <v>74</v>
      </c>
      <c r="D559" t="s">
        <v>74</v>
      </c>
      <c r="E559" t="s">
        <v>74</v>
      </c>
      <c r="F559" t="s">
        <v>10425</v>
      </c>
      <c r="G559" t="s">
        <v>74</v>
      </c>
      <c r="H559" t="s">
        <v>74</v>
      </c>
      <c r="I559" t="s">
        <v>10426</v>
      </c>
      <c r="J559" t="s">
        <v>10406</v>
      </c>
      <c r="K559" t="s">
        <v>74</v>
      </c>
      <c r="L559" t="s">
        <v>74</v>
      </c>
      <c r="M559" t="s">
        <v>78</v>
      </c>
      <c r="N559" t="s">
        <v>79</v>
      </c>
      <c r="O559" t="s">
        <v>74</v>
      </c>
      <c r="P559" t="s">
        <v>74</v>
      </c>
      <c r="Q559" t="s">
        <v>74</v>
      </c>
      <c r="R559" t="s">
        <v>74</v>
      </c>
      <c r="S559" t="s">
        <v>74</v>
      </c>
      <c r="T559" t="s">
        <v>74</v>
      </c>
      <c r="U559" t="s">
        <v>10427</v>
      </c>
      <c r="V559" t="s">
        <v>10428</v>
      </c>
      <c r="W559" t="s">
        <v>10429</v>
      </c>
      <c r="X559" t="s">
        <v>10430</v>
      </c>
      <c r="Y559" t="s">
        <v>10431</v>
      </c>
      <c r="Z559" t="s">
        <v>10432</v>
      </c>
      <c r="AA559" t="s">
        <v>10433</v>
      </c>
      <c r="AB559" t="s">
        <v>10434</v>
      </c>
      <c r="AC559" t="s">
        <v>10435</v>
      </c>
      <c r="AD559" t="s">
        <v>10436</v>
      </c>
      <c r="AE559" t="s">
        <v>10437</v>
      </c>
      <c r="AF559" t="s">
        <v>74</v>
      </c>
      <c r="AG559">
        <v>62</v>
      </c>
      <c r="AH559">
        <v>108</v>
      </c>
      <c r="AI559">
        <v>112</v>
      </c>
      <c r="AJ559">
        <v>1</v>
      </c>
      <c r="AK559">
        <v>30</v>
      </c>
      <c r="AL559" t="s">
        <v>8999</v>
      </c>
      <c r="AM559" t="s">
        <v>9000</v>
      </c>
      <c r="AN559" t="s">
        <v>9001</v>
      </c>
      <c r="AO559" t="s">
        <v>10417</v>
      </c>
      <c r="AP559" t="s">
        <v>10418</v>
      </c>
      <c r="AQ559" t="s">
        <v>74</v>
      </c>
      <c r="AR559" t="s">
        <v>10406</v>
      </c>
      <c r="AS559" t="s">
        <v>10419</v>
      </c>
      <c r="AT559" t="s">
        <v>74</v>
      </c>
      <c r="AU559">
        <v>2010</v>
      </c>
      <c r="AV559">
        <v>7</v>
      </c>
      <c r="AW559">
        <v>1</v>
      </c>
      <c r="AX559" t="s">
        <v>74</v>
      </c>
      <c r="AY559" t="s">
        <v>74</v>
      </c>
      <c r="AZ559" t="s">
        <v>74</v>
      </c>
      <c r="BA559" t="s">
        <v>74</v>
      </c>
      <c r="BB559">
        <v>11</v>
      </c>
      <c r="BC559">
        <v>25</v>
      </c>
      <c r="BD559" t="s">
        <v>74</v>
      </c>
      <c r="BE559" t="s">
        <v>10438</v>
      </c>
      <c r="BF559" t="str">
        <f>HYPERLINK("http://dx.doi.org/10.5194/bg-7-11-2010","http://dx.doi.org/10.5194/bg-7-11-2010")</f>
        <v>http://dx.doi.org/10.5194/bg-7-11-2010</v>
      </c>
      <c r="BG559" t="s">
        <v>74</v>
      </c>
      <c r="BH559" t="s">
        <v>74</v>
      </c>
      <c r="BI559">
        <v>15</v>
      </c>
      <c r="BJ559" t="s">
        <v>10421</v>
      </c>
      <c r="BK559" t="s">
        <v>102</v>
      </c>
      <c r="BL559" t="s">
        <v>821</v>
      </c>
      <c r="BM559" t="s">
        <v>10422</v>
      </c>
      <c r="BN559" t="s">
        <v>74</v>
      </c>
      <c r="BO559" t="s">
        <v>8695</v>
      </c>
      <c r="BP559" t="s">
        <v>74</v>
      </c>
      <c r="BQ559" t="s">
        <v>74</v>
      </c>
      <c r="BR559" t="s">
        <v>105</v>
      </c>
      <c r="BS559" t="s">
        <v>10439</v>
      </c>
      <c r="BT559" t="str">
        <f>HYPERLINK("https%3A%2F%2Fwww.webofscience.com%2Fwos%2Fwoscc%2Ffull-record%2FWOS:000274058100002","View Full Record in Web of Science")</f>
        <v>View Full Record in Web of Science</v>
      </c>
    </row>
    <row r="560" spans="1:72" x14ac:dyDescent="0.15">
      <c r="A560" t="s">
        <v>72</v>
      </c>
      <c r="B560" t="s">
        <v>10440</v>
      </c>
      <c r="C560" t="s">
        <v>74</v>
      </c>
      <c r="D560" t="s">
        <v>74</v>
      </c>
      <c r="E560" t="s">
        <v>74</v>
      </c>
      <c r="F560" t="s">
        <v>10441</v>
      </c>
      <c r="G560" t="s">
        <v>74</v>
      </c>
      <c r="H560" t="s">
        <v>74</v>
      </c>
      <c r="I560" t="s">
        <v>10442</v>
      </c>
      <c r="J560" t="s">
        <v>10406</v>
      </c>
      <c r="K560" t="s">
        <v>74</v>
      </c>
      <c r="L560" t="s">
        <v>74</v>
      </c>
      <c r="M560" t="s">
        <v>78</v>
      </c>
      <c r="N560" t="s">
        <v>79</v>
      </c>
      <c r="O560" t="s">
        <v>74</v>
      </c>
      <c r="P560" t="s">
        <v>74</v>
      </c>
      <c r="Q560" t="s">
        <v>74</v>
      </c>
      <c r="R560" t="s">
        <v>74</v>
      </c>
      <c r="S560" t="s">
        <v>74</v>
      </c>
      <c r="T560" t="s">
        <v>74</v>
      </c>
      <c r="U560" t="s">
        <v>10443</v>
      </c>
      <c r="V560" t="s">
        <v>10444</v>
      </c>
      <c r="W560" t="s">
        <v>10445</v>
      </c>
      <c r="X560" t="s">
        <v>10446</v>
      </c>
      <c r="Y560" t="s">
        <v>10447</v>
      </c>
      <c r="Z560" t="s">
        <v>10448</v>
      </c>
      <c r="AA560" t="s">
        <v>10449</v>
      </c>
      <c r="AB560" t="s">
        <v>10450</v>
      </c>
      <c r="AC560" t="s">
        <v>10451</v>
      </c>
      <c r="AD560" t="s">
        <v>4729</v>
      </c>
      <c r="AE560" t="s">
        <v>74</v>
      </c>
      <c r="AF560" t="s">
        <v>74</v>
      </c>
      <c r="AG560">
        <v>51</v>
      </c>
      <c r="AH560">
        <v>34</v>
      </c>
      <c r="AI560">
        <v>34</v>
      </c>
      <c r="AJ560">
        <v>0</v>
      </c>
      <c r="AK560">
        <v>11</v>
      </c>
      <c r="AL560" t="s">
        <v>8999</v>
      </c>
      <c r="AM560" t="s">
        <v>9000</v>
      </c>
      <c r="AN560" t="s">
        <v>9001</v>
      </c>
      <c r="AO560" t="s">
        <v>10417</v>
      </c>
      <c r="AP560" t="s">
        <v>10418</v>
      </c>
      <c r="AQ560" t="s">
        <v>74</v>
      </c>
      <c r="AR560" t="s">
        <v>10406</v>
      </c>
      <c r="AS560" t="s">
        <v>10419</v>
      </c>
      <c r="AT560" t="s">
        <v>74</v>
      </c>
      <c r="AU560">
        <v>2010</v>
      </c>
      <c r="AV560">
        <v>7</v>
      </c>
      <c r="AW560">
        <v>1</v>
      </c>
      <c r="AX560" t="s">
        <v>74</v>
      </c>
      <c r="AY560" t="s">
        <v>74</v>
      </c>
      <c r="AZ560" t="s">
        <v>74</v>
      </c>
      <c r="BA560" t="s">
        <v>74</v>
      </c>
      <c r="BB560">
        <v>343</v>
      </c>
      <c r="BC560">
        <v>356</v>
      </c>
      <c r="BD560" t="s">
        <v>74</v>
      </c>
      <c r="BE560" t="s">
        <v>10452</v>
      </c>
      <c r="BF560" t="str">
        <f>HYPERLINK("http://dx.doi.org/10.5194/bg-7-343-2010","http://dx.doi.org/10.5194/bg-7-343-2010")</f>
        <v>http://dx.doi.org/10.5194/bg-7-343-2010</v>
      </c>
      <c r="BG560" t="s">
        <v>74</v>
      </c>
      <c r="BH560" t="s">
        <v>74</v>
      </c>
      <c r="BI560">
        <v>14</v>
      </c>
      <c r="BJ560" t="s">
        <v>10421</v>
      </c>
      <c r="BK560" t="s">
        <v>102</v>
      </c>
      <c r="BL560" t="s">
        <v>821</v>
      </c>
      <c r="BM560" t="s">
        <v>10422</v>
      </c>
      <c r="BN560" t="s">
        <v>74</v>
      </c>
      <c r="BO560" t="s">
        <v>9897</v>
      </c>
      <c r="BP560" t="s">
        <v>74</v>
      </c>
      <c r="BQ560" t="s">
        <v>74</v>
      </c>
      <c r="BR560" t="s">
        <v>105</v>
      </c>
      <c r="BS560" t="s">
        <v>10453</v>
      </c>
      <c r="BT560" t="str">
        <f>HYPERLINK("https%3A%2F%2Fwww.webofscience.com%2Fwos%2Fwoscc%2Ffull-record%2FWOS:000274058100027","View Full Record in Web of Science")</f>
        <v>View Full Record in Web of Science</v>
      </c>
    </row>
    <row r="561" spans="1:72" x14ac:dyDescent="0.15">
      <c r="A561" t="s">
        <v>72</v>
      </c>
      <c r="B561" t="s">
        <v>10454</v>
      </c>
      <c r="C561" t="s">
        <v>74</v>
      </c>
      <c r="D561" t="s">
        <v>74</v>
      </c>
      <c r="E561" t="s">
        <v>74</v>
      </c>
      <c r="F561" t="s">
        <v>10455</v>
      </c>
      <c r="G561" t="s">
        <v>74</v>
      </c>
      <c r="H561" t="s">
        <v>74</v>
      </c>
      <c r="I561" t="s">
        <v>10456</v>
      </c>
      <c r="J561" t="s">
        <v>10406</v>
      </c>
      <c r="K561" t="s">
        <v>74</v>
      </c>
      <c r="L561" t="s">
        <v>74</v>
      </c>
      <c r="M561" t="s">
        <v>78</v>
      </c>
      <c r="N561" t="s">
        <v>79</v>
      </c>
      <c r="O561" t="s">
        <v>74</v>
      </c>
      <c r="P561" t="s">
        <v>74</v>
      </c>
      <c r="Q561" t="s">
        <v>74</v>
      </c>
      <c r="R561" t="s">
        <v>74</v>
      </c>
      <c r="S561" t="s">
        <v>74</v>
      </c>
      <c r="T561" t="s">
        <v>74</v>
      </c>
      <c r="U561" t="s">
        <v>10457</v>
      </c>
      <c r="V561" t="s">
        <v>10458</v>
      </c>
      <c r="W561" t="s">
        <v>10459</v>
      </c>
      <c r="X561" t="s">
        <v>10460</v>
      </c>
      <c r="Y561" t="s">
        <v>10461</v>
      </c>
      <c r="Z561" t="s">
        <v>10462</v>
      </c>
      <c r="AA561" t="s">
        <v>10463</v>
      </c>
      <c r="AB561" t="s">
        <v>10464</v>
      </c>
      <c r="AC561" t="s">
        <v>10465</v>
      </c>
      <c r="AD561" t="s">
        <v>10466</v>
      </c>
      <c r="AE561" t="s">
        <v>10467</v>
      </c>
      <c r="AF561" t="s">
        <v>74</v>
      </c>
      <c r="AG561">
        <v>59</v>
      </c>
      <c r="AH561">
        <v>53</v>
      </c>
      <c r="AI561">
        <v>54</v>
      </c>
      <c r="AJ561">
        <v>0</v>
      </c>
      <c r="AK561">
        <v>31</v>
      </c>
      <c r="AL561" t="s">
        <v>8999</v>
      </c>
      <c r="AM561" t="s">
        <v>9000</v>
      </c>
      <c r="AN561" t="s">
        <v>9001</v>
      </c>
      <c r="AO561" t="s">
        <v>10417</v>
      </c>
      <c r="AP561" t="s">
        <v>10418</v>
      </c>
      <c r="AQ561" t="s">
        <v>74</v>
      </c>
      <c r="AR561" t="s">
        <v>10406</v>
      </c>
      <c r="AS561" t="s">
        <v>10419</v>
      </c>
      <c r="AT561" t="s">
        <v>74</v>
      </c>
      <c r="AU561">
        <v>2010</v>
      </c>
      <c r="AV561">
        <v>7</v>
      </c>
      <c r="AW561">
        <v>2</v>
      </c>
      <c r="AX561" t="s">
        <v>74</v>
      </c>
      <c r="AY561" t="s">
        <v>74</v>
      </c>
      <c r="AZ561" t="s">
        <v>74</v>
      </c>
      <c r="BA561" t="s">
        <v>74</v>
      </c>
      <c r="BB561">
        <v>455</v>
      </c>
      <c r="BC561">
        <v>468</v>
      </c>
      <c r="BD561" t="s">
        <v>74</v>
      </c>
      <c r="BE561" t="s">
        <v>10468</v>
      </c>
      <c r="BF561" t="str">
        <f>HYPERLINK("http://dx.doi.org/10.5194/bg-7-455-2010","http://dx.doi.org/10.5194/bg-7-455-2010")</f>
        <v>http://dx.doi.org/10.5194/bg-7-455-2010</v>
      </c>
      <c r="BG561" t="s">
        <v>74</v>
      </c>
      <c r="BH561" t="s">
        <v>74</v>
      </c>
      <c r="BI561">
        <v>14</v>
      </c>
      <c r="BJ561" t="s">
        <v>10421</v>
      </c>
      <c r="BK561" t="s">
        <v>102</v>
      </c>
      <c r="BL561" t="s">
        <v>821</v>
      </c>
      <c r="BM561" t="s">
        <v>10469</v>
      </c>
      <c r="BN561" t="s">
        <v>74</v>
      </c>
      <c r="BO561" t="s">
        <v>9897</v>
      </c>
      <c r="BP561" t="s">
        <v>74</v>
      </c>
      <c r="BQ561" t="s">
        <v>74</v>
      </c>
      <c r="BR561" t="s">
        <v>105</v>
      </c>
      <c r="BS561" t="s">
        <v>10470</v>
      </c>
      <c r="BT561" t="str">
        <f>HYPERLINK("https%3A%2F%2Fwww.webofscience.com%2Fwos%2Fwoscc%2Ffull-record%2FWOS:000274993900004","View Full Record in Web of Science")</f>
        <v>View Full Record in Web of Science</v>
      </c>
    </row>
    <row r="562" spans="1:72" x14ac:dyDescent="0.15">
      <c r="A562" t="s">
        <v>72</v>
      </c>
      <c r="B562" t="s">
        <v>10471</v>
      </c>
      <c r="C562" t="s">
        <v>74</v>
      </c>
      <c r="D562" t="s">
        <v>74</v>
      </c>
      <c r="E562" t="s">
        <v>74</v>
      </c>
      <c r="F562" t="s">
        <v>10472</v>
      </c>
      <c r="G562" t="s">
        <v>74</v>
      </c>
      <c r="H562" t="s">
        <v>74</v>
      </c>
      <c r="I562" t="s">
        <v>10473</v>
      </c>
      <c r="J562" t="s">
        <v>10406</v>
      </c>
      <c r="K562" t="s">
        <v>74</v>
      </c>
      <c r="L562" t="s">
        <v>74</v>
      </c>
      <c r="M562" t="s">
        <v>78</v>
      </c>
      <c r="N562" t="s">
        <v>79</v>
      </c>
      <c r="O562" t="s">
        <v>74</v>
      </c>
      <c r="P562" t="s">
        <v>74</v>
      </c>
      <c r="Q562" t="s">
        <v>74</v>
      </c>
      <c r="R562" t="s">
        <v>74</v>
      </c>
      <c r="S562" t="s">
        <v>74</v>
      </c>
      <c r="T562" t="s">
        <v>74</v>
      </c>
      <c r="U562" t="s">
        <v>10474</v>
      </c>
      <c r="V562" t="s">
        <v>10475</v>
      </c>
      <c r="W562" t="s">
        <v>10476</v>
      </c>
      <c r="X562" t="s">
        <v>10477</v>
      </c>
      <c r="Y562" t="s">
        <v>10478</v>
      </c>
      <c r="Z562" t="s">
        <v>10479</v>
      </c>
      <c r="AA562" t="s">
        <v>10480</v>
      </c>
      <c r="AB562" t="s">
        <v>10481</v>
      </c>
      <c r="AC562" t="s">
        <v>10482</v>
      </c>
      <c r="AD562" t="s">
        <v>10483</v>
      </c>
      <c r="AE562" t="s">
        <v>10484</v>
      </c>
      <c r="AF562" t="s">
        <v>74</v>
      </c>
      <c r="AG562">
        <v>66</v>
      </c>
      <c r="AH562">
        <v>63</v>
      </c>
      <c r="AI562">
        <v>67</v>
      </c>
      <c r="AJ562">
        <v>0</v>
      </c>
      <c r="AK562">
        <v>30</v>
      </c>
      <c r="AL562" t="s">
        <v>8999</v>
      </c>
      <c r="AM562" t="s">
        <v>9000</v>
      </c>
      <c r="AN562" t="s">
        <v>9001</v>
      </c>
      <c r="AO562" t="s">
        <v>10417</v>
      </c>
      <c r="AP562" t="s">
        <v>10418</v>
      </c>
      <c r="AQ562" t="s">
        <v>74</v>
      </c>
      <c r="AR562" t="s">
        <v>10406</v>
      </c>
      <c r="AS562" t="s">
        <v>10419</v>
      </c>
      <c r="AT562" t="s">
        <v>74</v>
      </c>
      <c r="AU562">
        <v>2010</v>
      </c>
      <c r="AV562">
        <v>7</v>
      </c>
      <c r="AW562">
        <v>11</v>
      </c>
      <c r="AX562" t="s">
        <v>74</v>
      </c>
      <c r="AY562" t="s">
        <v>74</v>
      </c>
      <c r="AZ562" t="s">
        <v>74</v>
      </c>
      <c r="BA562" t="s">
        <v>74</v>
      </c>
      <c r="BB562">
        <v>3549</v>
      </c>
      <c r="BC562">
        <v>3568</v>
      </c>
      <c r="BD562" t="s">
        <v>74</v>
      </c>
      <c r="BE562" t="s">
        <v>10485</v>
      </c>
      <c r="BF562" t="str">
        <f>HYPERLINK("http://dx.doi.org/10.5194/bg-7-3549-2010","http://dx.doi.org/10.5194/bg-7-3549-2010")</f>
        <v>http://dx.doi.org/10.5194/bg-7-3549-2010</v>
      </c>
      <c r="BG562" t="s">
        <v>74</v>
      </c>
      <c r="BH562" t="s">
        <v>74</v>
      </c>
      <c r="BI562">
        <v>20</v>
      </c>
      <c r="BJ562" t="s">
        <v>10421</v>
      </c>
      <c r="BK562" t="s">
        <v>102</v>
      </c>
      <c r="BL562" t="s">
        <v>821</v>
      </c>
      <c r="BM562" t="s">
        <v>10486</v>
      </c>
      <c r="BN562" t="s">
        <v>74</v>
      </c>
      <c r="BO562" t="s">
        <v>8695</v>
      </c>
      <c r="BP562" t="s">
        <v>74</v>
      </c>
      <c r="BQ562" t="s">
        <v>74</v>
      </c>
      <c r="BR562" t="s">
        <v>105</v>
      </c>
      <c r="BS562" t="s">
        <v>10487</v>
      </c>
      <c r="BT562" t="str">
        <f>HYPERLINK("https%3A%2F%2Fwww.webofscience.com%2Fwos%2Fwoscc%2Ffull-record%2FWOS:000284756300012","View Full Record in Web of Science")</f>
        <v>View Full Record in Web of Science</v>
      </c>
    </row>
    <row r="563" spans="1:72" x14ac:dyDescent="0.15">
      <c r="A563" t="s">
        <v>72</v>
      </c>
      <c r="B563" t="s">
        <v>10488</v>
      </c>
      <c r="C563" t="s">
        <v>74</v>
      </c>
      <c r="D563" t="s">
        <v>74</v>
      </c>
      <c r="E563" t="s">
        <v>74</v>
      </c>
      <c r="F563" t="s">
        <v>10489</v>
      </c>
      <c r="G563" t="s">
        <v>74</v>
      </c>
      <c r="H563" t="s">
        <v>74</v>
      </c>
      <c r="I563" t="s">
        <v>10490</v>
      </c>
      <c r="J563" t="s">
        <v>10491</v>
      </c>
      <c r="K563" t="s">
        <v>74</v>
      </c>
      <c r="L563" t="s">
        <v>74</v>
      </c>
      <c r="M563" t="s">
        <v>78</v>
      </c>
      <c r="N563" t="s">
        <v>79</v>
      </c>
      <c r="O563" t="s">
        <v>74</v>
      </c>
      <c r="P563" t="s">
        <v>74</v>
      </c>
      <c r="Q563" t="s">
        <v>74</v>
      </c>
      <c r="R563" t="s">
        <v>74</v>
      </c>
      <c r="S563" t="s">
        <v>74</v>
      </c>
      <c r="T563" t="s">
        <v>74</v>
      </c>
      <c r="U563" t="s">
        <v>10492</v>
      </c>
      <c r="V563" t="s">
        <v>10493</v>
      </c>
      <c r="W563" t="s">
        <v>10494</v>
      </c>
      <c r="X563" t="s">
        <v>10495</v>
      </c>
      <c r="Y563" t="s">
        <v>10496</v>
      </c>
      <c r="Z563" t="s">
        <v>10497</v>
      </c>
      <c r="AA563" t="s">
        <v>10498</v>
      </c>
      <c r="AB563" t="s">
        <v>10499</v>
      </c>
      <c r="AC563" t="s">
        <v>10500</v>
      </c>
      <c r="AD563" t="s">
        <v>10501</v>
      </c>
      <c r="AE563" t="s">
        <v>10502</v>
      </c>
      <c r="AF563" t="s">
        <v>74</v>
      </c>
      <c r="AG563">
        <v>73</v>
      </c>
      <c r="AH563">
        <v>43</v>
      </c>
      <c r="AI563">
        <v>43</v>
      </c>
      <c r="AJ563">
        <v>0</v>
      </c>
      <c r="AK563">
        <v>8</v>
      </c>
      <c r="AL563" t="s">
        <v>991</v>
      </c>
      <c r="AM563" t="s">
        <v>992</v>
      </c>
      <c r="AN563" t="s">
        <v>993</v>
      </c>
      <c r="AO563" t="s">
        <v>10503</v>
      </c>
      <c r="AP563" t="s">
        <v>10504</v>
      </c>
      <c r="AQ563" t="s">
        <v>74</v>
      </c>
      <c r="AR563" t="s">
        <v>10491</v>
      </c>
      <c r="AS563" t="s">
        <v>10505</v>
      </c>
      <c r="AT563" t="s">
        <v>74</v>
      </c>
      <c r="AU563">
        <v>2010</v>
      </c>
      <c r="AV563">
        <v>39</v>
      </c>
      <c r="AW563">
        <v>3</v>
      </c>
      <c r="AX563" t="s">
        <v>74</v>
      </c>
      <c r="AY563" t="s">
        <v>74</v>
      </c>
      <c r="AZ563" t="s">
        <v>74</v>
      </c>
      <c r="BA563" t="s">
        <v>74</v>
      </c>
      <c r="BB563">
        <v>471</v>
      </c>
      <c r="BC563">
        <v>491</v>
      </c>
      <c r="BD563" t="s">
        <v>74</v>
      </c>
      <c r="BE563" t="s">
        <v>10506</v>
      </c>
      <c r="BF563" t="str">
        <f>HYPERLINK("http://dx.doi.org/10.1111/j.1502-3885.2010.00144.x","http://dx.doi.org/10.1111/j.1502-3885.2010.00144.x")</f>
        <v>http://dx.doi.org/10.1111/j.1502-3885.2010.00144.x</v>
      </c>
      <c r="BG563" t="s">
        <v>74</v>
      </c>
      <c r="BH563" t="s">
        <v>74</v>
      </c>
      <c r="BI563">
        <v>21</v>
      </c>
      <c r="BJ563" t="s">
        <v>2881</v>
      </c>
      <c r="BK563" t="s">
        <v>102</v>
      </c>
      <c r="BL563" t="s">
        <v>2628</v>
      </c>
      <c r="BM563" t="s">
        <v>10507</v>
      </c>
      <c r="BN563" t="s">
        <v>74</v>
      </c>
      <c r="BO563" t="s">
        <v>74</v>
      </c>
      <c r="BP563" t="s">
        <v>74</v>
      </c>
      <c r="BQ563" t="s">
        <v>74</v>
      </c>
      <c r="BR563" t="s">
        <v>105</v>
      </c>
      <c r="BS563" t="s">
        <v>10508</v>
      </c>
      <c r="BT563" t="str">
        <f>HYPERLINK("https%3A%2F%2Fwww.webofscience.com%2Fwos%2Fwoscc%2Ffull-record%2FWOS:000278916600002","View Full Record in Web of Science")</f>
        <v>View Full Record in Web of Science</v>
      </c>
    </row>
    <row r="564" spans="1:72" x14ac:dyDescent="0.15">
      <c r="A564" t="s">
        <v>72</v>
      </c>
      <c r="B564" t="s">
        <v>10509</v>
      </c>
      <c r="C564" t="s">
        <v>74</v>
      </c>
      <c r="D564" t="s">
        <v>74</v>
      </c>
      <c r="E564" t="s">
        <v>74</v>
      </c>
      <c r="F564" t="s">
        <v>10510</v>
      </c>
      <c r="G564" t="s">
        <v>74</v>
      </c>
      <c r="H564" t="s">
        <v>74</v>
      </c>
      <c r="I564" t="s">
        <v>10511</v>
      </c>
      <c r="J564" t="s">
        <v>10491</v>
      </c>
      <c r="K564" t="s">
        <v>74</v>
      </c>
      <c r="L564" t="s">
        <v>74</v>
      </c>
      <c r="M564" t="s">
        <v>78</v>
      </c>
      <c r="N564" t="s">
        <v>600</v>
      </c>
      <c r="O564" t="s">
        <v>74</v>
      </c>
      <c r="P564" t="s">
        <v>74</v>
      </c>
      <c r="Q564" t="s">
        <v>74</v>
      </c>
      <c r="R564" t="s">
        <v>74</v>
      </c>
      <c r="S564" t="s">
        <v>74</v>
      </c>
      <c r="T564" t="s">
        <v>74</v>
      </c>
      <c r="U564" t="s">
        <v>10512</v>
      </c>
      <c r="V564" t="s">
        <v>10513</v>
      </c>
      <c r="W564" t="s">
        <v>10514</v>
      </c>
      <c r="X564" t="s">
        <v>10515</v>
      </c>
      <c r="Y564" t="s">
        <v>10516</v>
      </c>
      <c r="Z564" t="s">
        <v>10517</v>
      </c>
      <c r="AA564" t="s">
        <v>10518</v>
      </c>
      <c r="AB564" t="s">
        <v>10519</v>
      </c>
      <c r="AC564" t="s">
        <v>10520</v>
      </c>
      <c r="AD564" t="s">
        <v>10521</v>
      </c>
      <c r="AE564" t="s">
        <v>10522</v>
      </c>
      <c r="AF564" t="s">
        <v>74</v>
      </c>
      <c r="AG564">
        <v>104</v>
      </c>
      <c r="AH564">
        <v>38</v>
      </c>
      <c r="AI564">
        <v>40</v>
      </c>
      <c r="AJ564">
        <v>0</v>
      </c>
      <c r="AK564">
        <v>37</v>
      </c>
      <c r="AL564" t="s">
        <v>991</v>
      </c>
      <c r="AM564" t="s">
        <v>992</v>
      </c>
      <c r="AN564" t="s">
        <v>993</v>
      </c>
      <c r="AO564" t="s">
        <v>10503</v>
      </c>
      <c r="AP564" t="s">
        <v>10504</v>
      </c>
      <c r="AQ564" t="s">
        <v>74</v>
      </c>
      <c r="AR564" t="s">
        <v>10491</v>
      </c>
      <c r="AS564" t="s">
        <v>10505</v>
      </c>
      <c r="AT564" t="s">
        <v>74</v>
      </c>
      <c r="AU564">
        <v>2010</v>
      </c>
      <c r="AV564">
        <v>39</v>
      </c>
      <c r="AW564">
        <v>3</v>
      </c>
      <c r="AX564" t="s">
        <v>74</v>
      </c>
      <c r="AY564" t="s">
        <v>74</v>
      </c>
      <c r="AZ564" t="s">
        <v>74</v>
      </c>
      <c r="BA564" t="s">
        <v>74</v>
      </c>
      <c r="BB564">
        <v>576</v>
      </c>
      <c r="BC564">
        <v>591</v>
      </c>
      <c r="BD564" t="s">
        <v>74</v>
      </c>
      <c r="BE564" t="s">
        <v>10523</v>
      </c>
      <c r="BF564" t="str">
        <f>HYPERLINK("http://dx.doi.org/10.1111/j.1502-3885.2010.00141.x","http://dx.doi.org/10.1111/j.1502-3885.2010.00141.x")</f>
        <v>http://dx.doi.org/10.1111/j.1502-3885.2010.00141.x</v>
      </c>
      <c r="BG564" t="s">
        <v>74</v>
      </c>
      <c r="BH564" t="s">
        <v>74</v>
      </c>
      <c r="BI564">
        <v>16</v>
      </c>
      <c r="BJ564" t="s">
        <v>2881</v>
      </c>
      <c r="BK564" t="s">
        <v>102</v>
      </c>
      <c r="BL564" t="s">
        <v>2628</v>
      </c>
      <c r="BM564" t="s">
        <v>10507</v>
      </c>
      <c r="BN564" t="s">
        <v>74</v>
      </c>
      <c r="BO564" t="s">
        <v>74</v>
      </c>
      <c r="BP564" t="s">
        <v>74</v>
      </c>
      <c r="BQ564" t="s">
        <v>74</v>
      </c>
      <c r="BR564" t="s">
        <v>105</v>
      </c>
      <c r="BS564" t="s">
        <v>10524</v>
      </c>
      <c r="BT564" t="str">
        <f>HYPERLINK("https%3A%2F%2Fwww.webofscience.com%2Fwos%2Fwoscc%2Ffull-record%2FWOS:000278916600009","View Full Record in Web of Science")</f>
        <v>View Full Record in Web of Science</v>
      </c>
    </row>
    <row r="565" spans="1:72" x14ac:dyDescent="0.15">
      <c r="A565" t="s">
        <v>72</v>
      </c>
      <c r="B565" t="s">
        <v>10525</v>
      </c>
      <c r="C565" t="s">
        <v>74</v>
      </c>
      <c r="D565" t="s">
        <v>74</v>
      </c>
      <c r="E565" t="s">
        <v>74</v>
      </c>
      <c r="F565" t="s">
        <v>10526</v>
      </c>
      <c r="G565" t="s">
        <v>74</v>
      </c>
      <c r="H565" t="s">
        <v>74</v>
      </c>
      <c r="I565" t="s">
        <v>10527</v>
      </c>
      <c r="J565" t="s">
        <v>10528</v>
      </c>
      <c r="K565" t="s">
        <v>74</v>
      </c>
      <c r="L565" t="s">
        <v>74</v>
      </c>
      <c r="M565" t="s">
        <v>78</v>
      </c>
      <c r="N565" t="s">
        <v>79</v>
      </c>
      <c r="O565" t="s">
        <v>74</v>
      </c>
      <c r="P565" t="s">
        <v>74</v>
      </c>
      <c r="Q565" t="s">
        <v>74</v>
      </c>
      <c r="R565" t="s">
        <v>74</v>
      </c>
      <c r="S565" t="s">
        <v>74</v>
      </c>
      <c r="T565" t="s">
        <v>10529</v>
      </c>
      <c r="U565" t="s">
        <v>74</v>
      </c>
      <c r="V565" t="s">
        <v>10530</v>
      </c>
      <c r="W565" t="s">
        <v>10531</v>
      </c>
      <c r="X565" t="s">
        <v>10532</v>
      </c>
      <c r="Y565" t="s">
        <v>10533</v>
      </c>
      <c r="Z565" t="s">
        <v>10534</v>
      </c>
      <c r="AA565" t="s">
        <v>74</v>
      </c>
      <c r="AB565" t="s">
        <v>74</v>
      </c>
      <c r="AC565" t="s">
        <v>74</v>
      </c>
      <c r="AD565" t="s">
        <v>74</v>
      </c>
      <c r="AE565" t="s">
        <v>74</v>
      </c>
      <c r="AF565" t="s">
        <v>74</v>
      </c>
      <c r="AG565">
        <v>40</v>
      </c>
      <c r="AH565">
        <v>2</v>
      </c>
      <c r="AI565">
        <v>2</v>
      </c>
      <c r="AJ565">
        <v>1</v>
      </c>
      <c r="AK565">
        <v>5</v>
      </c>
      <c r="AL565" t="s">
        <v>10535</v>
      </c>
      <c r="AM565" t="s">
        <v>10536</v>
      </c>
      <c r="AN565" t="s">
        <v>10537</v>
      </c>
      <c r="AO565" t="s">
        <v>10538</v>
      </c>
      <c r="AP565" t="s">
        <v>10539</v>
      </c>
      <c r="AQ565" t="s">
        <v>74</v>
      </c>
      <c r="AR565" t="s">
        <v>10540</v>
      </c>
      <c r="AS565" t="s">
        <v>10541</v>
      </c>
      <c r="AT565" t="s">
        <v>74</v>
      </c>
      <c r="AU565">
        <v>2010</v>
      </c>
      <c r="AV565">
        <v>13</v>
      </c>
      <c r="AW565" t="s">
        <v>74</v>
      </c>
      <c r="AX565" t="s">
        <v>74</v>
      </c>
      <c r="AY565" t="s">
        <v>74</v>
      </c>
      <c r="AZ565" t="s">
        <v>74</v>
      </c>
      <c r="BA565" t="s">
        <v>74</v>
      </c>
      <c r="BB565">
        <v>82</v>
      </c>
      <c r="BC565">
        <v>102</v>
      </c>
      <c r="BD565" t="s">
        <v>74</v>
      </c>
      <c r="BE565" t="s">
        <v>74</v>
      </c>
      <c r="BF565" t="s">
        <v>74</v>
      </c>
      <c r="BG565" t="s">
        <v>74</v>
      </c>
      <c r="BH565" t="s">
        <v>74</v>
      </c>
      <c r="BI565">
        <v>21</v>
      </c>
      <c r="BJ565" t="s">
        <v>478</v>
      </c>
      <c r="BK565" t="s">
        <v>1408</v>
      </c>
      <c r="BL565" t="s">
        <v>478</v>
      </c>
      <c r="BM565" t="s">
        <v>10542</v>
      </c>
      <c r="BN565" t="s">
        <v>74</v>
      </c>
      <c r="BO565" t="s">
        <v>74</v>
      </c>
      <c r="BP565" t="s">
        <v>74</v>
      </c>
      <c r="BQ565" t="s">
        <v>74</v>
      </c>
      <c r="BR565" t="s">
        <v>105</v>
      </c>
      <c r="BS565" t="s">
        <v>10543</v>
      </c>
      <c r="BT565" t="str">
        <f>HYPERLINK("https%3A%2F%2Fwww.webofscience.com%2Fwos%2Fwoscc%2Ffull-record%2FWOS:000433837100007","View Full Record in Web of Science")</f>
        <v>View Full Record in Web of Science</v>
      </c>
    </row>
    <row r="566" spans="1:72" x14ac:dyDescent="0.15">
      <c r="A566" t="s">
        <v>8697</v>
      </c>
      <c r="B566" t="s">
        <v>10544</v>
      </c>
      <c r="C566" t="s">
        <v>74</v>
      </c>
      <c r="D566" t="s">
        <v>10545</v>
      </c>
      <c r="E566" t="s">
        <v>74</v>
      </c>
      <c r="F566" t="s">
        <v>10546</v>
      </c>
      <c r="G566" t="s">
        <v>74</v>
      </c>
      <c r="H566" t="s">
        <v>74</v>
      </c>
      <c r="I566" t="s">
        <v>10547</v>
      </c>
      <c r="J566" t="s">
        <v>10548</v>
      </c>
      <c r="K566" t="s">
        <v>10549</v>
      </c>
      <c r="L566" t="s">
        <v>74</v>
      </c>
      <c r="M566" t="s">
        <v>78</v>
      </c>
      <c r="N566" t="s">
        <v>8859</v>
      </c>
      <c r="O566" t="s">
        <v>74</v>
      </c>
      <c r="P566" t="s">
        <v>74</v>
      </c>
      <c r="Q566" t="s">
        <v>74</v>
      </c>
      <c r="R566" t="s">
        <v>74</v>
      </c>
      <c r="S566" t="s">
        <v>74</v>
      </c>
      <c r="T566" t="s">
        <v>10550</v>
      </c>
      <c r="U566" t="s">
        <v>10551</v>
      </c>
      <c r="V566" t="s">
        <v>10552</v>
      </c>
      <c r="W566" t="s">
        <v>10553</v>
      </c>
      <c r="X566" t="s">
        <v>10554</v>
      </c>
      <c r="Y566" t="s">
        <v>10555</v>
      </c>
      <c r="Z566" t="s">
        <v>10556</v>
      </c>
      <c r="AA566" t="s">
        <v>74</v>
      </c>
      <c r="AB566" t="s">
        <v>74</v>
      </c>
      <c r="AC566" t="s">
        <v>74</v>
      </c>
      <c r="AD566" t="s">
        <v>74</v>
      </c>
      <c r="AE566" t="s">
        <v>74</v>
      </c>
      <c r="AF566" t="s">
        <v>74</v>
      </c>
      <c r="AG566">
        <v>59</v>
      </c>
      <c r="AH566">
        <v>12</v>
      </c>
      <c r="AI566">
        <v>13</v>
      </c>
      <c r="AJ566">
        <v>0</v>
      </c>
      <c r="AK566">
        <v>11</v>
      </c>
      <c r="AL566" t="s">
        <v>2312</v>
      </c>
      <c r="AM566" t="s">
        <v>1655</v>
      </c>
      <c r="AN566" t="s">
        <v>10557</v>
      </c>
      <c r="AO566" t="s">
        <v>10558</v>
      </c>
      <c r="AP566" t="s">
        <v>74</v>
      </c>
      <c r="AQ566" t="s">
        <v>10559</v>
      </c>
      <c r="AR566" t="s">
        <v>10560</v>
      </c>
      <c r="AS566" t="s">
        <v>74</v>
      </c>
      <c r="AT566" t="s">
        <v>74</v>
      </c>
      <c r="AU566">
        <v>2010</v>
      </c>
      <c r="AV566">
        <v>42</v>
      </c>
      <c r="AW566" t="s">
        <v>74</v>
      </c>
      <c r="AX566" t="s">
        <v>74</v>
      </c>
      <c r="AY566" t="s">
        <v>74</v>
      </c>
      <c r="AZ566" t="s">
        <v>74</v>
      </c>
      <c r="BA566" t="s">
        <v>74</v>
      </c>
      <c r="BB566">
        <v>1</v>
      </c>
      <c r="BC566">
        <v>16</v>
      </c>
      <c r="BD566" t="s">
        <v>74</v>
      </c>
      <c r="BE566" t="s">
        <v>74</v>
      </c>
      <c r="BF566" t="s">
        <v>74</v>
      </c>
      <c r="BG566" t="s">
        <v>74</v>
      </c>
      <c r="BH566" t="s">
        <v>74</v>
      </c>
      <c r="BI566">
        <v>16</v>
      </c>
      <c r="BJ566" t="s">
        <v>10561</v>
      </c>
      <c r="BK566" t="s">
        <v>8579</v>
      </c>
      <c r="BL566" t="s">
        <v>10561</v>
      </c>
      <c r="BM566" t="s">
        <v>10562</v>
      </c>
      <c r="BN566" t="s">
        <v>74</v>
      </c>
      <c r="BO566" t="s">
        <v>74</v>
      </c>
      <c r="BP566" t="s">
        <v>74</v>
      </c>
      <c r="BQ566" t="s">
        <v>74</v>
      </c>
      <c r="BR566" t="s">
        <v>105</v>
      </c>
      <c r="BS566" t="s">
        <v>10563</v>
      </c>
      <c r="BT566" t="str">
        <f>HYPERLINK("https%3A%2F%2Fwww.webofscience.com%2Fwos%2Fwoscc%2Ffull-record%2FWOS:000287219000002","View Full Record in Web of Science")</f>
        <v>View Full Record in Web of Science</v>
      </c>
    </row>
    <row r="567" spans="1:72" x14ac:dyDescent="0.15">
      <c r="A567" t="s">
        <v>72</v>
      </c>
      <c r="B567" t="s">
        <v>10564</v>
      </c>
      <c r="C567" t="s">
        <v>74</v>
      </c>
      <c r="D567" t="s">
        <v>74</v>
      </c>
      <c r="E567" t="s">
        <v>74</v>
      </c>
      <c r="F567" t="s">
        <v>10565</v>
      </c>
      <c r="G567" t="s">
        <v>74</v>
      </c>
      <c r="H567" t="s">
        <v>74</v>
      </c>
      <c r="I567" t="s">
        <v>10566</v>
      </c>
      <c r="J567" t="s">
        <v>10567</v>
      </c>
      <c r="K567" t="s">
        <v>74</v>
      </c>
      <c r="L567" t="s">
        <v>74</v>
      </c>
      <c r="M567" t="s">
        <v>78</v>
      </c>
      <c r="N567" t="s">
        <v>79</v>
      </c>
      <c r="O567" t="s">
        <v>74</v>
      </c>
      <c r="P567" t="s">
        <v>74</v>
      </c>
      <c r="Q567" t="s">
        <v>74</v>
      </c>
      <c r="R567" t="s">
        <v>74</v>
      </c>
      <c r="S567" t="s">
        <v>74</v>
      </c>
      <c r="T567" t="s">
        <v>10568</v>
      </c>
      <c r="U567" t="s">
        <v>74</v>
      </c>
      <c r="V567" t="s">
        <v>10569</v>
      </c>
      <c r="W567" t="s">
        <v>10570</v>
      </c>
      <c r="X567" t="s">
        <v>10571</v>
      </c>
      <c r="Y567" t="s">
        <v>10572</v>
      </c>
      <c r="Z567" t="s">
        <v>10573</v>
      </c>
      <c r="AA567" t="s">
        <v>74</v>
      </c>
      <c r="AB567" t="s">
        <v>10574</v>
      </c>
      <c r="AC567" t="s">
        <v>10575</v>
      </c>
      <c r="AD567" t="s">
        <v>10576</v>
      </c>
      <c r="AE567" t="s">
        <v>10577</v>
      </c>
      <c r="AF567" t="s">
        <v>74</v>
      </c>
      <c r="AG567">
        <v>82</v>
      </c>
      <c r="AH567">
        <v>85</v>
      </c>
      <c r="AI567">
        <v>91</v>
      </c>
      <c r="AJ567">
        <v>1</v>
      </c>
      <c r="AK567">
        <v>53</v>
      </c>
      <c r="AL567" t="s">
        <v>10578</v>
      </c>
      <c r="AM567" t="s">
        <v>10579</v>
      </c>
      <c r="AN567" t="s">
        <v>10580</v>
      </c>
      <c r="AO567" t="s">
        <v>10581</v>
      </c>
      <c r="AP567" t="s">
        <v>74</v>
      </c>
      <c r="AQ567" t="s">
        <v>74</v>
      </c>
      <c r="AR567" t="s">
        <v>10582</v>
      </c>
      <c r="AS567" t="s">
        <v>10583</v>
      </c>
      <c r="AT567" t="s">
        <v>74</v>
      </c>
      <c r="AU567">
        <v>2010</v>
      </c>
      <c r="AV567">
        <v>17</v>
      </c>
      <c r="AW567" t="s">
        <v>74</v>
      </c>
      <c r="AX567" t="s">
        <v>74</v>
      </c>
      <c r="AY567" t="s">
        <v>74</v>
      </c>
      <c r="AZ567" t="s">
        <v>74</v>
      </c>
      <c r="BA567" t="s">
        <v>74</v>
      </c>
      <c r="BB567">
        <v>1</v>
      </c>
      <c r="BC567">
        <v>31</v>
      </c>
      <c r="BD567" t="s">
        <v>74</v>
      </c>
      <c r="BE567" t="s">
        <v>74</v>
      </c>
      <c r="BF567" t="s">
        <v>74</v>
      </c>
      <c r="BG567" t="s">
        <v>74</v>
      </c>
      <c r="BH567" t="s">
        <v>74</v>
      </c>
      <c r="BI567">
        <v>31</v>
      </c>
      <c r="BJ567" t="s">
        <v>10584</v>
      </c>
      <c r="BK567" t="s">
        <v>102</v>
      </c>
      <c r="BL567" t="s">
        <v>10584</v>
      </c>
      <c r="BM567" t="s">
        <v>10585</v>
      </c>
      <c r="BN567" t="s">
        <v>74</v>
      </c>
      <c r="BO567" t="s">
        <v>74</v>
      </c>
      <c r="BP567" t="s">
        <v>74</v>
      </c>
      <c r="BQ567" t="s">
        <v>74</v>
      </c>
      <c r="BR567" t="s">
        <v>105</v>
      </c>
      <c r="BS567" t="s">
        <v>10586</v>
      </c>
      <c r="BT567" t="str">
        <f>HYPERLINK("https%3A%2F%2Fwww.webofscience.com%2Fwos%2Fwoscc%2Ffull-record%2FWOS:000208409700001","View Full Record in Web of Science")</f>
        <v>View Full Record in Web of Science</v>
      </c>
    </row>
    <row r="568" spans="1:72" x14ac:dyDescent="0.15">
      <c r="A568" t="s">
        <v>72</v>
      </c>
      <c r="B568" t="s">
        <v>10587</v>
      </c>
      <c r="C568" t="s">
        <v>74</v>
      </c>
      <c r="D568" t="s">
        <v>74</v>
      </c>
      <c r="E568" t="s">
        <v>74</v>
      </c>
      <c r="F568" t="s">
        <v>10588</v>
      </c>
      <c r="G568" t="s">
        <v>74</v>
      </c>
      <c r="H568" t="s">
        <v>74</v>
      </c>
      <c r="I568" t="s">
        <v>10589</v>
      </c>
      <c r="J568" t="s">
        <v>10567</v>
      </c>
      <c r="K568" t="s">
        <v>74</v>
      </c>
      <c r="L568" t="s">
        <v>74</v>
      </c>
      <c r="M568" t="s">
        <v>78</v>
      </c>
      <c r="N568" t="s">
        <v>79</v>
      </c>
      <c r="O568" t="s">
        <v>74</v>
      </c>
      <c r="P568" t="s">
        <v>74</v>
      </c>
      <c r="Q568" t="s">
        <v>74</v>
      </c>
      <c r="R568" t="s">
        <v>74</v>
      </c>
      <c r="S568" t="s">
        <v>74</v>
      </c>
      <c r="T568" t="s">
        <v>10590</v>
      </c>
      <c r="U568" t="s">
        <v>74</v>
      </c>
      <c r="V568" t="s">
        <v>10591</v>
      </c>
      <c r="W568" t="s">
        <v>10592</v>
      </c>
      <c r="X568" t="s">
        <v>10571</v>
      </c>
      <c r="Y568" t="s">
        <v>10593</v>
      </c>
      <c r="Z568" t="s">
        <v>10594</v>
      </c>
      <c r="AA568" t="s">
        <v>74</v>
      </c>
      <c r="AB568" t="s">
        <v>10595</v>
      </c>
      <c r="AC568" t="s">
        <v>10596</v>
      </c>
      <c r="AD568" t="s">
        <v>10597</v>
      </c>
      <c r="AE568" t="s">
        <v>10598</v>
      </c>
      <c r="AF568" t="s">
        <v>74</v>
      </c>
      <c r="AG568">
        <v>25</v>
      </c>
      <c r="AH568">
        <v>15</v>
      </c>
      <c r="AI568">
        <v>16</v>
      </c>
      <c r="AJ568">
        <v>0</v>
      </c>
      <c r="AK568">
        <v>16</v>
      </c>
      <c r="AL568" t="s">
        <v>10578</v>
      </c>
      <c r="AM568" t="s">
        <v>10579</v>
      </c>
      <c r="AN568" t="s">
        <v>10580</v>
      </c>
      <c r="AO568" t="s">
        <v>10581</v>
      </c>
      <c r="AP568" t="s">
        <v>74</v>
      </c>
      <c r="AQ568" t="s">
        <v>74</v>
      </c>
      <c r="AR568" t="s">
        <v>10582</v>
      </c>
      <c r="AS568" t="s">
        <v>10583</v>
      </c>
      <c r="AT568" t="s">
        <v>74</v>
      </c>
      <c r="AU568">
        <v>2010</v>
      </c>
      <c r="AV568">
        <v>17</v>
      </c>
      <c r="AW568" t="s">
        <v>74</v>
      </c>
      <c r="AX568" t="s">
        <v>74</v>
      </c>
      <c r="AY568" t="s">
        <v>74</v>
      </c>
      <c r="AZ568" t="s">
        <v>74</v>
      </c>
      <c r="BA568" t="s">
        <v>74</v>
      </c>
      <c r="BB568">
        <v>33</v>
      </c>
      <c r="BC568">
        <v>51</v>
      </c>
      <c r="BD568" t="s">
        <v>74</v>
      </c>
      <c r="BE568" t="s">
        <v>74</v>
      </c>
      <c r="BF568" t="s">
        <v>74</v>
      </c>
      <c r="BG568" t="s">
        <v>74</v>
      </c>
      <c r="BH568" t="s">
        <v>74</v>
      </c>
      <c r="BI568">
        <v>19</v>
      </c>
      <c r="BJ568" t="s">
        <v>10584</v>
      </c>
      <c r="BK568" t="s">
        <v>102</v>
      </c>
      <c r="BL568" t="s">
        <v>10584</v>
      </c>
      <c r="BM568" t="s">
        <v>10585</v>
      </c>
      <c r="BN568" t="s">
        <v>74</v>
      </c>
      <c r="BO568" t="s">
        <v>74</v>
      </c>
      <c r="BP568" t="s">
        <v>74</v>
      </c>
      <c r="BQ568" t="s">
        <v>74</v>
      </c>
      <c r="BR568" t="s">
        <v>105</v>
      </c>
      <c r="BS568" t="s">
        <v>10599</v>
      </c>
      <c r="BT568" t="str">
        <f>HYPERLINK("https%3A%2F%2Fwww.webofscience.com%2Fwos%2Fwoscc%2Ffull-record%2FWOS:000208409700002","View Full Record in Web of Science")</f>
        <v>View Full Record in Web of Science</v>
      </c>
    </row>
    <row r="569" spans="1:72" x14ac:dyDescent="0.15">
      <c r="A569" t="s">
        <v>72</v>
      </c>
      <c r="B569" t="s">
        <v>10600</v>
      </c>
      <c r="C569" t="s">
        <v>74</v>
      </c>
      <c r="D569" t="s">
        <v>74</v>
      </c>
      <c r="E569" t="s">
        <v>74</v>
      </c>
      <c r="F569" t="s">
        <v>10601</v>
      </c>
      <c r="G569" t="s">
        <v>74</v>
      </c>
      <c r="H569" t="s">
        <v>74</v>
      </c>
      <c r="I569" t="s">
        <v>10602</v>
      </c>
      <c r="J569" t="s">
        <v>10567</v>
      </c>
      <c r="K569" t="s">
        <v>74</v>
      </c>
      <c r="L569" t="s">
        <v>74</v>
      </c>
      <c r="M569" t="s">
        <v>78</v>
      </c>
      <c r="N569" t="s">
        <v>79</v>
      </c>
      <c r="O569" t="s">
        <v>74</v>
      </c>
      <c r="P569" t="s">
        <v>74</v>
      </c>
      <c r="Q569" t="s">
        <v>74</v>
      </c>
      <c r="R569" t="s">
        <v>74</v>
      </c>
      <c r="S569" t="s">
        <v>74</v>
      </c>
      <c r="T569" t="s">
        <v>10603</v>
      </c>
      <c r="U569" t="s">
        <v>74</v>
      </c>
      <c r="V569" t="s">
        <v>10604</v>
      </c>
      <c r="W569" t="s">
        <v>10605</v>
      </c>
      <c r="X569" t="s">
        <v>10571</v>
      </c>
      <c r="Y569" t="s">
        <v>10606</v>
      </c>
      <c r="Z569" t="s">
        <v>10607</v>
      </c>
      <c r="AA569" t="s">
        <v>74</v>
      </c>
      <c r="AB569" t="s">
        <v>74</v>
      </c>
      <c r="AC569" t="s">
        <v>10608</v>
      </c>
      <c r="AD569" t="s">
        <v>10597</v>
      </c>
      <c r="AE569" t="s">
        <v>10609</v>
      </c>
      <c r="AF569" t="s">
        <v>74</v>
      </c>
      <c r="AG569">
        <v>31</v>
      </c>
      <c r="AH569">
        <v>26</v>
      </c>
      <c r="AI569">
        <v>26</v>
      </c>
      <c r="AJ569">
        <v>0</v>
      </c>
      <c r="AK569">
        <v>12</v>
      </c>
      <c r="AL569" t="s">
        <v>10578</v>
      </c>
      <c r="AM569" t="s">
        <v>10579</v>
      </c>
      <c r="AN569" t="s">
        <v>10580</v>
      </c>
      <c r="AO569" t="s">
        <v>10581</v>
      </c>
      <c r="AP569" t="s">
        <v>74</v>
      </c>
      <c r="AQ569" t="s">
        <v>74</v>
      </c>
      <c r="AR569" t="s">
        <v>10582</v>
      </c>
      <c r="AS569" t="s">
        <v>10583</v>
      </c>
      <c r="AT569" t="s">
        <v>74</v>
      </c>
      <c r="AU569">
        <v>2010</v>
      </c>
      <c r="AV569">
        <v>17</v>
      </c>
      <c r="AW569" t="s">
        <v>74</v>
      </c>
      <c r="AX569" t="s">
        <v>74</v>
      </c>
      <c r="AY569" t="s">
        <v>74</v>
      </c>
      <c r="AZ569" t="s">
        <v>74</v>
      </c>
      <c r="BA569" t="s">
        <v>74</v>
      </c>
      <c r="BB569">
        <v>53</v>
      </c>
      <c r="BC569">
        <v>73</v>
      </c>
      <c r="BD569" t="s">
        <v>74</v>
      </c>
      <c r="BE569" t="s">
        <v>74</v>
      </c>
      <c r="BF569" t="s">
        <v>74</v>
      </c>
      <c r="BG569" t="s">
        <v>74</v>
      </c>
      <c r="BH569" t="s">
        <v>74</v>
      </c>
      <c r="BI569">
        <v>21</v>
      </c>
      <c r="BJ569" t="s">
        <v>10584</v>
      </c>
      <c r="BK569" t="s">
        <v>102</v>
      </c>
      <c r="BL569" t="s">
        <v>10584</v>
      </c>
      <c r="BM569" t="s">
        <v>10585</v>
      </c>
      <c r="BN569" t="s">
        <v>74</v>
      </c>
      <c r="BO569" t="s">
        <v>74</v>
      </c>
      <c r="BP569" t="s">
        <v>74</v>
      </c>
      <c r="BQ569" t="s">
        <v>74</v>
      </c>
      <c r="BR569" t="s">
        <v>105</v>
      </c>
      <c r="BS569" t="s">
        <v>10610</v>
      </c>
      <c r="BT569" t="str">
        <f>HYPERLINK("https%3A%2F%2Fwww.webofscience.com%2Fwos%2Fwoscc%2Ffull-record%2FWOS:000208409700003","View Full Record in Web of Science")</f>
        <v>View Full Record in Web of Science</v>
      </c>
    </row>
    <row r="570" spans="1:72" x14ac:dyDescent="0.15">
      <c r="A570" t="s">
        <v>72</v>
      </c>
      <c r="B570" t="s">
        <v>10611</v>
      </c>
      <c r="C570" t="s">
        <v>74</v>
      </c>
      <c r="D570" t="s">
        <v>74</v>
      </c>
      <c r="E570" t="s">
        <v>74</v>
      </c>
      <c r="F570" t="s">
        <v>10612</v>
      </c>
      <c r="G570" t="s">
        <v>74</v>
      </c>
      <c r="H570" t="s">
        <v>74</v>
      </c>
      <c r="I570" t="s">
        <v>10613</v>
      </c>
      <c r="J570" t="s">
        <v>10567</v>
      </c>
      <c r="K570" t="s">
        <v>74</v>
      </c>
      <c r="L570" t="s">
        <v>74</v>
      </c>
      <c r="M570" t="s">
        <v>78</v>
      </c>
      <c r="N570" t="s">
        <v>79</v>
      </c>
      <c r="O570" t="s">
        <v>74</v>
      </c>
      <c r="P570" t="s">
        <v>74</v>
      </c>
      <c r="Q570" t="s">
        <v>74</v>
      </c>
      <c r="R570" t="s">
        <v>74</v>
      </c>
      <c r="S570" t="s">
        <v>74</v>
      </c>
      <c r="T570" t="s">
        <v>10614</v>
      </c>
      <c r="U570" t="s">
        <v>74</v>
      </c>
      <c r="V570" t="s">
        <v>10615</v>
      </c>
      <c r="W570" t="s">
        <v>10616</v>
      </c>
      <c r="X570" t="s">
        <v>10617</v>
      </c>
      <c r="Y570" t="s">
        <v>10618</v>
      </c>
      <c r="Z570" t="s">
        <v>10619</v>
      </c>
      <c r="AA570" t="s">
        <v>10620</v>
      </c>
      <c r="AB570" t="s">
        <v>10621</v>
      </c>
      <c r="AC570" t="s">
        <v>10622</v>
      </c>
      <c r="AD570" t="s">
        <v>10622</v>
      </c>
      <c r="AE570" t="s">
        <v>10623</v>
      </c>
      <c r="AF570" t="s">
        <v>74</v>
      </c>
      <c r="AG570">
        <v>56</v>
      </c>
      <c r="AH570">
        <v>8</v>
      </c>
      <c r="AI570">
        <v>8</v>
      </c>
      <c r="AJ570">
        <v>0</v>
      </c>
      <c r="AK570">
        <v>9</v>
      </c>
      <c r="AL570" t="s">
        <v>10578</v>
      </c>
      <c r="AM570" t="s">
        <v>10579</v>
      </c>
      <c r="AN570" t="s">
        <v>10580</v>
      </c>
      <c r="AO570" t="s">
        <v>10581</v>
      </c>
      <c r="AP570" t="s">
        <v>74</v>
      </c>
      <c r="AQ570" t="s">
        <v>74</v>
      </c>
      <c r="AR570" t="s">
        <v>10582</v>
      </c>
      <c r="AS570" t="s">
        <v>10583</v>
      </c>
      <c r="AT570" t="s">
        <v>74</v>
      </c>
      <c r="AU570">
        <v>2010</v>
      </c>
      <c r="AV570">
        <v>17</v>
      </c>
      <c r="AW570" t="s">
        <v>74</v>
      </c>
      <c r="AX570" t="s">
        <v>74</v>
      </c>
      <c r="AY570" t="s">
        <v>74</v>
      </c>
      <c r="AZ570" t="s">
        <v>74</v>
      </c>
      <c r="BA570" t="s">
        <v>74</v>
      </c>
      <c r="BB570">
        <v>75</v>
      </c>
      <c r="BC570">
        <v>104</v>
      </c>
      <c r="BD570" t="s">
        <v>74</v>
      </c>
      <c r="BE570" t="s">
        <v>74</v>
      </c>
      <c r="BF570" t="s">
        <v>74</v>
      </c>
      <c r="BG570" t="s">
        <v>74</v>
      </c>
      <c r="BH570" t="s">
        <v>74</v>
      </c>
      <c r="BI570">
        <v>30</v>
      </c>
      <c r="BJ570" t="s">
        <v>10584</v>
      </c>
      <c r="BK570" t="s">
        <v>102</v>
      </c>
      <c r="BL570" t="s">
        <v>10584</v>
      </c>
      <c r="BM570" t="s">
        <v>10585</v>
      </c>
      <c r="BN570" t="s">
        <v>74</v>
      </c>
      <c r="BO570" t="s">
        <v>74</v>
      </c>
      <c r="BP570" t="s">
        <v>74</v>
      </c>
      <c r="BQ570" t="s">
        <v>74</v>
      </c>
      <c r="BR570" t="s">
        <v>105</v>
      </c>
      <c r="BS570" t="s">
        <v>10624</v>
      </c>
      <c r="BT570" t="str">
        <f>HYPERLINK("https%3A%2F%2Fwww.webofscience.com%2Fwos%2Fwoscc%2Ffull-record%2FWOS:000208409700004","View Full Record in Web of Science")</f>
        <v>View Full Record in Web of Science</v>
      </c>
    </row>
    <row r="571" spans="1:72" x14ac:dyDescent="0.15">
      <c r="A571" t="s">
        <v>72</v>
      </c>
      <c r="B571" t="s">
        <v>10625</v>
      </c>
      <c r="C571" t="s">
        <v>74</v>
      </c>
      <c r="D571" t="s">
        <v>74</v>
      </c>
      <c r="E571" t="s">
        <v>74</v>
      </c>
      <c r="F571" t="s">
        <v>10626</v>
      </c>
      <c r="G571" t="s">
        <v>74</v>
      </c>
      <c r="H571" t="s">
        <v>74</v>
      </c>
      <c r="I571" t="s">
        <v>10627</v>
      </c>
      <c r="J571" t="s">
        <v>10567</v>
      </c>
      <c r="K571" t="s">
        <v>74</v>
      </c>
      <c r="L571" t="s">
        <v>74</v>
      </c>
      <c r="M571" t="s">
        <v>78</v>
      </c>
      <c r="N571" t="s">
        <v>79</v>
      </c>
      <c r="O571" t="s">
        <v>74</v>
      </c>
      <c r="P571" t="s">
        <v>74</v>
      </c>
      <c r="Q571" t="s">
        <v>74</v>
      </c>
      <c r="R571" t="s">
        <v>74</v>
      </c>
      <c r="S571" t="s">
        <v>74</v>
      </c>
      <c r="T571" t="s">
        <v>10628</v>
      </c>
      <c r="U571" t="s">
        <v>10629</v>
      </c>
      <c r="V571" t="s">
        <v>10630</v>
      </c>
      <c r="W571" t="s">
        <v>10631</v>
      </c>
      <c r="X571" t="s">
        <v>10571</v>
      </c>
      <c r="Y571" t="s">
        <v>10606</v>
      </c>
      <c r="Z571" t="s">
        <v>10607</v>
      </c>
      <c r="AA571" t="s">
        <v>74</v>
      </c>
      <c r="AB571" t="s">
        <v>74</v>
      </c>
      <c r="AC571" t="s">
        <v>10632</v>
      </c>
      <c r="AD571" t="s">
        <v>10597</v>
      </c>
      <c r="AE571" t="s">
        <v>10633</v>
      </c>
      <c r="AF571" t="s">
        <v>74</v>
      </c>
      <c r="AG571">
        <v>85</v>
      </c>
      <c r="AH571">
        <v>30</v>
      </c>
      <c r="AI571">
        <v>32</v>
      </c>
      <c r="AJ571">
        <v>0</v>
      </c>
      <c r="AK571">
        <v>10</v>
      </c>
      <c r="AL571" t="s">
        <v>10578</v>
      </c>
      <c r="AM571" t="s">
        <v>10579</v>
      </c>
      <c r="AN571" t="s">
        <v>10580</v>
      </c>
      <c r="AO571" t="s">
        <v>10581</v>
      </c>
      <c r="AP571" t="s">
        <v>74</v>
      </c>
      <c r="AQ571" t="s">
        <v>74</v>
      </c>
      <c r="AR571" t="s">
        <v>10582</v>
      </c>
      <c r="AS571" t="s">
        <v>10583</v>
      </c>
      <c r="AT571" t="s">
        <v>74</v>
      </c>
      <c r="AU571">
        <v>2010</v>
      </c>
      <c r="AV571">
        <v>17</v>
      </c>
      <c r="AW571" t="s">
        <v>74</v>
      </c>
      <c r="AX571" t="s">
        <v>74</v>
      </c>
      <c r="AY571" t="s">
        <v>74</v>
      </c>
      <c r="AZ571" t="s">
        <v>74</v>
      </c>
      <c r="BA571" t="s">
        <v>74</v>
      </c>
      <c r="BB571">
        <v>105</v>
      </c>
      <c r="BC571">
        <v>127</v>
      </c>
      <c r="BD571" t="s">
        <v>74</v>
      </c>
      <c r="BE571" t="s">
        <v>74</v>
      </c>
      <c r="BF571" t="s">
        <v>74</v>
      </c>
      <c r="BG571" t="s">
        <v>74</v>
      </c>
      <c r="BH571" t="s">
        <v>74</v>
      </c>
      <c r="BI571">
        <v>23</v>
      </c>
      <c r="BJ571" t="s">
        <v>10584</v>
      </c>
      <c r="BK571" t="s">
        <v>102</v>
      </c>
      <c r="BL571" t="s">
        <v>10584</v>
      </c>
      <c r="BM571" t="s">
        <v>10585</v>
      </c>
      <c r="BN571" t="s">
        <v>74</v>
      </c>
      <c r="BO571" t="s">
        <v>74</v>
      </c>
      <c r="BP571" t="s">
        <v>74</v>
      </c>
      <c r="BQ571" t="s">
        <v>74</v>
      </c>
      <c r="BR571" t="s">
        <v>105</v>
      </c>
      <c r="BS571" t="s">
        <v>10634</v>
      </c>
      <c r="BT571" t="str">
        <f>HYPERLINK("https%3A%2F%2Fwww.webofscience.com%2Fwos%2Fwoscc%2Ffull-record%2FWOS:000208409700005","View Full Record in Web of Science")</f>
        <v>View Full Record in Web of Science</v>
      </c>
    </row>
    <row r="572" spans="1:72" x14ac:dyDescent="0.15">
      <c r="A572" t="s">
        <v>72</v>
      </c>
      <c r="B572" t="s">
        <v>10635</v>
      </c>
      <c r="C572" t="s">
        <v>74</v>
      </c>
      <c r="D572" t="s">
        <v>74</v>
      </c>
      <c r="E572" t="s">
        <v>74</v>
      </c>
      <c r="F572" t="s">
        <v>10636</v>
      </c>
      <c r="G572" t="s">
        <v>74</v>
      </c>
      <c r="H572" t="s">
        <v>74</v>
      </c>
      <c r="I572" t="s">
        <v>10637</v>
      </c>
      <c r="J572" t="s">
        <v>10567</v>
      </c>
      <c r="K572" t="s">
        <v>74</v>
      </c>
      <c r="L572" t="s">
        <v>74</v>
      </c>
      <c r="M572" t="s">
        <v>78</v>
      </c>
      <c r="N572" t="s">
        <v>79</v>
      </c>
      <c r="O572" t="s">
        <v>74</v>
      </c>
      <c r="P572" t="s">
        <v>74</v>
      </c>
      <c r="Q572" t="s">
        <v>74</v>
      </c>
      <c r="R572" t="s">
        <v>74</v>
      </c>
      <c r="S572" t="s">
        <v>74</v>
      </c>
      <c r="T572" t="s">
        <v>10638</v>
      </c>
      <c r="U572" t="s">
        <v>74</v>
      </c>
      <c r="V572" t="s">
        <v>10639</v>
      </c>
      <c r="W572" t="s">
        <v>10640</v>
      </c>
      <c r="X572" t="s">
        <v>10641</v>
      </c>
      <c r="Y572" t="s">
        <v>10642</v>
      </c>
      <c r="Z572" t="s">
        <v>10643</v>
      </c>
      <c r="AA572" t="s">
        <v>74</v>
      </c>
      <c r="AB572" t="s">
        <v>74</v>
      </c>
      <c r="AC572" t="s">
        <v>74</v>
      </c>
      <c r="AD572" t="s">
        <v>74</v>
      </c>
      <c r="AE572" t="s">
        <v>74</v>
      </c>
      <c r="AF572" t="s">
        <v>74</v>
      </c>
      <c r="AG572">
        <v>17</v>
      </c>
      <c r="AH572">
        <v>5</v>
      </c>
      <c r="AI572">
        <v>6</v>
      </c>
      <c r="AJ572">
        <v>0</v>
      </c>
      <c r="AK572">
        <v>8</v>
      </c>
      <c r="AL572" t="s">
        <v>10578</v>
      </c>
      <c r="AM572" t="s">
        <v>10579</v>
      </c>
      <c r="AN572" t="s">
        <v>10580</v>
      </c>
      <c r="AO572" t="s">
        <v>10581</v>
      </c>
      <c r="AP572" t="s">
        <v>74</v>
      </c>
      <c r="AQ572" t="s">
        <v>74</v>
      </c>
      <c r="AR572" t="s">
        <v>10582</v>
      </c>
      <c r="AS572" t="s">
        <v>10583</v>
      </c>
      <c r="AT572" t="s">
        <v>74</v>
      </c>
      <c r="AU572">
        <v>2010</v>
      </c>
      <c r="AV572">
        <v>17</v>
      </c>
      <c r="AW572" t="s">
        <v>74</v>
      </c>
      <c r="AX572" t="s">
        <v>74</v>
      </c>
      <c r="AY572" t="s">
        <v>74</v>
      </c>
      <c r="AZ572" t="s">
        <v>74</v>
      </c>
      <c r="BA572" t="s">
        <v>74</v>
      </c>
      <c r="BB572">
        <v>139</v>
      </c>
      <c r="BC572">
        <v>154</v>
      </c>
      <c r="BD572" t="s">
        <v>74</v>
      </c>
      <c r="BE572" t="s">
        <v>74</v>
      </c>
      <c r="BF572" t="s">
        <v>74</v>
      </c>
      <c r="BG572" t="s">
        <v>74</v>
      </c>
      <c r="BH572" t="s">
        <v>74</v>
      </c>
      <c r="BI572">
        <v>16</v>
      </c>
      <c r="BJ572" t="s">
        <v>10584</v>
      </c>
      <c r="BK572" t="s">
        <v>102</v>
      </c>
      <c r="BL572" t="s">
        <v>10584</v>
      </c>
      <c r="BM572" t="s">
        <v>10585</v>
      </c>
      <c r="BN572" t="s">
        <v>74</v>
      </c>
      <c r="BO572" t="s">
        <v>74</v>
      </c>
      <c r="BP572" t="s">
        <v>74</v>
      </c>
      <c r="BQ572" t="s">
        <v>74</v>
      </c>
      <c r="BR572" t="s">
        <v>105</v>
      </c>
      <c r="BS572" t="s">
        <v>10644</v>
      </c>
      <c r="BT572" t="str">
        <f>HYPERLINK("https%3A%2F%2Fwww.webofscience.com%2Fwos%2Fwoscc%2Ffull-record%2FWOS:000208409700007","View Full Record in Web of Science")</f>
        <v>View Full Record in Web of Science</v>
      </c>
    </row>
    <row r="573" spans="1:72" x14ac:dyDescent="0.15">
      <c r="A573" t="s">
        <v>72</v>
      </c>
      <c r="B573" t="s">
        <v>10645</v>
      </c>
      <c r="C573" t="s">
        <v>74</v>
      </c>
      <c r="D573" t="s">
        <v>74</v>
      </c>
      <c r="E573" t="s">
        <v>74</v>
      </c>
      <c r="F573" t="s">
        <v>10646</v>
      </c>
      <c r="G573" t="s">
        <v>74</v>
      </c>
      <c r="H573" t="s">
        <v>74</v>
      </c>
      <c r="I573" t="s">
        <v>10647</v>
      </c>
      <c r="J573" t="s">
        <v>10567</v>
      </c>
      <c r="K573" t="s">
        <v>74</v>
      </c>
      <c r="L573" t="s">
        <v>74</v>
      </c>
      <c r="M573" t="s">
        <v>78</v>
      </c>
      <c r="N573" t="s">
        <v>79</v>
      </c>
      <c r="O573" t="s">
        <v>74</v>
      </c>
      <c r="P573" t="s">
        <v>74</v>
      </c>
      <c r="Q573" t="s">
        <v>74</v>
      </c>
      <c r="R573" t="s">
        <v>74</v>
      </c>
      <c r="S573" t="s">
        <v>74</v>
      </c>
      <c r="T573" t="s">
        <v>10648</v>
      </c>
      <c r="U573" t="s">
        <v>74</v>
      </c>
      <c r="V573" t="s">
        <v>10649</v>
      </c>
      <c r="W573" t="s">
        <v>10650</v>
      </c>
      <c r="X573" t="s">
        <v>656</v>
      </c>
      <c r="Y573" t="s">
        <v>10651</v>
      </c>
      <c r="Z573" t="s">
        <v>10652</v>
      </c>
      <c r="AA573" t="s">
        <v>10653</v>
      </c>
      <c r="AB573" t="s">
        <v>74</v>
      </c>
      <c r="AC573" t="s">
        <v>403</v>
      </c>
      <c r="AD573" t="s">
        <v>404</v>
      </c>
      <c r="AE573" t="s">
        <v>10654</v>
      </c>
      <c r="AF573" t="s">
        <v>74</v>
      </c>
      <c r="AG573">
        <v>21</v>
      </c>
      <c r="AH573">
        <v>4</v>
      </c>
      <c r="AI573">
        <v>4</v>
      </c>
      <c r="AJ573">
        <v>0</v>
      </c>
      <c r="AK573">
        <v>4</v>
      </c>
      <c r="AL573" t="s">
        <v>10578</v>
      </c>
      <c r="AM573" t="s">
        <v>10579</v>
      </c>
      <c r="AN573" t="s">
        <v>10580</v>
      </c>
      <c r="AO573" t="s">
        <v>10581</v>
      </c>
      <c r="AP573" t="s">
        <v>74</v>
      </c>
      <c r="AQ573" t="s">
        <v>74</v>
      </c>
      <c r="AR573" t="s">
        <v>10582</v>
      </c>
      <c r="AS573" t="s">
        <v>10583</v>
      </c>
      <c r="AT573" t="s">
        <v>74</v>
      </c>
      <c r="AU573">
        <v>2010</v>
      </c>
      <c r="AV573">
        <v>17</v>
      </c>
      <c r="AW573" t="s">
        <v>74</v>
      </c>
      <c r="AX573" t="s">
        <v>74</v>
      </c>
      <c r="AY573" t="s">
        <v>74</v>
      </c>
      <c r="AZ573" t="s">
        <v>74</v>
      </c>
      <c r="BA573" t="s">
        <v>74</v>
      </c>
      <c r="BB573">
        <v>197</v>
      </c>
      <c r="BC573">
        <v>212</v>
      </c>
      <c r="BD573" t="s">
        <v>74</v>
      </c>
      <c r="BE573" t="s">
        <v>74</v>
      </c>
      <c r="BF573" t="s">
        <v>74</v>
      </c>
      <c r="BG573" t="s">
        <v>74</v>
      </c>
      <c r="BH573" t="s">
        <v>74</v>
      </c>
      <c r="BI573">
        <v>16</v>
      </c>
      <c r="BJ573" t="s">
        <v>10584</v>
      </c>
      <c r="BK573" t="s">
        <v>102</v>
      </c>
      <c r="BL573" t="s">
        <v>10584</v>
      </c>
      <c r="BM573" t="s">
        <v>10585</v>
      </c>
      <c r="BN573" t="s">
        <v>74</v>
      </c>
      <c r="BO573" t="s">
        <v>74</v>
      </c>
      <c r="BP573" t="s">
        <v>74</v>
      </c>
      <c r="BQ573" t="s">
        <v>74</v>
      </c>
      <c r="BR573" t="s">
        <v>105</v>
      </c>
      <c r="BS573" t="s">
        <v>10655</v>
      </c>
      <c r="BT573" t="str">
        <f>HYPERLINK("https%3A%2F%2Fwww.webofscience.com%2Fwos%2Fwoscc%2Ffull-record%2FWOS:000208409700011","View Full Record in Web of Science")</f>
        <v>View Full Record in Web of Science</v>
      </c>
    </row>
    <row r="574" spans="1:72" x14ac:dyDescent="0.15">
      <c r="A574" t="s">
        <v>72</v>
      </c>
      <c r="B574" t="s">
        <v>10656</v>
      </c>
      <c r="C574" t="s">
        <v>74</v>
      </c>
      <c r="D574" t="s">
        <v>74</v>
      </c>
      <c r="E574" t="s">
        <v>74</v>
      </c>
      <c r="F574" t="s">
        <v>10657</v>
      </c>
      <c r="G574" t="s">
        <v>74</v>
      </c>
      <c r="H574" t="s">
        <v>74</v>
      </c>
      <c r="I574" t="s">
        <v>10658</v>
      </c>
      <c r="J574" t="s">
        <v>10567</v>
      </c>
      <c r="K574" t="s">
        <v>74</v>
      </c>
      <c r="L574" t="s">
        <v>74</v>
      </c>
      <c r="M574" t="s">
        <v>78</v>
      </c>
      <c r="N574" t="s">
        <v>79</v>
      </c>
      <c r="O574" t="s">
        <v>74</v>
      </c>
      <c r="P574" t="s">
        <v>74</v>
      </c>
      <c r="Q574" t="s">
        <v>74</v>
      </c>
      <c r="R574" t="s">
        <v>74</v>
      </c>
      <c r="S574" t="s">
        <v>74</v>
      </c>
      <c r="T574" t="s">
        <v>10659</v>
      </c>
      <c r="U574" t="s">
        <v>10660</v>
      </c>
      <c r="V574" t="s">
        <v>10661</v>
      </c>
      <c r="W574" t="s">
        <v>10662</v>
      </c>
      <c r="X574" t="s">
        <v>1893</v>
      </c>
      <c r="Y574" t="s">
        <v>10663</v>
      </c>
      <c r="Z574" t="s">
        <v>10664</v>
      </c>
      <c r="AA574" t="s">
        <v>10665</v>
      </c>
      <c r="AB574" t="s">
        <v>10666</v>
      </c>
      <c r="AC574" t="s">
        <v>74</v>
      </c>
      <c r="AD574" t="s">
        <v>74</v>
      </c>
      <c r="AE574" t="s">
        <v>74</v>
      </c>
      <c r="AF574" t="s">
        <v>74</v>
      </c>
      <c r="AG574">
        <v>26</v>
      </c>
      <c r="AH574">
        <v>12</v>
      </c>
      <c r="AI574">
        <v>12</v>
      </c>
      <c r="AJ574">
        <v>0</v>
      </c>
      <c r="AK574">
        <v>3</v>
      </c>
      <c r="AL574" t="s">
        <v>10578</v>
      </c>
      <c r="AM574" t="s">
        <v>10579</v>
      </c>
      <c r="AN574" t="s">
        <v>10580</v>
      </c>
      <c r="AO574" t="s">
        <v>10581</v>
      </c>
      <c r="AP574" t="s">
        <v>74</v>
      </c>
      <c r="AQ574" t="s">
        <v>74</v>
      </c>
      <c r="AR574" t="s">
        <v>10582</v>
      </c>
      <c r="AS574" t="s">
        <v>10583</v>
      </c>
      <c r="AT574" t="s">
        <v>74</v>
      </c>
      <c r="AU574">
        <v>2010</v>
      </c>
      <c r="AV574">
        <v>17</v>
      </c>
      <c r="AW574" t="s">
        <v>74</v>
      </c>
      <c r="AX574" t="s">
        <v>74</v>
      </c>
      <c r="AY574" t="s">
        <v>74</v>
      </c>
      <c r="AZ574" t="s">
        <v>74</v>
      </c>
      <c r="BA574" t="s">
        <v>74</v>
      </c>
      <c r="BB574">
        <v>213</v>
      </c>
      <c r="BC574">
        <v>227</v>
      </c>
      <c r="BD574" t="s">
        <v>74</v>
      </c>
      <c r="BE574" t="s">
        <v>74</v>
      </c>
      <c r="BF574" t="s">
        <v>74</v>
      </c>
      <c r="BG574" t="s">
        <v>74</v>
      </c>
      <c r="BH574" t="s">
        <v>74</v>
      </c>
      <c r="BI574">
        <v>15</v>
      </c>
      <c r="BJ574" t="s">
        <v>10584</v>
      </c>
      <c r="BK574" t="s">
        <v>102</v>
      </c>
      <c r="BL574" t="s">
        <v>10584</v>
      </c>
      <c r="BM574" t="s">
        <v>10585</v>
      </c>
      <c r="BN574" t="s">
        <v>74</v>
      </c>
      <c r="BO574" t="s">
        <v>74</v>
      </c>
      <c r="BP574" t="s">
        <v>74</v>
      </c>
      <c r="BQ574" t="s">
        <v>74</v>
      </c>
      <c r="BR574" t="s">
        <v>105</v>
      </c>
      <c r="BS574" t="s">
        <v>10667</v>
      </c>
      <c r="BT574" t="str">
        <f>HYPERLINK("https%3A%2F%2Fwww.webofscience.com%2Fwos%2Fwoscc%2Ffull-record%2FWOS:000208409700012","View Full Record in Web of Science")</f>
        <v>View Full Record in Web of Science</v>
      </c>
    </row>
    <row r="575" spans="1:72" x14ac:dyDescent="0.15">
      <c r="A575" t="s">
        <v>72</v>
      </c>
      <c r="B575" t="s">
        <v>10668</v>
      </c>
      <c r="C575" t="s">
        <v>74</v>
      </c>
      <c r="D575" t="s">
        <v>74</v>
      </c>
      <c r="E575" t="s">
        <v>74</v>
      </c>
      <c r="F575" t="s">
        <v>10669</v>
      </c>
      <c r="G575" t="s">
        <v>74</v>
      </c>
      <c r="H575" t="s">
        <v>74</v>
      </c>
      <c r="I575" t="s">
        <v>10670</v>
      </c>
      <c r="J575" t="s">
        <v>10567</v>
      </c>
      <c r="K575" t="s">
        <v>74</v>
      </c>
      <c r="L575" t="s">
        <v>74</v>
      </c>
      <c r="M575" t="s">
        <v>78</v>
      </c>
      <c r="N575" t="s">
        <v>79</v>
      </c>
      <c r="O575" t="s">
        <v>74</v>
      </c>
      <c r="P575" t="s">
        <v>74</v>
      </c>
      <c r="Q575" t="s">
        <v>74</v>
      </c>
      <c r="R575" t="s">
        <v>74</v>
      </c>
      <c r="S575" t="s">
        <v>74</v>
      </c>
      <c r="T575" t="s">
        <v>10671</v>
      </c>
      <c r="U575" t="s">
        <v>74</v>
      </c>
      <c r="V575" t="s">
        <v>10672</v>
      </c>
      <c r="W575" t="s">
        <v>10673</v>
      </c>
      <c r="X575" t="s">
        <v>1893</v>
      </c>
      <c r="Y575" t="s">
        <v>10674</v>
      </c>
      <c r="Z575" t="s">
        <v>10675</v>
      </c>
      <c r="AA575" t="s">
        <v>10665</v>
      </c>
      <c r="AB575" t="s">
        <v>10676</v>
      </c>
      <c r="AC575" t="s">
        <v>74</v>
      </c>
      <c r="AD575" t="s">
        <v>74</v>
      </c>
      <c r="AE575" t="s">
        <v>74</v>
      </c>
      <c r="AF575" t="s">
        <v>74</v>
      </c>
      <c r="AG575">
        <v>21</v>
      </c>
      <c r="AH575">
        <v>14</v>
      </c>
      <c r="AI575">
        <v>16</v>
      </c>
      <c r="AJ575">
        <v>0</v>
      </c>
      <c r="AK575">
        <v>9</v>
      </c>
      <c r="AL575" t="s">
        <v>10578</v>
      </c>
      <c r="AM575" t="s">
        <v>10579</v>
      </c>
      <c r="AN575" t="s">
        <v>10580</v>
      </c>
      <c r="AO575" t="s">
        <v>10581</v>
      </c>
      <c r="AP575" t="s">
        <v>74</v>
      </c>
      <c r="AQ575" t="s">
        <v>74</v>
      </c>
      <c r="AR575" t="s">
        <v>10582</v>
      </c>
      <c r="AS575" t="s">
        <v>10583</v>
      </c>
      <c r="AT575" t="s">
        <v>74</v>
      </c>
      <c r="AU575">
        <v>2010</v>
      </c>
      <c r="AV575">
        <v>17</v>
      </c>
      <c r="AW575" t="s">
        <v>74</v>
      </c>
      <c r="AX575" t="s">
        <v>74</v>
      </c>
      <c r="AY575" t="s">
        <v>74</v>
      </c>
      <c r="AZ575" t="s">
        <v>74</v>
      </c>
      <c r="BA575" t="s">
        <v>74</v>
      </c>
      <c r="BB575">
        <v>229</v>
      </c>
      <c r="BC575">
        <v>241</v>
      </c>
      <c r="BD575" t="s">
        <v>74</v>
      </c>
      <c r="BE575" t="s">
        <v>74</v>
      </c>
      <c r="BF575" t="s">
        <v>74</v>
      </c>
      <c r="BG575" t="s">
        <v>74</v>
      </c>
      <c r="BH575" t="s">
        <v>74</v>
      </c>
      <c r="BI575">
        <v>13</v>
      </c>
      <c r="BJ575" t="s">
        <v>10584</v>
      </c>
      <c r="BK575" t="s">
        <v>102</v>
      </c>
      <c r="BL575" t="s">
        <v>10584</v>
      </c>
      <c r="BM575" t="s">
        <v>10585</v>
      </c>
      <c r="BN575" t="s">
        <v>74</v>
      </c>
      <c r="BO575" t="s">
        <v>74</v>
      </c>
      <c r="BP575" t="s">
        <v>74</v>
      </c>
      <c r="BQ575" t="s">
        <v>74</v>
      </c>
      <c r="BR575" t="s">
        <v>105</v>
      </c>
      <c r="BS575" t="s">
        <v>10677</v>
      </c>
      <c r="BT575" t="str">
        <f>HYPERLINK("https%3A%2F%2Fwww.webofscience.com%2Fwos%2Fwoscc%2Ffull-record%2FWOS:000208409700013","View Full Record in Web of Science")</f>
        <v>View Full Record in Web of Science</v>
      </c>
    </row>
    <row r="576" spans="1:72" x14ac:dyDescent="0.15">
      <c r="A576" t="s">
        <v>8563</v>
      </c>
      <c r="B576" t="s">
        <v>10678</v>
      </c>
      <c r="C576" t="s">
        <v>74</v>
      </c>
      <c r="D576" t="s">
        <v>10679</v>
      </c>
      <c r="E576" t="s">
        <v>74</v>
      </c>
      <c r="F576" t="s">
        <v>10680</v>
      </c>
      <c r="G576" t="s">
        <v>74</v>
      </c>
      <c r="H576" t="s">
        <v>74</v>
      </c>
      <c r="I576" t="s">
        <v>10681</v>
      </c>
      <c r="J576" t="s">
        <v>10682</v>
      </c>
      <c r="K576" t="s">
        <v>10683</v>
      </c>
      <c r="L576" t="s">
        <v>74</v>
      </c>
      <c r="M576" t="s">
        <v>78</v>
      </c>
      <c r="N576" t="s">
        <v>8859</v>
      </c>
      <c r="O576" t="s">
        <v>74</v>
      </c>
      <c r="P576" t="s">
        <v>74</v>
      </c>
      <c r="Q576" t="s">
        <v>74</v>
      </c>
      <c r="R576" t="s">
        <v>74</v>
      </c>
      <c r="S576" t="s">
        <v>74</v>
      </c>
      <c r="T576" t="s">
        <v>10684</v>
      </c>
      <c r="U576" t="s">
        <v>10685</v>
      </c>
      <c r="V576" t="s">
        <v>10686</v>
      </c>
      <c r="W576" t="s">
        <v>10687</v>
      </c>
      <c r="X576" t="s">
        <v>10688</v>
      </c>
      <c r="Y576" t="s">
        <v>10689</v>
      </c>
      <c r="Z576" t="s">
        <v>10690</v>
      </c>
      <c r="AA576" t="s">
        <v>10691</v>
      </c>
      <c r="AB576" t="s">
        <v>10692</v>
      </c>
      <c r="AC576" t="s">
        <v>74</v>
      </c>
      <c r="AD576" t="s">
        <v>74</v>
      </c>
      <c r="AE576" t="s">
        <v>74</v>
      </c>
      <c r="AF576" t="s">
        <v>74</v>
      </c>
      <c r="AG576">
        <v>239</v>
      </c>
      <c r="AH576">
        <v>89</v>
      </c>
      <c r="AI576">
        <v>104</v>
      </c>
      <c r="AJ576">
        <v>0</v>
      </c>
      <c r="AK576">
        <v>27</v>
      </c>
      <c r="AL576" t="s">
        <v>813</v>
      </c>
      <c r="AM576" t="s">
        <v>814</v>
      </c>
      <c r="AN576" t="s">
        <v>10693</v>
      </c>
      <c r="AO576" t="s">
        <v>74</v>
      </c>
      <c r="AP576" t="s">
        <v>74</v>
      </c>
      <c r="AQ576" t="s">
        <v>10694</v>
      </c>
      <c r="AR576" t="s">
        <v>10695</v>
      </c>
      <c r="AS576" t="s">
        <v>74</v>
      </c>
      <c r="AT576" t="s">
        <v>74</v>
      </c>
      <c r="AU576">
        <v>2010</v>
      </c>
      <c r="AV576" t="s">
        <v>74</v>
      </c>
      <c r="AW576" t="s">
        <v>74</v>
      </c>
      <c r="AX576" t="s">
        <v>74</v>
      </c>
      <c r="AY576" t="s">
        <v>74</v>
      </c>
      <c r="AZ576" t="s">
        <v>74</v>
      </c>
      <c r="BA576" t="s">
        <v>74</v>
      </c>
      <c r="BB576">
        <v>21</v>
      </c>
      <c r="BC576">
        <v>48</v>
      </c>
      <c r="BD576" t="s">
        <v>74</v>
      </c>
      <c r="BE576" t="s">
        <v>10696</v>
      </c>
      <c r="BF576" t="str">
        <f>HYPERLINK("http://dx.doi.org/10.1007/978-90-481-8716-4_3","http://dx.doi.org/10.1007/978-90-481-8716-4_3")</f>
        <v>http://dx.doi.org/10.1007/978-90-481-8716-4_3</v>
      </c>
      <c r="BG576" t="s">
        <v>10697</v>
      </c>
      <c r="BH576" t="s">
        <v>74</v>
      </c>
      <c r="BI576">
        <v>28</v>
      </c>
      <c r="BJ576" t="s">
        <v>973</v>
      </c>
      <c r="BK576" t="s">
        <v>8579</v>
      </c>
      <c r="BL576" t="s">
        <v>974</v>
      </c>
      <c r="BM576" t="s">
        <v>10698</v>
      </c>
      <c r="BN576" t="s">
        <v>74</v>
      </c>
      <c r="BO576" t="s">
        <v>74</v>
      </c>
      <c r="BP576" t="s">
        <v>74</v>
      </c>
      <c r="BQ576" t="s">
        <v>74</v>
      </c>
      <c r="BR576" t="s">
        <v>105</v>
      </c>
      <c r="BS576" t="s">
        <v>10699</v>
      </c>
      <c r="BT576" t="str">
        <f>HYPERLINK("https%3A%2F%2Fwww.webofscience.com%2Fwos%2Fwoscc%2Ffull-record%2FWOS:000282775600003","View Full Record in Web of Science")</f>
        <v>View Full Record in Web of Science</v>
      </c>
    </row>
    <row r="577" spans="1:72" x14ac:dyDescent="0.15">
      <c r="A577" t="s">
        <v>8563</v>
      </c>
      <c r="B577" t="s">
        <v>10700</v>
      </c>
      <c r="C577" t="s">
        <v>74</v>
      </c>
      <c r="D577" t="s">
        <v>10679</v>
      </c>
      <c r="E577" t="s">
        <v>74</v>
      </c>
      <c r="F577" t="s">
        <v>10701</v>
      </c>
      <c r="G577" t="s">
        <v>74</v>
      </c>
      <c r="H577" t="s">
        <v>74</v>
      </c>
      <c r="I577" t="s">
        <v>10702</v>
      </c>
      <c r="J577" t="s">
        <v>10682</v>
      </c>
      <c r="K577" t="s">
        <v>10683</v>
      </c>
      <c r="L577" t="s">
        <v>74</v>
      </c>
      <c r="M577" t="s">
        <v>78</v>
      </c>
      <c r="N577" t="s">
        <v>8859</v>
      </c>
      <c r="O577" t="s">
        <v>74</v>
      </c>
      <c r="P577" t="s">
        <v>74</v>
      </c>
      <c r="Q577" t="s">
        <v>74</v>
      </c>
      <c r="R577" t="s">
        <v>74</v>
      </c>
      <c r="S577" t="s">
        <v>74</v>
      </c>
      <c r="T577" t="s">
        <v>10703</v>
      </c>
      <c r="U577" t="s">
        <v>10704</v>
      </c>
      <c r="V577" t="s">
        <v>10705</v>
      </c>
      <c r="W577" t="s">
        <v>10706</v>
      </c>
      <c r="X577" t="s">
        <v>10707</v>
      </c>
      <c r="Y577" t="s">
        <v>10708</v>
      </c>
      <c r="Z577" t="s">
        <v>10709</v>
      </c>
      <c r="AA577" t="s">
        <v>74</v>
      </c>
      <c r="AB577" t="s">
        <v>74</v>
      </c>
      <c r="AC577" t="s">
        <v>74</v>
      </c>
      <c r="AD577" t="s">
        <v>74</v>
      </c>
      <c r="AE577" t="s">
        <v>74</v>
      </c>
      <c r="AF577" t="s">
        <v>74</v>
      </c>
      <c r="AG577">
        <v>159</v>
      </c>
      <c r="AH577">
        <v>16</v>
      </c>
      <c r="AI577">
        <v>16</v>
      </c>
      <c r="AJ577">
        <v>0</v>
      </c>
      <c r="AK577">
        <v>32</v>
      </c>
      <c r="AL577" t="s">
        <v>813</v>
      </c>
      <c r="AM577" t="s">
        <v>814</v>
      </c>
      <c r="AN577" t="s">
        <v>10693</v>
      </c>
      <c r="AO577" t="s">
        <v>74</v>
      </c>
      <c r="AP577" t="s">
        <v>74</v>
      </c>
      <c r="AQ577" t="s">
        <v>10694</v>
      </c>
      <c r="AR577" t="s">
        <v>10695</v>
      </c>
      <c r="AS577" t="s">
        <v>74</v>
      </c>
      <c r="AT577" t="s">
        <v>74</v>
      </c>
      <c r="AU577">
        <v>2010</v>
      </c>
      <c r="AV577" t="s">
        <v>74</v>
      </c>
      <c r="AW577" t="s">
        <v>74</v>
      </c>
      <c r="AX577" t="s">
        <v>74</v>
      </c>
      <c r="AY577" t="s">
        <v>74</v>
      </c>
      <c r="AZ577" t="s">
        <v>74</v>
      </c>
      <c r="BA577" t="s">
        <v>74</v>
      </c>
      <c r="BB577">
        <v>49</v>
      </c>
      <c r="BC577">
        <v>83</v>
      </c>
      <c r="BD577" t="s">
        <v>74</v>
      </c>
      <c r="BE577" t="s">
        <v>10710</v>
      </c>
      <c r="BF577" t="str">
        <f>HYPERLINK("http://dx.doi.org/10.1007/978-90-481-8716-4_4","http://dx.doi.org/10.1007/978-90-481-8716-4_4")</f>
        <v>http://dx.doi.org/10.1007/978-90-481-8716-4_4</v>
      </c>
      <c r="BG577" t="s">
        <v>10697</v>
      </c>
      <c r="BH577" t="s">
        <v>74</v>
      </c>
      <c r="BI577">
        <v>35</v>
      </c>
      <c r="BJ577" t="s">
        <v>973</v>
      </c>
      <c r="BK577" t="s">
        <v>8579</v>
      </c>
      <c r="BL577" t="s">
        <v>974</v>
      </c>
      <c r="BM577" t="s">
        <v>10698</v>
      </c>
      <c r="BN577" t="s">
        <v>74</v>
      </c>
      <c r="BO577" t="s">
        <v>74</v>
      </c>
      <c r="BP577" t="s">
        <v>74</v>
      </c>
      <c r="BQ577" t="s">
        <v>74</v>
      </c>
      <c r="BR577" t="s">
        <v>105</v>
      </c>
      <c r="BS577" t="s">
        <v>10711</v>
      </c>
      <c r="BT577" t="str">
        <f>HYPERLINK("https%3A%2F%2Fwww.webofscience.com%2Fwos%2Fwoscc%2Ffull-record%2FWOS:000282775600004","View Full Record in Web of Science")</f>
        <v>View Full Record in Web of Science</v>
      </c>
    </row>
    <row r="578" spans="1:72" x14ac:dyDescent="0.15">
      <c r="A578" t="s">
        <v>72</v>
      </c>
      <c r="B578" t="s">
        <v>10712</v>
      </c>
      <c r="C578" t="s">
        <v>74</v>
      </c>
      <c r="D578" t="s">
        <v>74</v>
      </c>
      <c r="E578" t="s">
        <v>74</v>
      </c>
      <c r="F578" t="s">
        <v>10713</v>
      </c>
      <c r="G578" t="s">
        <v>74</v>
      </c>
      <c r="H578" t="s">
        <v>74</v>
      </c>
      <c r="I578" t="s">
        <v>10714</v>
      </c>
      <c r="J578" t="s">
        <v>10715</v>
      </c>
      <c r="K578" t="s">
        <v>74</v>
      </c>
      <c r="L578" t="s">
        <v>74</v>
      </c>
      <c r="M578" t="s">
        <v>78</v>
      </c>
      <c r="N578" t="s">
        <v>79</v>
      </c>
      <c r="O578" t="s">
        <v>74</v>
      </c>
      <c r="P578" t="s">
        <v>74</v>
      </c>
      <c r="Q578" t="s">
        <v>74</v>
      </c>
      <c r="R578" t="s">
        <v>74</v>
      </c>
      <c r="S578" t="s">
        <v>74</v>
      </c>
      <c r="T578" t="s">
        <v>10716</v>
      </c>
      <c r="U578" t="s">
        <v>10717</v>
      </c>
      <c r="V578" t="s">
        <v>10718</v>
      </c>
      <c r="W578" t="s">
        <v>10719</v>
      </c>
      <c r="X578" t="s">
        <v>10720</v>
      </c>
      <c r="Y578" t="s">
        <v>10721</v>
      </c>
      <c r="Z578" t="s">
        <v>10722</v>
      </c>
      <c r="AA578" t="s">
        <v>10723</v>
      </c>
      <c r="AB578" t="s">
        <v>10724</v>
      </c>
      <c r="AC578" t="s">
        <v>74</v>
      </c>
      <c r="AD578" t="s">
        <v>74</v>
      </c>
      <c r="AE578" t="s">
        <v>74</v>
      </c>
      <c r="AF578" t="s">
        <v>74</v>
      </c>
      <c r="AG578">
        <v>46</v>
      </c>
      <c r="AH578">
        <v>12</v>
      </c>
      <c r="AI578">
        <v>12</v>
      </c>
      <c r="AJ578">
        <v>0</v>
      </c>
      <c r="AK578">
        <v>17</v>
      </c>
      <c r="AL578" t="s">
        <v>546</v>
      </c>
      <c r="AM578" t="s">
        <v>547</v>
      </c>
      <c r="AN578" t="s">
        <v>8932</v>
      </c>
      <c r="AO578" t="s">
        <v>10725</v>
      </c>
      <c r="AP578" t="s">
        <v>10726</v>
      </c>
      <c r="AQ578" t="s">
        <v>74</v>
      </c>
      <c r="AR578" t="s">
        <v>10727</v>
      </c>
      <c r="AS578" t="s">
        <v>10728</v>
      </c>
      <c r="AT578" t="s">
        <v>74</v>
      </c>
      <c r="AU578">
        <v>2010</v>
      </c>
      <c r="AV578">
        <v>26</v>
      </c>
      <c r="AW578">
        <v>4</v>
      </c>
      <c r="AX578" t="s">
        <v>74</v>
      </c>
      <c r="AY578" t="s">
        <v>74</v>
      </c>
      <c r="AZ578" t="s">
        <v>74</v>
      </c>
      <c r="BA578" t="s">
        <v>74</v>
      </c>
      <c r="BB578">
        <v>305</v>
      </c>
      <c r="BC578">
        <v>314</v>
      </c>
      <c r="BD578" t="s">
        <v>10729</v>
      </c>
      <c r="BE578" t="s">
        <v>10730</v>
      </c>
      <c r="BF578" t="str">
        <f>HYPERLINK("http://dx.doi.org/10.1080/02757541003789066","http://dx.doi.org/10.1080/02757541003789066")</f>
        <v>http://dx.doi.org/10.1080/02757541003789066</v>
      </c>
      <c r="BG578" t="s">
        <v>74</v>
      </c>
      <c r="BH578" t="s">
        <v>74</v>
      </c>
      <c r="BI578">
        <v>10</v>
      </c>
      <c r="BJ578" t="s">
        <v>10731</v>
      </c>
      <c r="BK578" t="s">
        <v>102</v>
      </c>
      <c r="BL578" t="s">
        <v>10732</v>
      </c>
      <c r="BM578" t="s">
        <v>10733</v>
      </c>
      <c r="BN578" t="s">
        <v>74</v>
      </c>
      <c r="BO578" t="s">
        <v>74</v>
      </c>
      <c r="BP578" t="s">
        <v>74</v>
      </c>
      <c r="BQ578" t="s">
        <v>74</v>
      </c>
      <c r="BR578" t="s">
        <v>105</v>
      </c>
      <c r="BS578" t="s">
        <v>10734</v>
      </c>
      <c r="BT578" t="str">
        <f>HYPERLINK("https%3A%2F%2Fwww.webofscience.com%2Fwos%2Fwoscc%2Ffull-record%2FWOS:000280264900006","View Full Record in Web of Science")</f>
        <v>View Full Record in Web of Science</v>
      </c>
    </row>
    <row r="579" spans="1:72" x14ac:dyDescent="0.15">
      <c r="A579" t="s">
        <v>72</v>
      </c>
      <c r="B579" t="s">
        <v>10735</v>
      </c>
      <c r="C579" t="s">
        <v>74</v>
      </c>
      <c r="D579" t="s">
        <v>74</v>
      </c>
      <c r="E579" t="s">
        <v>74</v>
      </c>
      <c r="F579" t="s">
        <v>10736</v>
      </c>
      <c r="G579" t="s">
        <v>74</v>
      </c>
      <c r="H579" t="s">
        <v>74</v>
      </c>
      <c r="I579" t="s">
        <v>10737</v>
      </c>
      <c r="J579" t="s">
        <v>10738</v>
      </c>
      <c r="K579" t="s">
        <v>74</v>
      </c>
      <c r="L579" t="s">
        <v>74</v>
      </c>
      <c r="M579" t="s">
        <v>78</v>
      </c>
      <c r="N579" t="s">
        <v>79</v>
      </c>
      <c r="O579" t="s">
        <v>74</v>
      </c>
      <c r="P579" t="s">
        <v>74</v>
      </c>
      <c r="Q579" t="s">
        <v>74</v>
      </c>
      <c r="R579" t="s">
        <v>74</v>
      </c>
      <c r="S579" t="s">
        <v>74</v>
      </c>
      <c r="T579" t="s">
        <v>10739</v>
      </c>
      <c r="U579" t="s">
        <v>10740</v>
      </c>
      <c r="V579" t="s">
        <v>10741</v>
      </c>
      <c r="W579" t="s">
        <v>10742</v>
      </c>
      <c r="X579" t="s">
        <v>9313</v>
      </c>
      <c r="Y579" t="s">
        <v>10743</v>
      </c>
      <c r="Z579" t="s">
        <v>10744</v>
      </c>
      <c r="AA579" t="s">
        <v>10745</v>
      </c>
      <c r="AB579" t="s">
        <v>10746</v>
      </c>
      <c r="AC579" t="s">
        <v>10747</v>
      </c>
      <c r="AD579" t="s">
        <v>10748</v>
      </c>
      <c r="AE579" t="s">
        <v>10749</v>
      </c>
      <c r="AF579" t="s">
        <v>74</v>
      </c>
      <c r="AG579">
        <v>45</v>
      </c>
      <c r="AH579">
        <v>2</v>
      </c>
      <c r="AI579">
        <v>2</v>
      </c>
      <c r="AJ579">
        <v>0</v>
      </c>
      <c r="AK579">
        <v>4</v>
      </c>
      <c r="AL579" t="s">
        <v>10750</v>
      </c>
      <c r="AM579" t="s">
        <v>10751</v>
      </c>
      <c r="AN579" t="s">
        <v>10752</v>
      </c>
      <c r="AO579" t="s">
        <v>10753</v>
      </c>
      <c r="AP579" t="s">
        <v>74</v>
      </c>
      <c r="AQ579" t="s">
        <v>74</v>
      </c>
      <c r="AR579" t="s">
        <v>10754</v>
      </c>
      <c r="AS579" t="s">
        <v>10755</v>
      </c>
      <c r="AT579" t="s">
        <v>9557</v>
      </c>
      <c r="AU579">
        <v>2010</v>
      </c>
      <c r="AV579">
        <v>70</v>
      </c>
      <c r="AW579">
        <v>1</v>
      </c>
      <c r="AX579" t="s">
        <v>74</v>
      </c>
      <c r="AY579" t="s">
        <v>74</v>
      </c>
      <c r="AZ579" t="s">
        <v>74</v>
      </c>
      <c r="BA579" t="s">
        <v>74</v>
      </c>
      <c r="BB579">
        <v>16</v>
      </c>
      <c r="BC579">
        <v>25</v>
      </c>
      <c r="BD579" t="s">
        <v>74</v>
      </c>
      <c r="BE579" t="s">
        <v>74</v>
      </c>
      <c r="BF579" t="s">
        <v>74</v>
      </c>
      <c r="BG579" t="s">
        <v>74</v>
      </c>
      <c r="BH579" t="s">
        <v>74</v>
      </c>
      <c r="BI579">
        <v>10</v>
      </c>
      <c r="BJ579" t="s">
        <v>10756</v>
      </c>
      <c r="BK579" t="s">
        <v>102</v>
      </c>
      <c r="BL579" t="s">
        <v>3018</v>
      </c>
      <c r="BM579" t="s">
        <v>10757</v>
      </c>
      <c r="BN579" t="s">
        <v>74</v>
      </c>
      <c r="BO579" t="s">
        <v>74</v>
      </c>
      <c r="BP579" t="s">
        <v>74</v>
      </c>
      <c r="BQ579" t="s">
        <v>74</v>
      </c>
      <c r="BR579" t="s">
        <v>105</v>
      </c>
      <c r="BS579" t="s">
        <v>10758</v>
      </c>
      <c r="BT579" t="str">
        <f>HYPERLINK("https%3A%2F%2Fwww.webofscience.com%2Fwos%2Fwoscc%2Ffull-record%2FWOS:000277262000002","View Full Record in Web of Science")</f>
        <v>View Full Record in Web of Science</v>
      </c>
    </row>
    <row r="580" spans="1:72" x14ac:dyDescent="0.15">
      <c r="A580" t="s">
        <v>72</v>
      </c>
      <c r="B580" t="s">
        <v>10759</v>
      </c>
      <c r="C580" t="s">
        <v>74</v>
      </c>
      <c r="D580" t="s">
        <v>74</v>
      </c>
      <c r="E580" t="s">
        <v>74</v>
      </c>
      <c r="F580" t="s">
        <v>10760</v>
      </c>
      <c r="G580" t="s">
        <v>74</v>
      </c>
      <c r="H580" t="s">
        <v>74</v>
      </c>
      <c r="I580" t="s">
        <v>10761</v>
      </c>
      <c r="J580" t="s">
        <v>10762</v>
      </c>
      <c r="K580" t="s">
        <v>74</v>
      </c>
      <c r="L580" t="s">
        <v>74</v>
      </c>
      <c r="M580" t="s">
        <v>78</v>
      </c>
      <c r="N580" t="s">
        <v>79</v>
      </c>
      <c r="O580" t="s">
        <v>74</v>
      </c>
      <c r="P580" t="s">
        <v>74</v>
      </c>
      <c r="Q580" t="s">
        <v>74</v>
      </c>
      <c r="R580" t="s">
        <v>74</v>
      </c>
      <c r="S580" t="s">
        <v>74</v>
      </c>
      <c r="T580" t="s">
        <v>10763</v>
      </c>
      <c r="U580" t="s">
        <v>10764</v>
      </c>
      <c r="V580" t="s">
        <v>10765</v>
      </c>
      <c r="W580" t="s">
        <v>10766</v>
      </c>
      <c r="X580" t="s">
        <v>10767</v>
      </c>
      <c r="Y580" t="s">
        <v>10768</v>
      </c>
      <c r="Z580" t="s">
        <v>10769</v>
      </c>
      <c r="AA580" t="s">
        <v>10770</v>
      </c>
      <c r="AB580" t="s">
        <v>10771</v>
      </c>
      <c r="AC580" t="s">
        <v>10772</v>
      </c>
      <c r="AD580" t="s">
        <v>10773</v>
      </c>
      <c r="AE580" t="s">
        <v>10774</v>
      </c>
      <c r="AF580" t="s">
        <v>74</v>
      </c>
      <c r="AG580">
        <v>62</v>
      </c>
      <c r="AH580">
        <v>27</v>
      </c>
      <c r="AI580">
        <v>29</v>
      </c>
      <c r="AJ580">
        <v>1</v>
      </c>
      <c r="AK580">
        <v>17</v>
      </c>
      <c r="AL580" t="s">
        <v>10775</v>
      </c>
      <c r="AM580" t="s">
        <v>10776</v>
      </c>
      <c r="AN580" t="s">
        <v>10777</v>
      </c>
      <c r="AO580" t="s">
        <v>10778</v>
      </c>
      <c r="AP580" t="s">
        <v>10779</v>
      </c>
      <c r="AQ580" t="s">
        <v>74</v>
      </c>
      <c r="AR580" t="s">
        <v>10780</v>
      </c>
      <c r="AS580" t="s">
        <v>10781</v>
      </c>
      <c r="AT580" t="s">
        <v>74</v>
      </c>
      <c r="AU580">
        <v>2010</v>
      </c>
      <c r="AV580">
        <v>27</v>
      </c>
      <c r="AW580">
        <v>3</v>
      </c>
      <c r="AX580" t="s">
        <v>74</v>
      </c>
      <c r="AY580" t="s">
        <v>74</v>
      </c>
      <c r="AZ580" t="s">
        <v>74</v>
      </c>
      <c r="BA580" t="s">
        <v>74</v>
      </c>
      <c r="BB580">
        <v>425</v>
      </c>
      <c r="BC580">
        <v>445</v>
      </c>
      <c r="BD580" t="s">
        <v>74</v>
      </c>
      <c r="BE580" t="s">
        <v>10782</v>
      </c>
      <c r="BF580" t="str">
        <f>HYPERLINK("http://dx.doi.org/10.3109/07420521003697494","http://dx.doi.org/10.3109/07420521003697494")</f>
        <v>http://dx.doi.org/10.3109/07420521003697494</v>
      </c>
      <c r="BG580" t="s">
        <v>74</v>
      </c>
      <c r="BH580" t="s">
        <v>74</v>
      </c>
      <c r="BI580">
        <v>21</v>
      </c>
      <c r="BJ580" t="s">
        <v>10783</v>
      </c>
      <c r="BK580" t="s">
        <v>102</v>
      </c>
      <c r="BL580" t="s">
        <v>10784</v>
      </c>
      <c r="BM580" t="s">
        <v>10785</v>
      </c>
      <c r="BN580">
        <v>20524794</v>
      </c>
      <c r="BO580" t="s">
        <v>74</v>
      </c>
      <c r="BP580" t="s">
        <v>74</v>
      </c>
      <c r="BQ580" t="s">
        <v>74</v>
      </c>
      <c r="BR580" t="s">
        <v>105</v>
      </c>
      <c r="BS580" t="s">
        <v>10786</v>
      </c>
      <c r="BT580" t="str">
        <f>HYPERLINK("https%3A%2F%2Fwww.webofscience.com%2Fwos%2Fwoscc%2Ffull-record%2FWOS:000282027100001","View Full Record in Web of Science")</f>
        <v>View Full Record in Web of Science</v>
      </c>
    </row>
    <row r="581" spans="1:72" x14ac:dyDescent="0.15">
      <c r="A581" t="s">
        <v>8563</v>
      </c>
      <c r="B581" t="s">
        <v>10787</v>
      </c>
      <c r="C581" t="s">
        <v>74</v>
      </c>
      <c r="D581" t="s">
        <v>10788</v>
      </c>
      <c r="E581" t="s">
        <v>74</v>
      </c>
      <c r="F581" t="s">
        <v>10789</v>
      </c>
      <c r="G581" t="s">
        <v>74</v>
      </c>
      <c r="H581" t="s">
        <v>74</v>
      </c>
      <c r="I581" t="s">
        <v>10790</v>
      </c>
      <c r="J581" t="s">
        <v>10791</v>
      </c>
      <c r="K581" t="s">
        <v>74</v>
      </c>
      <c r="L581" t="s">
        <v>74</v>
      </c>
      <c r="M581" t="s">
        <v>78</v>
      </c>
      <c r="N581" t="s">
        <v>8859</v>
      </c>
      <c r="O581" t="s">
        <v>74</v>
      </c>
      <c r="P581" t="s">
        <v>74</v>
      </c>
      <c r="Q581" t="s">
        <v>74</v>
      </c>
      <c r="R581" t="s">
        <v>74</v>
      </c>
      <c r="S581" t="s">
        <v>74</v>
      </c>
      <c r="T581" t="s">
        <v>74</v>
      </c>
      <c r="U581" t="s">
        <v>10792</v>
      </c>
      <c r="V581" t="s">
        <v>10793</v>
      </c>
      <c r="W581" t="s">
        <v>10794</v>
      </c>
      <c r="X581" t="s">
        <v>2474</v>
      </c>
      <c r="Y581" t="s">
        <v>10795</v>
      </c>
      <c r="Z581" t="s">
        <v>74</v>
      </c>
      <c r="AA581" t="s">
        <v>74</v>
      </c>
      <c r="AB581" t="s">
        <v>74</v>
      </c>
      <c r="AC581" t="s">
        <v>74</v>
      </c>
      <c r="AD581" t="s">
        <v>74</v>
      </c>
      <c r="AE581" t="s">
        <v>74</v>
      </c>
      <c r="AF581" t="s">
        <v>74</v>
      </c>
      <c r="AG581">
        <v>63</v>
      </c>
      <c r="AH581">
        <v>0</v>
      </c>
      <c r="AI581">
        <v>0</v>
      </c>
      <c r="AJ581">
        <v>0</v>
      </c>
      <c r="AK581">
        <v>2</v>
      </c>
      <c r="AL581" t="s">
        <v>10796</v>
      </c>
      <c r="AM581" t="s">
        <v>10797</v>
      </c>
      <c r="AN581" t="s">
        <v>10798</v>
      </c>
      <c r="AO581" t="s">
        <v>74</v>
      </c>
      <c r="AP581" t="s">
        <v>74</v>
      </c>
      <c r="AQ581" t="s">
        <v>10799</v>
      </c>
      <c r="AR581" t="s">
        <v>74</v>
      </c>
      <c r="AS581" t="s">
        <v>74</v>
      </c>
      <c r="AT581" t="s">
        <v>74</v>
      </c>
      <c r="AU581">
        <v>2010</v>
      </c>
      <c r="AV581" t="s">
        <v>74</v>
      </c>
      <c r="AW581" t="s">
        <v>74</v>
      </c>
      <c r="AX581" t="s">
        <v>74</v>
      </c>
      <c r="AY581" t="s">
        <v>74</v>
      </c>
      <c r="AZ581" t="s">
        <v>74</v>
      </c>
      <c r="BA581" t="s">
        <v>74</v>
      </c>
      <c r="BB581">
        <v>1</v>
      </c>
      <c r="BC581">
        <v>27</v>
      </c>
      <c r="BD581" t="s">
        <v>74</v>
      </c>
      <c r="BE581" t="s">
        <v>74</v>
      </c>
      <c r="BF581" t="s">
        <v>74</v>
      </c>
      <c r="BG581" t="s">
        <v>74</v>
      </c>
      <c r="BH581" t="s">
        <v>74</v>
      </c>
      <c r="BI581">
        <v>27</v>
      </c>
      <c r="BJ581" t="s">
        <v>4031</v>
      </c>
      <c r="BK581" t="s">
        <v>8579</v>
      </c>
      <c r="BL581" t="s">
        <v>1348</v>
      </c>
      <c r="BM581" t="s">
        <v>10800</v>
      </c>
      <c r="BN581" t="s">
        <v>74</v>
      </c>
      <c r="BO581" t="s">
        <v>74</v>
      </c>
      <c r="BP581" t="s">
        <v>74</v>
      </c>
      <c r="BQ581" t="s">
        <v>74</v>
      </c>
      <c r="BR581" t="s">
        <v>105</v>
      </c>
      <c r="BS581" t="s">
        <v>10801</v>
      </c>
      <c r="BT581" t="str">
        <f>HYPERLINK("https%3A%2F%2Fwww.webofscience.com%2Fwos%2Fwoscc%2Ffull-record%2FWOS:000314785200002","View Full Record in Web of Science")</f>
        <v>View Full Record in Web of Science</v>
      </c>
    </row>
    <row r="582" spans="1:72" x14ac:dyDescent="0.15">
      <c r="A582" t="s">
        <v>8563</v>
      </c>
      <c r="B582" t="s">
        <v>10802</v>
      </c>
      <c r="C582" t="s">
        <v>74</v>
      </c>
      <c r="D582" t="s">
        <v>10788</v>
      </c>
      <c r="E582" t="s">
        <v>74</v>
      </c>
      <c r="F582" t="s">
        <v>10803</v>
      </c>
      <c r="G582" t="s">
        <v>74</v>
      </c>
      <c r="H582" t="s">
        <v>74</v>
      </c>
      <c r="I582" t="s">
        <v>10804</v>
      </c>
      <c r="J582" t="s">
        <v>10791</v>
      </c>
      <c r="K582" t="s">
        <v>74</v>
      </c>
      <c r="L582" t="s">
        <v>74</v>
      </c>
      <c r="M582" t="s">
        <v>78</v>
      </c>
      <c r="N582" t="s">
        <v>8859</v>
      </c>
      <c r="O582" t="s">
        <v>74</v>
      </c>
      <c r="P582" t="s">
        <v>74</v>
      </c>
      <c r="Q582" t="s">
        <v>74</v>
      </c>
      <c r="R582" t="s">
        <v>74</v>
      </c>
      <c r="S582" t="s">
        <v>74</v>
      </c>
      <c r="T582" t="s">
        <v>74</v>
      </c>
      <c r="U582" t="s">
        <v>10805</v>
      </c>
      <c r="V582" t="s">
        <v>10806</v>
      </c>
      <c r="W582" t="s">
        <v>10807</v>
      </c>
      <c r="X582" t="s">
        <v>10808</v>
      </c>
      <c r="Y582" t="s">
        <v>10809</v>
      </c>
      <c r="Z582" t="s">
        <v>74</v>
      </c>
      <c r="AA582" t="s">
        <v>74</v>
      </c>
      <c r="AB582" t="s">
        <v>74</v>
      </c>
      <c r="AC582" t="s">
        <v>74</v>
      </c>
      <c r="AD582" t="s">
        <v>74</v>
      </c>
      <c r="AE582" t="s">
        <v>74</v>
      </c>
      <c r="AF582" t="s">
        <v>74</v>
      </c>
      <c r="AG582">
        <v>52</v>
      </c>
      <c r="AH582">
        <v>1</v>
      </c>
      <c r="AI582">
        <v>1</v>
      </c>
      <c r="AJ582">
        <v>0</v>
      </c>
      <c r="AK582">
        <v>4</v>
      </c>
      <c r="AL582" t="s">
        <v>10796</v>
      </c>
      <c r="AM582" t="s">
        <v>10797</v>
      </c>
      <c r="AN582" t="s">
        <v>10798</v>
      </c>
      <c r="AO582" t="s">
        <v>74</v>
      </c>
      <c r="AP582" t="s">
        <v>74</v>
      </c>
      <c r="AQ582" t="s">
        <v>10799</v>
      </c>
      <c r="AR582" t="s">
        <v>74</v>
      </c>
      <c r="AS582" t="s">
        <v>74</v>
      </c>
      <c r="AT582" t="s">
        <v>74</v>
      </c>
      <c r="AU582">
        <v>2010</v>
      </c>
      <c r="AV582" t="s">
        <v>74</v>
      </c>
      <c r="AW582" t="s">
        <v>74</v>
      </c>
      <c r="AX582" t="s">
        <v>74</v>
      </c>
      <c r="AY582" t="s">
        <v>74</v>
      </c>
      <c r="AZ582" t="s">
        <v>74</v>
      </c>
      <c r="BA582" t="s">
        <v>74</v>
      </c>
      <c r="BB582">
        <v>111</v>
      </c>
      <c r="BC582">
        <v>141</v>
      </c>
      <c r="BD582" t="s">
        <v>74</v>
      </c>
      <c r="BE582" t="s">
        <v>74</v>
      </c>
      <c r="BF582" t="s">
        <v>74</v>
      </c>
      <c r="BG582" t="s">
        <v>74</v>
      </c>
      <c r="BH582" t="s">
        <v>74</v>
      </c>
      <c r="BI582">
        <v>31</v>
      </c>
      <c r="BJ582" t="s">
        <v>4031</v>
      </c>
      <c r="BK582" t="s">
        <v>8579</v>
      </c>
      <c r="BL582" t="s">
        <v>1348</v>
      </c>
      <c r="BM582" t="s">
        <v>10800</v>
      </c>
      <c r="BN582" t="s">
        <v>74</v>
      </c>
      <c r="BO582" t="s">
        <v>74</v>
      </c>
      <c r="BP582" t="s">
        <v>74</v>
      </c>
      <c r="BQ582" t="s">
        <v>74</v>
      </c>
      <c r="BR582" t="s">
        <v>105</v>
      </c>
      <c r="BS582" t="s">
        <v>10810</v>
      </c>
      <c r="BT582" t="str">
        <f>HYPERLINK("https%3A%2F%2Fwww.webofscience.com%2Fwos%2Fwoscc%2Ffull-record%2FWOS:000314785200005","View Full Record in Web of Science")</f>
        <v>View Full Record in Web of Science</v>
      </c>
    </row>
    <row r="583" spans="1:72" x14ac:dyDescent="0.15">
      <c r="A583" t="s">
        <v>72</v>
      </c>
      <c r="B583" t="s">
        <v>10811</v>
      </c>
      <c r="C583" t="s">
        <v>74</v>
      </c>
      <c r="D583" t="s">
        <v>74</v>
      </c>
      <c r="E583" t="s">
        <v>74</v>
      </c>
      <c r="F583" t="s">
        <v>10812</v>
      </c>
      <c r="G583" t="s">
        <v>74</v>
      </c>
      <c r="H583" t="s">
        <v>74</v>
      </c>
      <c r="I583" t="s">
        <v>10813</v>
      </c>
      <c r="J583" t="s">
        <v>6553</v>
      </c>
      <c r="K583" t="s">
        <v>74</v>
      </c>
      <c r="L583" t="s">
        <v>74</v>
      </c>
      <c r="M583" t="s">
        <v>78</v>
      </c>
      <c r="N583" t="s">
        <v>79</v>
      </c>
      <c r="O583" t="s">
        <v>74</v>
      </c>
      <c r="P583" t="s">
        <v>74</v>
      </c>
      <c r="Q583" t="s">
        <v>74</v>
      </c>
      <c r="R583" t="s">
        <v>74</v>
      </c>
      <c r="S583" t="s">
        <v>74</v>
      </c>
      <c r="T583" t="s">
        <v>10814</v>
      </c>
      <c r="U583" t="s">
        <v>10815</v>
      </c>
      <c r="V583" t="s">
        <v>10816</v>
      </c>
      <c r="W583" t="s">
        <v>10817</v>
      </c>
      <c r="X583" t="s">
        <v>10818</v>
      </c>
      <c r="Y583" t="s">
        <v>10819</v>
      </c>
      <c r="Z583" t="s">
        <v>10820</v>
      </c>
      <c r="AA583" t="s">
        <v>10821</v>
      </c>
      <c r="AB583" t="s">
        <v>10822</v>
      </c>
      <c r="AC583" t="s">
        <v>10823</v>
      </c>
      <c r="AD583" t="s">
        <v>10824</v>
      </c>
      <c r="AE583" t="s">
        <v>10825</v>
      </c>
      <c r="AF583" t="s">
        <v>74</v>
      </c>
      <c r="AG583">
        <v>36</v>
      </c>
      <c r="AH583">
        <v>52</v>
      </c>
      <c r="AI583">
        <v>53</v>
      </c>
      <c r="AJ583">
        <v>0</v>
      </c>
      <c r="AK583">
        <v>13</v>
      </c>
      <c r="AL583" t="s">
        <v>813</v>
      </c>
      <c r="AM583" t="s">
        <v>225</v>
      </c>
      <c r="AN583" t="s">
        <v>2228</v>
      </c>
      <c r="AO583" t="s">
        <v>6563</v>
      </c>
      <c r="AP583" t="s">
        <v>6564</v>
      </c>
      <c r="AQ583" t="s">
        <v>74</v>
      </c>
      <c r="AR583" t="s">
        <v>6565</v>
      </c>
      <c r="AS583" t="s">
        <v>6566</v>
      </c>
      <c r="AT583" t="s">
        <v>8958</v>
      </c>
      <c r="AU583">
        <v>2010</v>
      </c>
      <c r="AV583">
        <v>34</v>
      </c>
      <c r="AW583">
        <v>1</v>
      </c>
      <c r="AX583" t="s">
        <v>74</v>
      </c>
      <c r="AY583" t="s">
        <v>74</v>
      </c>
      <c r="AZ583" t="s">
        <v>74</v>
      </c>
      <c r="BA583" t="s">
        <v>74</v>
      </c>
      <c r="BB583">
        <v>61</v>
      </c>
      <c r="BC583">
        <v>72</v>
      </c>
      <c r="BD583" t="s">
        <v>74</v>
      </c>
      <c r="BE583" t="s">
        <v>10826</v>
      </c>
      <c r="BF583" t="str">
        <f>HYPERLINK("http://dx.doi.org/10.1007/s00382-008-0499-y","http://dx.doi.org/10.1007/s00382-008-0499-y")</f>
        <v>http://dx.doi.org/10.1007/s00382-008-0499-y</v>
      </c>
      <c r="BG583" t="s">
        <v>74</v>
      </c>
      <c r="BH583" t="s">
        <v>74</v>
      </c>
      <c r="BI583">
        <v>12</v>
      </c>
      <c r="BJ583" t="s">
        <v>258</v>
      </c>
      <c r="BK583" t="s">
        <v>102</v>
      </c>
      <c r="BL583" t="s">
        <v>258</v>
      </c>
      <c r="BM583" t="s">
        <v>10827</v>
      </c>
      <c r="BN583" t="s">
        <v>74</v>
      </c>
      <c r="BO583" t="s">
        <v>74</v>
      </c>
      <c r="BP583" t="s">
        <v>74</v>
      </c>
      <c r="BQ583" t="s">
        <v>74</v>
      </c>
      <c r="BR583" t="s">
        <v>105</v>
      </c>
      <c r="BS583" t="s">
        <v>10828</v>
      </c>
      <c r="BT583" t="str">
        <f>HYPERLINK("https%3A%2F%2Fwww.webofscience.com%2Fwos%2Fwoscc%2Ffull-record%2FWOS:000272119100004","View Full Record in Web of Science")</f>
        <v>View Full Record in Web of Science</v>
      </c>
    </row>
    <row r="584" spans="1:72" x14ac:dyDescent="0.15">
      <c r="A584" t="s">
        <v>72</v>
      </c>
      <c r="B584" t="s">
        <v>10829</v>
      </c>
      <c r="C584" t="s">
        <v>74</v>
      </c>
      <c r="D584" t="s">
        <v>74</v>
      </c>
      <c r="E584" t="s">
        <v>74</v>
      </c>
      <c r="F584" t="s">
        <v>10830</v>
      </c>
      <c r="G584" t="s">
        <v>74</v>
      </c>
      <c r="H584" t="s">
        <v>74</v>
      </c>
      <c r="I584" t="s">
        <v>10831</v>
      </c>
      <c r="J584" t="s">
        <v>10832</v>
      </c>
      <c r="K584" t="s">
        <v>74</v>
      </c>
      <c r="L584" t="s">
        <v>74</v>
      </c>
      <c r="M584" t="s">
        <v>78</v>
      </c>
      <c r="N584" t="s">
        <v>79</v>
      </c>
      <c r="O584" t="s">
        <v>74</v>
      </c>
      <c r="P584" t="s">
        <v>74</v>
      </c>
      <c r="Q584" t="s">
        <v>74</v>
      </c>
      <c r="R584" t="s">
        <v>74</v>
      </c>
      <c r="S584" t="s">
        <v>74</v>
      </c>
      <c r="T584" t="s">
        <v>74</v>
      </c>
      <c r="U584" t="s">
        <v>10833</v>
      </c>
      <c r="V584" t="s">
        <v>10834</v>
      </c>
      <c r="W584" t="s">
        <v>10835</v>
      </c>
      <c r="X584" t="s">
        <v>10836</v>
      </c>
      <c r="Y584" t="s">
        <v>7683</v>
      </c>
      <c r="Z584" t="s">
        <v>10837</v>
      </c>
      <c r="AA584" t="s">
        <v>10838</v>
      </c>
      <c r="AB584" t="s">
        <v>10839</v>
      </c>
      <c r="AC584" t="s">
        <v>10840</v>
      </c>
      <c r="AD584" t="s">
        <v>10841</v>
      </c>
      <c r="AE584" t="s">
        <v>10842</v>
      </c>
      <c r="AF584" t="s">
        <v>74</v>
      </c>
      <c r="AG584">
        <v>44</v>
      </c>
      <c r="AH584">
        <v>24</v>
      </c>
      <c r="AI584">
        <v>29</v>
      </c>
      <c r="AJ584">
        <v>0</v>
      </c>
      <c r="AK584">
        <v>26</v>
      </c>
      <c r="AL584" t="s">
        <v>8999</v>
      </c>
      <c r="AM584" t="s">
        <v>9000</v>
      </c>
      <c r="AN584" t="s">
        <v>9001</v>
      </c>
      <c r="AO584" t="s">
        <v>10843</v>
      </c>
      <c r="AP584" t="s">
        <v>10844</v>
      </c>
      <c r="AQ584" t="s">
        <v>74</v>
      </c>
      <c r="AR584" t="s">
        <v>10845</v>
      </c>
      <c r="AS584" t="s">
        <v>10846</v>
      </c>
      <c r="AT584" t="s">
        <v>74</v>
      </c>
      <c r="AU584">
        <v>2010</v>
      </c>
      <c r="AV584">
        <v>6</v>
      </c>
      <c r="AW584">
        <v>3</v>
      </c>
      <c r="AX584" t="s">
        <v>74</v>
      </c>
      <c r="AY584" t="s">
        <v>74</v>
      </c>
      <c r="AZ584" t="s">
        <v>74</v>
      </c>
      <c r="BA584" t="s">
        <v>74</v>
      </c>
      <c r="BB584">
        <v>295</v>
      </c>
      <c r="BC584">
        <v>303</v>
      </c>
      <c r="BD584" t="s">
        <v>74</v>
      </c>
      <c r="BE584" t="s">
        <v>10847</v>
      </c>
      <c r="BF584" t="str">
        <f>HYPERLINK("http://dx.doi.org/10.5194/cp-6-295-2010","http://dx.doi.org/10.5194/cp-6-295-2010")</f>
        <v>http://dx.doi.org/10.5194/cp-6-295-2010</v>
      </c>
      <c r="BG584" t="s">
        <v>74</v>
      </c>
      <c r="BH584" t="s">
        <v>74</v>
      </c>
      <c r="BI584">
        <v>9</v>
      </c>
      <c r="BJ584" t="s">
        <v>10848</v>
      </c>
      <c r="BK584" t="s">
        <v>102</v>
      </c>
      <c r="BL584" t="s">
        <v>10849</v>
      </c>
      <c r="BM584" t="s">
        <v>10850</v>
      </c>
      <c r="BN584" t="s">
        <v>74</v>
      </c>
      <c r="BO584" t="s">
        <v>10042</v>
      </c>
      <c r="BP584" t="s">
        <v>74</v>
      </c>
      <c r="BQ584" t="s">
        <v>74</v>
      </c>
      <c r="BR584" t="s">
        <v>105</v>
      </c>
      <c r="BS584" t="s">
        <v>10851</v>
      </c>
      <c r="BT584" t="str">
        <f>HYPERLINK("https%3A%2F%2Fwww.webofscience.com%2Fwos%2Fwoscc%2Ffull-record%2FWOS:000279390500002","View Full Record in Web of Science")</f>
        <v>View Full Record in Web of Science</v>
      </c>
    </row>
    <row r="585" spans="1:72" x14ac:dyDescent="0.15">
      <c r="A585" t="s">
        <v>72</v>
      </c>
      <c r="B585" t="s">
        <v>10852</v>
      </c>
      <c r="C585" t="s">
        <v>74</v>
      </c>
      <c r="D585" t="s">
        <v>74</v>
      </c>
      <c r="E585" t="s">
        <v>74</v>
      </c>
      <c r="F585" t="s">
        <v>10853</v>
      </c>
      <c r="G585" t="s">
        <v>74</v>
      </c>
      <c r="H585" t="s">
        <v>74</v>
      </c>
      <c r="I585" t="s">
        <v>10854</v>
      </c>
      <c r="J585" t="s">
        <v>10832</v>
      </c>
      <c r="K585" t="s">
        <v>74</v>
      </c>
      <c r="L585" t="s">
        <v>74</v>
      </c>
      <c r="M585" t="s">
        <v>78</v>
      </c>
      <c r="N585" t="s">
        <v>79</v>
      </c>
      <c r="O585" t="s">
        <v>74</v>
      </c>
      <c r="P585" t="s">
        <v>74</v>
      </c>
      <c r="Q585" t="s">
        <v>74</v>
      </c>
      <c r="R585" t="s">
        <v>74</v>
      </c>
      <c r="S585" t="s">
        <v>74</v>
      </c>
      <c r="T585" t="s">
        <v>74</v>
      </c>
      <c r="U585" t="s">
        <v>10855</v>
      </c>
      <c r="V585" t="s">
        <v>10856</v>
      </c>
      <c r="W585" t="s">
        <v>10857</v>
      </c>
      <c r="X585" t="s">
        <v>10858</v>
      </c>
      <c r="Y585" t="s">
        <v>10859</v>
      </c>
      <c r="Z585" t="s">
        <v>10860</v>
      </c>
      <c r="AA585" t="s">
        <v>10861</v>
      </c>
      <c r="AB585" t="s">
        <v>10862</v>
      </c>
      <c r="AC585" t="s">
        <v>10863</v>
      </c>
      <c r="AD585" t="s">
        <v>10864</v>
      </c>
      <c r="AE585" t="s">
        <v>10865</v>
      </c>
      <c r="AF585" t="s">
        <v>74</v>
      </c>
      <c r="AG585">
        <v>149</v>
      </c>
      <c r="AH585">
        <v>115</v>
      </c>
      <c r="AI585">
        <v>125</v>
      </c>
      <c r="AJ585">
        <v>2</v>
      </c>
      <c r="AK585">
        <v>71</v>
      </c>
      <c r="AL585" t="s">
        <v>8999</v>
      </c>
      <c r="AM585" t="s">
        <v>9000</v>
      </c>
      <c r="AN585" t="s">
        <v>9001</v>
      </c>
      <c r="AO585" t="s">
        <v>10843</v>
      </c>
      <c r="AP585" t="s">
        <v>10844</v>
      </c>
      <c r="AQ585" t="s">
        <v>74</v>
      </c>
      <c r="AR585" t="s">
        <v>10845</v>
      </c>
      <c r="AS585" t="s">
        <v>10846</v>
      </c>
      <c r="AT585" t="s">
        <v>74</v>
      </c>
      <c r="AU585">
        <v>2010</v>
      </c>
      <c r="AV585">
        <v>6</v>
      </c>
      <c r="AW585">
        <v>3</v>
      </c>
      <c r="AX585" t="s">
        <v>74</v>
      </c>
      <c r="AY585" t="s">
        <v>74</v>
      </c>
      <c r="AZ585" t="s">
        <v>74</v>
      </c>
      <c r="BA585" t="s">
        <v>74</v>
      </c>
      <c r="BB585">
        <v>345</v>
      </c>
      <c r="BC585">
        <v>365</v>
      </c>
      <c r="BD585" t="s">
        <v>74</v>
      </c>
      <c r="BE585" t="s">
        <v>10866</v>
      </c>
      <c r="BF585" t="str">
        <f>HYPERLINK("http://dx.doi.org/10.5194/cp-6-345-2010","http://dx.doi.org/10.5194/cp-6-345-2010")</f>
        <v>http://dx.doi.org/10.5194/cp-6-345-2010</v>
      </c>
      <c r="BG585" t="s">
        <v>74</v>
      </c>
      <c r="BH585" t="s">
        <v>74</v>
      </c>
      <c r="BI585">
        <v>21</v>
      </c>
      <c r="BJ585" t="s">
        <v>10848</v>
      </c>
      <c r="BK585" t="s">
        <v>102</v>
      </c>
      <c r="BL585" t="s">
        <v>10849</v>
      </c>
      <c r="BM585" t="s">
        <v>10850</v>
      </c>
      <c r="BN585" t="s">
        <v>74</v>
      </c>
      <c r="BO585" t="s">
        <v>5454</v>
      </c>
      <c r="BP585" t="s">
        <v>74</v>
      </c>
      <c r="BQ585" t="s">
        <v>74</v>
      </c>
      <c r="BR585" t="s">
        <v>105</v>
      </c>
      <c r="BS585" t="s">
        <v>10867</v>
      </c>
      <c r="BT585" t="str">
        <f>HYPERLINK("https%3A%2F%2Fwww.webofscience.com%2Fwos%2Fwoscc%2Ffull-record%2FWOS:000279390500006","View Full Record in Web of Science")</f>
        <v>View Full Record in Web of Science</v>
      </c>
    </row>
    <row r="586" spans="1:72" x14ac:dyDescent="0.15">
      <c r="A586" t="s">
        <v>72</v>
      </c>
      <c r="B586" t="s">
        <v>10868</v>
      </c>
      <c r="C586" t="s">
        <v>74</v>
      </c>
      <c r="D586" t="s">
        <v>74</v>
      </c>
      <c r="E586" t="s">
        <v>74</v>
      </c>
      <c r="F586" t="s">
        <v>10869</v>
      </c>
      <c r="G586" t="s">
        <v>74</v>
      </c>
      <c r="H586" t="s">
        <v>74</v>
      </c>
      <c r="I586" t="s">
        <v>10870</v>
      </c>
      <c r="J586" t="s">
        <v>10832</v>
      </c>
      <c r="K586" t="s">
        <v>74</v>
      </c>
      <c r="L586" t="s">
        <v>74</v>
      </c>
      <c r="M586" t="s">
        <v>78</v>
      </c>
      <c r="N586" t="s">
        <v>79</v>
      </c>
      <c r="O586" t="s">
        <v>74</v>
      </c>
      <c r="P586" t="s">
        <v>74</v>
      </c>
      <c r="Q586" t="s">
        <v>74</v>
      </c>
      <c r="R586" t="s">
        <v>74</v>
      </c>
      <c r="S586" t="s">
        <v>74</v>
      </c>
      <c r="T586" t="s">
        <v>74</v>
      </c>
      <c r="U586" t="s">
        <v>10871</v>
      </c>
      <c r="V586" t="s">
        <v>10872</v>
      </c>
      <c r="W586" t="s">
        <v>10873</v>
      </c>
      <c r="X586" t="s">
        <v>269</v>
      </c>
      <c r="Y586" t="s">
        <v>10874</v>
      </c>
      <c r="Z586" t="s">
        <v>10875</v>
      </c>
      <c r="AA586" t="s">
        <v>10876</v>
      </c>
      <c r="AB586" t="s">
        <v>10877</v>
      </c>
      <c r="AC586" t="s">
        <v>10878</v>
      </c>
      <c r="AD586" t="s">
        <v>10879</v>
      </c>
      <c r="AE586" t="s">
        <v>10880</v>
      </c>
      <c r="AF586" t="s">
        <v>74</v>
      </c>
      <c r="AG586">
        <v>45</v>
      </c>
      <c r="AH586">
        <v>8</v>
      </c>
      <c r="AI586">
        <v>8</v>
      </c>
      <c r="AJ586">
        <v>0</v>
      </c>
      <c r="AK586">
        <v>5</v>
      </c>
      <c r="AL586" t="s">
        <v>8999</v>
      </c>
      <c r="AM586" t="s">
        <v>9000</v>
      </c>
      <c r="AN586" t="s">
        <v>9001</v>
      </c>
      <c r="AO586" t="s">
        <v>10843</v>
      </c>
      <c r="AP586" t="s">
        <v>10844</v>
      </c>
      <c r="AQ586" t="s">
        <v>74</v>
      </c>
      <c r="AR586" t="s">
        <v>10845</v>
      </c>
      <c r="AS586" t="s">
        <v>10846</v>
      </c>
      <c r="AT586" t="s">
        <v>74</v>
      </c>
      <c r="AU586">
        <v>2010</v>
      </c>
      <c r="AV586">
        <v>6</v>
      </c>
      <c r="AW586">
        <v>4</v>
      </c>
      <c r="AX586" t="s">
        <v>74</v>
      </c>
      <c r="AY586" t="s">
        <v>74</v>
      </c>
      <c r="AZ586" t="s">
        <v>74</v>
      </c>
      <c r="BA586" t="s">
        <v>74</v>
      </c>
      <c r="BB586">
        <v>415</v>
      </c>
      <c r="BC586">
        <v>430</v>
      </c>
      <c r="BD586" t="s">
        <v>74</v>
      </c>
      <c r="BE586" t="s">
        <v>10881</v>
      </c>
      <c r="BF586" t="str">
        <f>HYPERLINK("http://dx.doi.org/10.5194/cp-6-415-2010","http://dx.doi.org/10.5194/cp-6-415-2010")</f>
        <v>http://dx.doi.org/10.5194/cp-6-415-2010</v>
      </c>
      <c r="BG586" t="s">
        <v>74</v>
      </c>
      <c r="BH586" t="s">
        <v>74</v>
      </c>
      <c r="BI586">
        <v>16</v>
      </c>
      <c r="BJ586" t="s">
        <v>10848</v>
      </c>
      <c r="BK586" t="s">
        <v>102</v>
      </c>
      <c r="BL586" t="s">
        <v>10849</v>
      </c>
      <c r="BM586" t="s">
        <v>10882</v>
      </c>
      <c r="BN586" t="s">
        <v>74</v>
      </c>
      <c r="BO586" t="s">
        <v>8695</v>
      </c>
      <c r="BP586" t="s">
        <v>74</v>
      </c>
      <c r="BQ586" t="s">
        <v>74</v>
      </c>
      <c r="BR586" t="s">
        <v>105</v>
      </c>
      <c r="BS586" t="s">
        <v>10883</v>
      </c>
      <c r="BT586" t="str">
        <f>HYPERLINK("https%3A%2F%2Fwww.webofscience.com%2Fwos%2Fwoscc%2Ffull-record%2FWOS:000281433300002","View Full Record in Web of Science")</f>
        <v>View Full Record in Web of Science</v>
      </c>
    </row>
    <row r="587" spans="1:72" x14ac:dyDescent="0.15">
      <c r="A587" t="s">
        <v>72</v>
      </c>
      <c r="B587" t="s">
        <v>10884</v>
      </c>
      <c r="C587" t="s">
        <v>74</v>
      </c>
      <c r="D587" t="s">
        <v>74</v>
      </c>
      <c r="E587" t="s">
        <v>74</v>
      </c>
      <c r="F587" t="s">
        <v>10885</v>
      </c>
      <c r="G587" t="s">
        <v>74</v>
      </c>
      <c r="H587" t="s">
        <v>74</v>
      </c>
      <c r="I587" t="s">
        <v>10886</v>
      </c>
      <c r="J587" t="s">
        <v>10832</v>
      </c>
      <c r="K587" t="s">
        <v>74</v>
      </c>
      <c r="L587" t="s">
        <v>74</v>
      </c>
      <c r="M587" t="s">
        <v>78</v>
      </c>
      <c r="N587" t="s">
        <v>79</v>
      </c>
      <c r="O587" t="s">
        <v>74</v>
      </c>
      <c r="P587" t="s">
        <v>74</v>
      </c>
      <c r="Q587" t="s">
        <v>74</v>
      </c>
      <c r="R587" t="s">
        <v>74</v>
      </c>
      <c r="S587" t="s">
        <v>74</v>
      </c>
      <c r="T587" t="s">
        <v>74</v>
      </c>
      <c r="U587" t="s">
        <v>10887</v>
      </c>
      <c r="V587" t="s">
        <v>10888</v>
      </c>
      <c r="W587" t="s">
        <v>10889</v>
      </c>
      <c r="X587" t="s">
        <v>10890</v>
      </c>
      <c r="Y587" t="s">
        <v>10891</v>
      </c>
      <c r="Z587" t="s">
        <v>10892</v>
      </c>
      <c r="AA587" t="s">
        <v>10893</v>
      </c>
      <c r="AB587" t="s">
        <v>10894</v>
      </c>
      <c r="AC587" t="s">
        <v>10895</v>
      </c>
      <c r="AD587" t="s">
        <v>10896</v>
      </c>
      <c r="AE587" t="s">
        <v>10897</v>
      </c>
      <c r="AF587" t="s">
        <v>74</v>
      </c>
      <c r="AG587">
        <v>54</v>
      </c>
      <c r="AH587">
        <v>58</v>
      </c>
      <c r="AI587">
        <v>60</v>
      </c>
      <c r="AJ587">
        <v>1</v>
      </c>
      <c r="AK587">
        <v>20</v>
      </c>
      <c r="AL587" t="s">
        <v>8999</v>
      </c>
      <c r="AM587" t="s">
        <v>9000</v>
      </c>
      <c r="AN587" t="s">
        <v>9001</v>
      </c>
      <c r="AO587" t="s">
        <v>10843</v>
      </c>
      <c r="AP587" t="s">
        <v>10844</v>
      </c>
      <c r="AQ587" t="s">
        <v>74</v>
      </c>
      <c r="AR587" t="s">
        <v>10845</v>
      </c>
      <c r="AS587" t="s">
        <v>10846</v>
      </c>
      <c r="AT587" t="s">
        <v>74</v>
      </c>
      <c r="AU587">
        <v>2010</v>
      </c>
      <c r="AV587">
        <v>6</v>
      </c>
      <c r="AW587">
        <v>4</v>
      </c>
      <c r="AX587" t="s">
        <v>74</v>
      </c>
      <c r="AY587" t="s">
        <v>74</v>
      </c>
      <c r="AZ587" t="s">
        <v>74</v>
      </c>
      <c r="BA587" t="s">
        <v>74</v>
      </c>
      <c r="BB587">
        <v>431</v>
      </c>
      <c r="BC587">
        <v>443</v>
      </c>
      <c r="BD587" t="s">
        <v>74</v>
      </c>
      <c r="BE587" t="s">
        <v>10898</v>
      </c>
      <c r="BF587" t="str">
        <f>HYPERLINK("http://dx.doi.org/10.5194/cp-6-431-2010","http://dx.doi.org/10.5194/cp-6-431-2010")</f>
        <v>http://dx.doi.org/10.5194/cp-6-431-2010</v>
      </c>
      <c r="BG587" t="s">
        <v>74</v>
      </c>
      <c r="BH587" t="s">
        <v>74</v>
      </c>
      <c r="BI587">
        <v>13</v>
      </c>
      <c r="BJ587" t="s">
        <v>10848</v>
      </c>
      <c r="BK587" t="s">
        <v>102</v>
      </c>
      <c r="BL587" t="s">
        <v>10849</v>
      </c>
      <c r="BM587" t="s">
        <v>10882</v>
      </c>
      <c r="BN587" t="s">
        <v>74</v>
      </c>
      <c r="BO587" t="s">
        <v>10899</v>
      </c>
      <c r="BP587" t="s">
        <v>74</v>
      </c>
      <c r="BQ587" t="s">
        <v>74</v>
      </c>
      <c r="BR587" t="s">
        <v>105</v>
      </c>
      <c r="BS587" t="s">
        <v>10900</v>
      </c>
      <c r="BT587" t="str">
        <f>HYPERLINK("https%3A%2F%2Fwww.webofscience.com%2Fwos%2Fwoscc%2Ffull-record%2FWOS:000281433300003","View Full Record in Web of Science")</f>
        <v>View Full Record in Web of Science</v>
      </c>
    </row>
    <row r="588" spans="1:72" x14ac:dyDescent="0.15">
      <c r="A588" t="s">
        <v>72</v>
      </c>
      <c r="B588" t="s">
        <v>10901</v>
      </c>
      <c r="C588" t="s">
        <v>74</v>
      </c>
      <c r="D588" t="s">
        <v>74</v>
      </c>
      <c r="E588" t="s">
        <v>74</v>
      </c>
      <c r="F588" t="s">
        <v>10902</v>
      </c>
      <c r="G588" t="s">
        <v>74</v>
      </c>
      <c r="H588" t="s">
        <v>74</v>
      </c>
      <c r="I588" t="s">
        <v>10903</v>
      </c>
      <c r="J588" t="s">
        <v>10832</v>
      </c>
      <c r="K588" t="s">
        <v>74</v>
      </c>
      <c r="L588" t="s">
        <v>74</v>
      </c>
      <c r="M588" t="s">
        <v>78</v>
      </c>
      <c r="N588" t="s">
        <v>79</v>
      </c>
      <c r="O588" t="s">
        <v>74</v>
      </c>
      <c r="P588" t="s">
        <v>74</v>
      </c>
      <c r="Q588" t="s">
        <v>74</v>
      </c>
      <c r="R588" t="s">
        <v>74</v>
      </c>
      <c r="S588" t="s">
        <v>74</v>
      </c>
      <c r="T588" t="s">
        <v>74</v>
      </c>
      <c r="U588" t="s">
        <v>10904</v>
      </c>
      <c r="V588" t="s">
        <v>10905</v>
      </c>
      <c r="W588" t="s">
        <v>10906</v>
      </c>
      <c r="X588" t="s">
        <v>10907</v>
      </c>
      <c r="Y588" t="s">
        <v>10908</v>
      </c>
      <c r="Z588" t="s">
        <v>10909</v>
      </c>
      <c r="AA588" t="s">
        <v>10910</v>
      </c>
      <c r="AB588" t="s">
        <v>10911</v>
      </c>
      <c r="AC588" t="s">
        <v>10912</v>
      </c>
      <c r="AD588" t="s">
        <v>10913</v>
      </c>
      <c r="AE588" t="s">
        <v>10416</v>
      </c>
      <c r="AF588" t="s">
        <v>74</v>
      </c>
      <c r="AG588">
        <v>56</v>
      </c>
      <c r="AH588">
        <v>64</v>
      </c>
      <c r="AI588">
        <v>67</v>
      </c>
      <c r="AJ588">
        <v>0</v>
      </c>
      <c r="AK588">
        <v>19</v>
      </c>
      <c r="AL588" t="s">
        <v>8999</v>
      </c>
      <c r="AM588" t="s">
        <v>9000</v>
      </c>
      <c r="AN588" t="s">
        <v>9001</v>
      </c>
      <c r="AO588" t="s">
        <v>10843</v>
      </c>
      <c r="AP588" t="s">
        <v>10844</v>
      </c>
      <c r="AQ588" t="s">
        <v>74</v>
      </c>
      <c r="AR588" t="s">
        <v>10845</v>
      </c>
      <c r="AS588" t="s">
        <v>10846</v>
      </c>
      <c r="AT588" t="s">
        <v>74</v>
      </c>
      <c r="AU588">
        <v>2010</v>
      </c>
      <c r="AV588">
        <v>6</v>
      </c>
      <c r="AW588">
        <v>5</v>
      </c>
      <c r="AX588" t="s">
        <v>74</v>
      </c>
      <c r="AY588" t="s">
        <v>74</v>
      </c>
      <c r="AZ588" t="s">
        <v>74</v>
      </c>
      <c r="BA588" t="s">
        <v>74</v>
      </c>
      <c r="BB588">
        <v>575</v>
      </c>
      <c r="BC588">
        <v>589</v>
      </c>
      <c r="BD588" t="s">
        <v>74</v>
      </c>
      <c r="BE588" t="s">
        <v>10914</v>
      </c>
      <c r="BF588" t="str">
        <f>HYPERLINK("http://dx.doi.org/10.5194/cp-6-575-2010","http://dx.doi.org/10.5194/cp-6-575-2010")</f>
        <v>http://dx.doi.org/10.5194/cp-6-575-2010</v>
      </c>
      <c r="BG588" t="s">
        <v>74</v>
      </c>
      <c r="BH588" t="s">
        <v>74</v>
      </c>
      <c r="BI588">
        <v>15</v>
      </c>
      <c r="BJ588" t="s">
        <v>10848</v>
      </c>
      <c r="BK588" t="s">
        <v>102</v>
      </c>
      <c r="BL588" t="s">
        <v>10849</v>
      </c>
      <c r="BM588" t="s">
        <v>10915</v>
      </c>
      <c r="BN588" t="s">
        <v>74</v>
      </c>
      <c r="BO588" t="s">
        <v>10916</v>
      </c>
      <c r="BP588" t="s">
        <v>74</v>
      </c>
      <c r="BQ588" t="s">
        <v>74</v>
      </c>
      <c r="BR588" t="s">
        <v>105</v>
      </c>
      <c r="BS588" t="s">
        <v>10917</v>
      </c>
      <c r="BT588" t="str">
        <f>HYPERLINK("https%3A%2F%2Fwww.webofscience.com%2Fwos%2Fwoscc%2Ffull-record%2FWOS:000283667900003","View Full Record in Web of Science")</f>
        <v>View Full Record in Web of Science</v>
      </c>
    </row>
    <row r="589" spans="1:72" x14ac:dyDescent="0.15">
      <c r="A589" t="s">
        <v>72</v>
      </c>
      <c r="B589" t="s">
        <v>10918</v>
      </c>
      <c r="C589" t="s">
        <v>74</v>
      </c>
      <c r="D589" t="s">
        <v>74</v>
      </c>
      <c r="E589" t="s">
        <v>74</v>
      </c>
      <c r="F589" t="s">
        <v>10919</v>
      </c>
      <c r="G589" t="s">
        <v>74</v>
      </c>
      <c r="H589" t="s">
        <v>74</v>
      </c>
      <c r="I589" t="s">
        <v>10920</v>
      </c>
      <c r="J589" t="s">
        <v>10832</v>
      </c>
      <c r="K589" t="s">
        <v>74</v>
      </c>
      <c r="L589" t="s">
        <v>74</v>
      </c>
      <c r="M589" t="s">
        <v>78</v>
      </c>
      <c r="N589" t="s">
        <v>79</v>
      </c>
      <c r="O589" t="s">
        <v>74</v>
      </c>
      <c r="P589" t="s">
        <v>74</v>
      </c>
      <c r="Q589" t="s">
        <v>74</v>
      </c>
      <c r="R589" t="s">
        <v>74</v>
      </c>
      <c r="S589" t="s">
        <v>74</v>
      </c>
      <c r="T589" t="s">
        <v>74</v>
      </c>
      <c r="U589" t="s">
        <v>10921</v>
      </c>
      <c r="V589" t="s">
        <v>10922</v>
      </c>
      <c r="W589" t="s">
        <v>10923</v>
      </c>
      <c r="X589" t="s">
        <v>10924</v>
      </c>
      <c r="Y589" t="s">
        <v>10925</v>
      </c>
      <c r="Z589" t="s">
        <v>10926</v>
      </c>
      <c r="AA589" t="s">
        <v>10927</v>
      </c>
      <c r="AB589" t="s">
        <v>10928</v>
      </c>
      <c r="AC589" t="s">
        <v>10929</v>
      </c>
      <c r="AD589" t="s">
        <v>10930</v>
      </c>
      <c r="AE589" t="s">
        <v>10931</v>
      </c>
      <c r="AF589" t="s">
        <v>74</v>
      </c>
      <c r="AG589">
        <v>25</v>
      </c>
      <c r="AH589">
        <v>15</v>
      </c>
      <c r="AI589">
        <v>15</v>
      </c>
      <c r="AJ589">
        <v>1</v>
      </c>
      <c r="AK589">
        <v>10</v>
      </c>
      <c r="AL589" t="s">
        <v>8999</v>
      </c>
      <c r="AM589" t="s">
        <v>9000</v>
      </c>
      <c r="AN589" t="s">
        <v>9001</v>
      </c>
      <c r="AO589" t="s">
        <v>10843</v>
      </c>
      <c r="AP589" t="s">
        <v>10844</v>
      </c>
      <c r="AQ589" t="s">
        <v>74</v>
      </c>
      <c r="AR589" t="s">
        <v>10845</v>
      </c>
      <c r="AS589" t="s">
        <v>10846</v>
      </c>
      <c r="AT589" t="s">
        <v>74</v>
      </c>
      <c r="AU589">
        <v>2010</v>
      </c>
      <c r="AV589">
        <v>6</v>
      </c>
      <c r="AW589">
        <v>6</v>
      </c>
      <c r="AX589" t="s">
        <v>74</v>
      </c>
      <c r="AY589" t="s">
        <v>74</v>
      </c>
      <c r="AZ589" t="s">
        <v>74</v>
      </c>
      <c r="BA589" t="s">
        <v>74</v>
      </c>
      <c r="BB589">
        <v>787</v>
      </c>
      <c r="BC589">
        <v>794</v>
      </c>
      <c r="BD589" t="s">
        <v>74</v>
      </c>
      <c r="BE589" t="s">
        <v>10932</v>
      </c>
      <c r="BF589" t="str">
        <f>HYPERLINK("http://dx.doi.org/10.5194/cp-6-787-2010","http://dx.doi.org/10.5194/cp-6-787-2010")</f>
        <v>http://dx.doi.org/10.5194/cp-6-787-2010</v>
      </c>
      <c r="BG589" t="s">
        <v>74</v>
      </c>
      <c r="BH589" t="s">
        <v>74</v>
      </c>
      <c r="BI589">
        <v>8</v>
      </c>
      <c r="BJ589" t="s">
        <v>10848</v>
      </c>
      <c r="BK589" t="s">
        <v>102</v>
      </c>
      <c r="BL589" t="s">
        <v>10849</v>
      </c>
      <c r="BM589" t="s">
        <v>10933</v>
      </c>
      <c r="BN589" t="s">
        <v>74</v>
      </c>
      <c r="BO589" t="s">
        <v>5253</v>
      </c>
      <c r="BP589" t="s">
        <v>74</v>
      </c>
      <c r="BQ589" t="s">
        <v>74</v>
      </c>
      <c r="BR589" t="s">
        <v>105</v>
      </c>
      <c r="BS589" t="s">
        <v>10934</v>
      </c>
      <c r="BT589" t="str">
        <f>HYPERLINK("https%3A%2F%2Fwww.webofscience.com%2Fwos%2Fwoscc%2Ffull-record%2FWOS:000285574800004","View Full Record in Web of Science")</f>
        <v>View Full Record in Web of Science</v>
      </c>
    </row>
    <row r="590" spans="1:72" x14ac:dyDescent="0.15">
      <c r="A590" t="s">
        <v>72</v>
      </c>
      <c r="B590" t="s">
        <v>10935</v>
      </c>
      <c r="C590" t="s">
        <v>74</v>
      </c>
      <c r="D590" t="s">
        <v>74</v>
      </c>
      <c r="E590" t="s">
        <v>74</v>
      </c>
      <c r="F590" t="s">
        <v>10936</v>
      </c>
      <c r="G590" t="s">
        <v>74</v>
      </c>
      <c r="H590" t="s">
        <v>74</v>
      </c>
      <c r="I590" t="s">
        <v>10937</v>
      </c>
      <c r="J590" t="s">
        <v>10832</v>
      </c>
      <c r="K590" t="s">
        <v>74</v>
      </c>
      <c r="L590" t="s">
        <v>74</v>
      </c>
      <c r="M590" t="s">
        <v>78</v>
      </c>
      <c r="N590" t="s">
        <v>79</v>
      </c>
      <c r="O590" t="s">
        <v>74</v>
      </c>
      <c r="P590" t="s">
        <v>74</v>
      </c>
      <c r="Q590" t="s">
        <v>74</v>
      </c>
      <c r="R590" t="s">
        <v>74</v>
      </c>
      <c r="S590" t="s">
        <v>74</v>
      </c>
      <c r="T590" t="s">
        <v>74</v>
      </c>
      <c r="U590" t="s">
        <v>10938</v>
      </c>
      <c r="V590" t="s">
        <v>10939</v>
      </c>
      <c r="W590" t="s">
        <v>10940</v>
      </c>
      <c r="X590" t="s">
        <v>10941</v>
      </c>
      <c r="Y590" t="s">
        <v>7105</v>
      </c>
      <c r="Z590" t="s">
        <v>7106</v>
      </c>
      <c r="AA590" t="s">
        <v>10942</v>
      </c>
      <c r="AB590" t="s">
        <v>10943</v>
      </c>
      <c r="AC590" t="s">
        <v>10944</v>
      </c>
      <c r="AD590" t="s">
        <v>10945</v>
      </c>
      <c r="AE590" t="s">
        <v>10946</v>
      </c>
      <c r="AF590" t="s">
        <v>74</v>
      </c>
      <c r="AG590">
        <v>52</v>
      </c>
      <c r="AH590">
        <v>9</v>
      </c>
      <c r="AI590">
        <v>10</v>
      </c>
      <c r="AJ590">
        <v>0</v>
      </c>
      <c r="AK590">
        <v>14</v>
      </c>
      <c r="AL590" t="s">
        <v>8999</v>
      </c>
      <c r="AM590" t="s">
        <v>9000</v>
      </c>
      <c r="AN590" t="s">
        <v>9001</v>
      </c>
      <c r="AO590" t="s">
        <v>10843</v>
      </c>
      <c r="AP590" t="s">
        <v>10844</v>
      </c>
      <c r="AQ590" t="s">
        <v>74</v>
      </c>
      <c r="AR590" t="s">
        <v>10845</v>
      </c>
      <c r="AS590" t="s">
        <v>10846</v>
      </c>
      <c r="AT590" t="s">
        <v>74</v>
      </c>
      <c r="AU590">
        <v>2010</v>
      </c>
      <c r="AV590">
        <v>6</v>
      </c>
      <c r="AW590">
        <v>6</v>
      </c>
      <c r="AX590" t="s">
        <v>74</v>
      </c>
      <c r="AY590" t="s">
        <v>74</v>
      </c>
      <c r="AZ590" t="s">
        <v>74</v>
      </c>
      <c r="BA590" t="s">
        <v>74</v>
      </c>
      <c r="BB590">
        <v>827</v>
      </c>
      <c r="BC590">
        <v>841</v>
      </c>
      <c r="BD590" t="s">
        <v>74</v>
      </c>
      <c r="BE590" t="s">
        <v>10947</v>
      </c>
      <c r="BF590" t="str">
        <f>HYPERLINK("http://dx.doi.org/10.5194/cp-6-827-2010","http://dx.doi.org/10.5194/cp-6-827-2010")</f>
        <v>http://dx.doi.org/10.5194/cp-6-827-2010</v>
      </c>
      <c r="BG590" t="s">
        <v>74</v>
      </c>
      <c r="BH590" t="s">
        <v>74</v>
      </c>
      <c r="BI590">
        <v>15</v>
      </c>
      <c r="BJ590" t="s">
        <v>10848</v>
      </c>
      <c r="BK590" t="s">
        <v>102</v>
      </c>
      <c r="BL590" t="s">
        <v>10849</v>
      </c>
      <c r="BM590" t="s">
        <v>10933</v>
      </c>
      <c r="BN590" t="s">
        <v>74</v>
      </c>
      <c r="BO590" t="s">
        <v>10948</v>
      </c>
      <c r="BP590" t="s">
        <v>74</v>
      </c>
      <c r="BQ590" t="s">
        <v>74</v>
      </c>
      <c r="BR590" t="s">
        <v>105</v>
      </c>
      <c r="BS590" t="s">
        <v>10949</v>
      </c>
      <c r="BT590" t="str">
        <f>HYPERLINK("https%3A%2F%2Fwww.webofscience.com%2Fwos%2Fwoscc%2Ffull-record%2FWOS:000285574800008","View Full Record in Web of Science")</f>
        <v>View Full Record in Web of Science</v>
      </c>
    </row>
    <row r="591" spans="1:72" x14ac:dyDescent="0.15">
      <c r="A591" t="s">
        <v>72</v>
      </c>
      <c r="B591" t="s">
        <v>10950</v>
      </c>
      <c r="C591" t="s">
        <v>74</v>
      </c>
      <c r="D591" t="s">
        <v>74</v>
      </c>
      <c r="E591" t="s">
        <v>74</v>
      </c>
      <c r="F591" t="s">
        <v>10951</v>
      </c>
      <c r="G591" t="s">
        <v>74</v>
      </c>
      <c r="H591" t="s">
        <v>74</v>
      </c>
      <c r="I591" t="s">
        <v>10952</v>
      </c>
      <c r="J591" t="s">
        <v>10953</v>
      </c>
      <c r="K591" t="s">
        <v>74</v>
      </c>
      <c r="L591" t="s">
        <v>74</v>
      </c>
      <c r="M591" t="s">
        <v>78</v>
      </c>
      <c r="N591" t="s">
        <v>79</v>
      </c>
      <c r="O591" t="s">
        <v>74</v>
      </c>
      <c r="P591" t="s">
        <v>74</v>
      </c>
      <c r="Q591" t="s">
        <v>74</v>
      </c>
      <c r="R591" t="s">
        <v>74</v>
      </c>
      <c r="S591" t="s">
        <v>74</v>
      </c>
      <c r="T591" t="s">
        <v>10954</v>
      </c>
      <c r="U591" t="s">
        <v>10955</v>
      </c>
      <c r="V591" t="s">
        <v>10956</v>
      </c>
      <c r="W591" t="s">
        <v>10957</v>
      </c>
      <c r="X591" t="s">
        <v>10958</v>
      </c>
      <c r="Y591" t="s">
        <v>10959</v>
      </c>
      <c r="Z591" t="s">
        <v>10960</v>
      </c>
      <c r="AA591" t="s">
        <v>10961</v>
      </c>
      <c r="AB591" t="s">
        <v>10962</v>
      </c>
      <c r="AC591" t="s">
        <v>74</v>
      </c>
      <c r="AD591" t="s">
        <v>74</v>
      </c>
      <c r="AE591" t="s">
        <v>74</v>
      </c>
      <c r="AF591" t="s">
        <v>74</v>
      </c>
      <c r="AG591">
        <v>21</v>
      </c>
      <c r="AH591">
        <v>9</v>
      </c>
      <c r="AI591">
        <v>9</v>
      </c>
      <c r="AJ591">
        <v>0</v>
      </c>
      <c r="AK591">
        <v>10</v>
      </c>
      <c r="AL591" t="s">
        <v>5648</v>
      </c>
      <c r="AM591" t="s">
        <v>5649</v>
      </c>
      <c r="AN591" t="s">
        <v>5650</v>
      </c>
      <c r="AO591" t="s">
        <v>10963</v>
      </c>
      <c r="AP591" t="s">
        <v>10964</v>
      </c>
      <c r="AQ591" t="s">
        <v>74</v>
      </c>
      <c r="AR591" t="s">
        <v>10965</v>
      </c>
      <c r="AS591" t="s">
        <v>10966</v>
      </c>
      <c r="AT591" t="s">
        <v>74</v>
      </c>
      <c r="AU591">
        <v>2010</v>
      </c>
      <c r="AV591">
        <v>41</v>
      </c>
      <c r="AW591">
        <v>1</v>
      </c>
      <c r="AX591" t="s">
        <v>74</v>
      </c>
      <c r="AY591" t="s">
        <v>74</v>
      </c>
      <c r="AZ591" t="s">
        <v>74</v>
      </c>
      <c r="BA591" t="s">
        <v>74</v>
      </c>
      <c r="BB591">
        <v>45</v>
      </c>
      <c r="BC591">
        <v>49</v>
      </c>
      <c r="BD591" t="s">
        <v>74</v>
      </c>
      <c r="BE591" t="s">
        <v>10967</v>
      </c>
      <c r="BF591" t="str">
        <f>HYPERLINK("http://dx.doi.org/10.3354/cr00842","http://dx.doi.org/10.3354/cr00842")</f>
        <v>http://dx.doi.org/10.3354/cr00842</v>
      </c>
      <c r="BG591" t="s">
        <v>74</v>
      </c>
      <c r="BH591" t="s">
        <v>74</v>
      </c>
      <c r="BI591">
        <v>5</v>
      </c>
      <c r="BJ591" t="s">
        <v>973</v>
      </c>
      <c r="BK591" t="s">
        <v>102</v>
      </c>
      <c r="BL591" t="s">
        <v>974</v>
      </c>
      <c r="BM591" t="s">
        <v>10968</v>
      </c>
      <c r="BN591" t="s">
        <v>74</v>
      </c>
      <c r="BO591" t="s">
        <v>104</v>
      </c>
      <c r="BP591" t="s">
        <v>74</v>
      </c>
      <c r="BQ591" t="s">
        <v>74</v>
      </c>
      <c r="BR591" t="s">
        <v>105</v>
      </c>
      <c r="BS591" t="s">
        <v>10969</v>
      </c>
      <c r="BT591" t="str">
        <f>HYPERLINK("https%3A%2F%2Fwww.webofscience.com%2Fwos%2Fwoscc%2Ffull-record%2FWOS:000275739700006","View Full Record in Web of Science")</f>
        <v>View Full Record in Web of Science</v>
      </c>
    </row>
    <row r="592" spans="1:72" x14ac:dyDescent="0.15">
      <c r="A592" t="s">
        <v>72</v>
      </c>
      <c r="B592" t="s">
        <v>10970</v>
      </c>
      <c r="C592" t="s">
        <v>74</v>
      </c>
      <c r="D592" t="s">
        <v>74</v>
      </c>
      <c r="E592" t="s">
        <v>74</v>
      </c>
      <c r="F592" t="s">
        <v>10971</v>
      </c>
      <c r="G592" t="s">
        <v>74</v>
      </c>
      <c r="H592" t="s">
        <v>74</v>
      </c>
      <c r="I592" t="s">
        <v>10972</v>
      </c>
      <c r="J592" t="s">
        <v>10973</v>
      </c>
      <c r="K592" t="s">
        <v>74</v>
      </c>
      <c r="L592" t="s">
        <v>74</v>
      </c>
      <c r="M592" t="s">
        <v>10974</v>
      </c>
      <c r="N592" t="s">
        <v>79</v>
      </c>
      <c r="O592" t="s">
        <v>74</v>
      </c>
      <c r="P592" t="s">
        <v>74</v>
      </c>
      <c r="Q592" t="s">
        <v>74</v>
      </c>
      <c r="R592" t="s">
        <v>74</v>
      </c>
      <c r="S592" t="s">
        <v>74</v>
      </c>
      <c r="T592" t="s">
        <v>74</v>
      </c>
      <c r="U592" t="s">
        <v>74</v>
      </c>
      <c r="V592" t="s">
        <v>74</v>
      </c>
      <c r="W592" t="s">
        <v>74</v>
      </c>
      <c r="X592" t="s">
        <v>74</v>
      </c>
      <c r="Y592" t="s">
        <v>74</v>
      </c>
      <c r="Z592" t="s">
        <v>74</v>
      </c>
      <c r="AA592" t="s">
        <v>74</v>
      </c>
      <c r="AB592" t="s">
        <v>74</v>
      </c>
      <c r="AC592" t="s">
        <v>74</v>
      </c>
      <c r="AD592" t="s">
        <v>74</v>
      </c>
      <c r="AE592" t="s">
        <v>74</v>
      </c>
      <c r="AF592" t="s">
        <v>74</v>
      </c>
      <c r="AG592">
        <v>14</v>
      </c>
      <c r="AH592">
        <v>0</v>
      </c>
      <c r="AI592">
        <v>0</v>
      </c>
      <c r="AJ592">
        <v>0</v>
      </c>
      <c r="AK592">
        <v>0</v>
      </c>
      <c r="AL592" t="s">
        <v>10975</v>
      </c>
      <c r="AM592" t="s">
        <v>10976</v>
      </c>
      <c r="AN592" t="s">
        <v>10977</v>
      </c>
      <c r="AO592" t="s">
        <v>10978</v>
      </c>
      <c r="AP592" t="s">
        <v>74</v>
      </c>
      <c r="AQ592" t="s">
        <v>74</v>
      </c>
      <c r="AR592" t="s">
        <v>10979</v>
      </c>
      <c r="AS592" t="s">
        <v>10980</v>
      </c>
      <c r="AT592" t="s">
        <v>74</v>
      </c>
      <c r="AU592">
        <v>2010</v>
      </c>
      <c r="AV592">
        <v>43</v>
      </c>
      <c r="AW592" t="s">
        <v>1854</v>
      </c>
      <c r="AX592" t="s">
        <v>74</v>
      </c>
      <c r="AY592" t="s">
        <v>74</v>
      </c>
      <c r="AZ592" t="s">
        <v>152</v>
      </c>
      <c r="BA592" t="s">
        <v>74</v>
      </c>
      <c r="BB592">
        <v>5</v>
      </c>
      <c r="BC592">
        <v>34</v>
      </c>
      <c r="BD592" t="s">
        <v>74</v>
      </c>
      <c r="BE592" t="s">
        <v>74</v>
      </c>
      <c r="BF592" t="s">
        <v>74</v>
      </c>
      <c r="BG592" t="s">
        <v>74</v>
      </c>
      <c r="BH592" t="s">
        <v>74</v>
      </c>
      <c r="BI592">
        <v>30</v>
      </c>
      <c r="BJ592" t="s">
        <v>10981</v>
      </c>
      <c r="BK592" t="s">
        <v>4535</v>
      </c>
      <c r="BL592" t="s">
        <v>10982</v>
      </c>
      <c r="BM592" t="s">
        <v>10983</v>
      </c>
      <c r="BN592" t="s">
        <v>74</v>
      </c>
      <c r="BO592" t="s">
        <v>74</v>
      </c>
      <c r="BP592" t="s">
        <v>74</v>
      </c>
      <c r="BQ592" t="s">
        <v>74</v>
      </c>
      <c r="BR592" t="s">
        <v>105</v>
      </c>
      <c r="BS592" t="s">
        <v>10984</v>
      </c>
      <c r="BT592" t="str">
        <f>HYPERLINK("https%3A%2F%2Fwww.webofscience.com%2Fwos%2Fwoscc%2Ffull-record%2FWOS:000208633200002","View Full Record in Web of Science")</f>
        <v>View Full Record in Web of Science</v>
      </c>
    </row>
    <row r="593" spans="1:72" x14ac:dyDescent="0.15">
      <c r="A593" t="s">
        <v>72</v>
      </c>
      <c r="B593" t="s">
        <v>10985</v>
      </c>
      <c r="C593" t="s">
        <v>74</v>
      </c>
      <c r="D593" t="s">
        <v>74</v>
      </c>
      <c r="E593" t="s">
        <v>74</v>
      </c>
      <c r="F593" t="s">
        <v>10986</v>
      </c>
      <c r="G593" t="s">
        <v>74</v>
      </c>
      <c r="H593" t="s">
        <v>74</v>
      </c>
      <c r="I593" t="s">
        <v>10987</v>
      </c>
      <c r="J593" t="s">
        <v>10988</v>
      </c>
      <c r="K593" t="s">
        <v>74</v>
      </c>
      <c r="L593" t="s">
        <v>74</v>
      </c>
      <c r="M593" t="s">
        <v>78</v>
      </c>
      <c r="N593" t="s">
        <v>600</v>
      </c>
      <c r="O593" t="s">
        <v>74</v>
      </c>
      <c r="P593" t="s">
        <v>74</v>
      </c>
      <c r="Q593" t="s">
        <v>74</v>
      </c>
      <c r="R593" t="s">
        <v>74</v>
      </c>
      <c r="S593" t="s">
        <v>74</v>
      </c>
      <c r="T593" t="s">
        <v>10989</v>
      </c>
      <c r="U593" t="s">
        <v>10990</v>
      </c>
      <c r="V593" t="s">
        <v>10991</v>
      </c>
      <c r="W593" t="s">
        <v>10992</v>
      </c>
      <c r="X593" t="s">
        <v>10993</v>
      </c>
      <c r="Y593" t="s">
        <v>10994</v>
      </c>
      <c r="Z593" t="s">
        <v>10995</v>
      </c>
      <c r="AA593" t="s">
        <v>10996</v>
      </c>
      <c r="AB593" t="s">
        <v>10997</v>
      </c>
      <c r="AC593" t="s">
        <v>10998</v>
      </c>
      <c r="AD593" t="s">
        <v>10999</v>
      </c>
      <c r="AE593" t="s">
        <v>11000</v>
      </c>
      <c r="AF593" t="s">
        <v>74</v>
      </c>
      <c r="AG593">
        <v>67</v>
      </c>
      <c r="AH593">
        <v>37</v>
      </c>
      <c r="AI593">
        <v>44</v>
      </c>
      <c r="AJ593">
        <v>1</v>
      </c>
      <c r="AK593">
        <v>20</v>
      </c>
      <c r="AL593" t="s">
        <v>224</v>
      </c>
      <c r="AM593" t="s">
        <v>225</v>
      </c>
      <c r="AN593" t="s">
        <v>226</v>
      </c>
      <c r="AO593" t="s">
        <v>11001</v>
      </c>
      <c r="AP593" t="s">
        <v>11002</v>
      </c>
      <c r="AQ593" t="s">
        <v>74</v>
      </c>
      <c r="AR593" t="s">
        <v>11003</v>
      </c>
      <c r="AS593" t="s">
        <v>11004</v>
      </c>
      <c r="AT593" t="s">
        <v>8958</v>
      </c>
      <c r="AU593">
        <v>2010</v>
      </c>
      <c r="AV593">
        <v>155</v>
      </c>
      <c r="AW593">
        <v>1</v>
      </c>
      <c r="AX593" t="s">
        <v>74</v>
      </c>
      <c r="AY593" t="s">
        <v>74</v>
      </c>
      <c r="AZ593" t="s">
        <v>74</v>
      </c>
      <c r="BA593" t="s">
        <v>74</v>
      </c>
      <c r="BB593">
        <v>14</v>
      </c>
      <c r="BC593">
        <v>18</v>
      </c>
      <c r="BD593" t="s">
        <v>74</v>
      </c>
      <c r="BE593" t="s">
        <v>11005</v>
      </c>
      <c r="BF593" t="str">
        <f>HYPERLINK("http://dx.doi.org/10.1016/j.cbpa.2009.10.026","http://dx.doi.org/10.1016/j.cbpa.2009.10.026")</f>
        <v>http://dx.doi.org/10.1016/j.cbpa.2009.10.026</v>
      </c>
      <c r="BG593" t="s">
        <v>74</v>
      </c>
      <c r="BH593" t="s">
        <v>74</v>
      </c>
      <c r="BI593">
        <v>5</v>
      </c>
      <c r="BJ593" t="s">
        <v>11006</v>
      </c>
      <c r="BK593" t="s">
        <v>102</v>
      </c>
      <c r="BL593" t="s">
        <v>11006</v>
      </c>
      <c r="BM593" t="s">
        <v>11007</v>
      </c>
      <c r="BN593">
        <v>19878734</v>
      </c>
      <c r="BO593" t="s">
        <v>74</v>
      </c>
      <c r="BP593" t="s">
        <v>74</v>
      </c>
      <c r="BQ593" t="s">
        <v>74</v>
      </c>
      <c r="BR593" t="s">
        <v>105</v>
      </c>
      <c r="BS593" t="s">
        <v>11008</v>
      </c>
      <c r="BT593" t="str">
        <f>HYPERLINK("https%3A%2F%2Fwww.webofscience.com%2Fwos%2Fwoscc%2Ffull-record%2FWOS:000273153600003","View Full Record in Web of Science")</f>
        <v>View Full Record in Web of Science</v>
      </c>
    </row>
    <row r="594" spans="1:72" x14ac:dyDescent="0.15">
      <c r="A594" t="s">
        <v>72</v>
      </c>
      <c r="B594" t="s">
        <v>11009</v>
      </c>
      <c r="C594" t="s">
        <v>74</v>
      </c>
      <c r="D594" t="s">
        <v>74</v>
      </c>
      <c r="E594" t="s">
        <v>74</v>
      </c>
      <c r="F594" t="s">
        <v>11010</v>
      </c>
      <c r="G594" t="s">
        <v>74</v>
      </c>
      <c r="H594" t="s">
        <v>74</v>
      </c>
      <c r="I594" t="s">
        <v>11011</v>
      </c>
      <c r="J594" t="s">
        <v>11012</v>
      </c>
      <c r="K594" t="s">
        <v>74</v>
      </c>
      <c r="L594" t="s">
        <v>74</v>
      </c>
      <c r="M594" t="s">
        <v>78</v>
      </c>
      <c r="N594" t="s">
        <v>79</v>
      </c>
      <c r="O594" t="s">
        <v>74</v>
      </c>
      <c r="P594" t="s">
        <v>74</v>
      </c>
      <c r="Q594" t="s">
        <v>74</v>
      </c>
      <c r="R594" t="s">
        <v>74</v>
      </c>
      <c r="S594" t="s">
        <v>74</v>
      </c>
      <c r="T594" t="s">
        <v>11013</v>
      </c>
      <c r="U594" t="s">
        <v>74</v>
      </c>
      <c r="V594" t="s">
        <v>11014</v>
      </c>
      <c r="W594" t="s">
        <v>11015</v>
      </c>
      <c r="X594" t="s">
        <v>11016</v>
      </c>
      <c r="Y594" t="s">
        <v>11017</v>
      </c>
      <c r="Z594" t="s">
        <v>11018</v>
      </c>
      <c r="AA594" t="s">
        <v>74</v>
      </c>
      <c r="AB594" t="s">
        <v>11019</v>
      </c>
      <c r="AC594" t="s">
        <v>11020</v>
      </c>
      <c r="AD594" t="s">
        <v>11021</v>
      </c>
      <c r="AE594" t="s">
        <v>11022</v>
      </c>
      <c r="AF594" t="s">
        <v>74</v>
      </c>
      <c r="AG594">
        <v>9</v>
      </c>
      <c r="AH594">
        <v>0</v>
      </c>
      <c r="AI594">
        <v>0</v>
      </c>
      <c r="AJ594">
        <v>0</v>
      </c>
      <c r="AK594">
        <v>9</v>
      </c>
      <c r="AL594" t="s">
        <v>11023</v>
      </c>
      <c r="AM594" t="s">
        <v>10536</v>
      </c>
      <c r="AN594" t="s">
        <v>11024</v>
      </c>
      <c r="AO594" t="s">
        <v>11025</v>
      </c>
      <c r="AP594" t="s">
        <v>74</v>
      </c>
      <c r="AQ594" t="s">
        <v>74</v>
      </c>
      <c r="AR594" t="s">
        <v>11026</v>
      </c>
      <c r="AS594" t="s">
        <v>11027</v>
      </c>
      <c r="AT594" t="s">
        <v>74</v>
      </c>
      <c r="AU594">
        <v>2010</v>
      </c>
      <c r="AV594">
        <v>63</v>
      </c>
      <c r="AW594">
        <v>6</v>
      </c>
      <c r="AX594" t="s">
        <v>74</v>
      </c>
      <c r="AY594" t="s">
        <v>74</v>
      </c>
      <c r="AZ594" t="s">
        <v>74</v>
      </c>
      <c r="BA594" t="s">
        <v>74</v>
      </c>
      <c r="BB594">
        <v>859</v>
      </c>
      <c r="BC594">
        <v>866</v>
      </c>
      <c r="BD594" t="s">
        <v>74</v>
      </c>
      <c r="BE594" t="s">
        <v>74</v>
      </c>
      <c r="BF594" t="s">
        <v>74</v>
      </c>
      <c r="BG594" t="s">
        <v>74</v>
      </c>
      <c r="BH594" t="s">
        <v>74</v>
      </c>
      <c r="BI594">
        <v>8</v>
      </c>
      <c r="BJ594" t="s">
        <v>323</v>
      </c>
      <c r="BK594" t="s">
        <v>102</v>
      </c>
      <c r="BL594" t="s">
        <v>324</v>
      </c>
      <c r="BM594" t="s">
        <v>11028</v>
      </c>
      <c r="BN594" t="s">
        <v>74</v>
      </c>
      <c r="BO594" t="s">
        <v>74</v>
      </c>
      <c r="BP594" t="s">
        <v>74</v>
      </c>
      <c r="BQ594" t="s">
        <v>74</v>
      </c>
      <c r="BR594" t="s">
        <v>105</v>
      </c>
      <c r="BS594" t="s">
        <v>11029</v>
      </c>
      <c r="BT594" t="str">
        <f>HYPERLINK("https%3A%2F%2Fwww.webofscience.com%2Fwos%2Fwoscc%2Ffull-record%2FWOS:000279857900011","View Full Record in Web of Science")</f>
        <v>View Full Record in Web of Science</v>
      </c>
    </row>
    <row r="595" spans="1:72" x14ac:dyDescent="0.15">
      <c r="A595" t="s">
        <v>72</v>
      </c>
      <c r="B595" t="s">
        <v>11030</v>
      </c>
      <c r="C595" t="s">
        <v>74</v>
      </c>
      <c r="D595" t="s">
        <v>74</v>
      </c>
      <c r="E595" t="s">
        <v>74</v>
      </c>
      <c r="F595" t="s">
        <v>11031</v>
      </c>
      <c r="G595" t="s">
        <v>74</v>
      </c>
      <c r="H595" t="s">
        <v>74</v>
      </c>
      <c r="I595" t="s">
        <v>11032</v>
      </c>
      <c r="J595" t="s">
        <v>11012</v>
      </c>
      <c r="K595" t="s">
        <v>74</v>
      </c>
      <c r="L595" t="s">
        <v>74</v>
      </c>
      <c r="M595" t="s">
        <v>78</v>
      </c>
      <c r="N595" t="s">
        <v>79</v>
      </c>
      <c r="O595" t="s">
        <v>74</v>
      </c>
      <c r="P595" t="s">
        <v>74</v>
      </c>
      <c r="Q595" t="s">
        <v>74</v>
      </c>
      <c r="R595" t="s">
        <v>74</v>
      </c>
      <c r="S595" t="s">
        <v>74</v>
      </c>
      <c r="T595" t="s">
        <v>11033</v>
      </c>
      <c r="U595" t="s">
        <v>11034</v>
      </c>
      <c r="V595" t="s">
        <v>11035</v>
      </c>
      <c r="W595" t="s">
        <v>11036</v>
      </c>
      <c r="X595" t="s">
        <v>11037</v>
      </c>
      <c r="Y595" t="s">
        <v>11038</v>
      </c>
      <c r="Z595" t="s">
        <v>74</v>
      </c>
      <c r="AA595" t="s">
        <v>11039</v>
      </c>
      <c r="AB595" t="s">
        <v>11040</v>
      </c>
      <c r="AC595" t="s">
        <v>11041</v>
      </c>
      <c r="AD595" t="s">
        <v>11042</v>
      </c>
      <c r="AE595" t="s">
        <v>11043</v>
      </c>
      <c r="AF595" t="s">
        <v>74</v>
      </c>
      <c r="AG595">
        <v>21</v>
      </c>
      <c r="AH595">
        <v>1</v>
      </c>
      <c r="AI595">
        <v>3</v>
      </c>
      <c r="AJ595">
        <v>0</v>
      </c>
      <c r="AK595">
        <v>7</v>
      </c>
      <c r="AL595" t="s">
        <v>11023</v>
      </c>
      <c r="AM595" t="s">
        <v>10536</v>
      </c>
      <c r="AN595" t="s">
        <v>11024</v>
      </c>
      <c r="AO595" t="s">
        <v>11025</v>
      </c>
      <c r="AP595" t="s">
        <v>74</v>
      </c>
      <c r="AQ595" t="s">
        <v>74</v>
      </c>
      <c r="AR595" t="s">
        <v>11026</v>
      </c>
      <c r="AS595" t="s">
        <v>11027</v>
      </c>
      <c r="AT595" t="s">
        <v>74</v>
      </c>
      <c r="AU595">
        <v>2010</v>
      </c>
      <c r="AV595">
        <v>63</v>
      </c>
      <c r="AW595">
        <v>7</v>
      </c>
      <c r="AX595" t="s">
        <v>74</v>
      </c>
      <c r="AY595" t="s">
        <v>74</v>
      </c>
      <c r="AZ595" t="s">
        <v>74</v>
      </c>
      <c r="BA595" t="s">
        <v>74</v>
      </c>
      <c r="BB595">
        <v>1009</v>
      </c>
      <c r="BC595">
        <v>1016</v>
      </c>
      <c r="BD595" t="s">
        <v>74</v>
      </c>
      <c r="BE595" t="s">
        <v>74</v>
      </c>
      <c r="BF595" t="s">
        <v>74</v>
      </c>
      <c r="BG595" t="s">
        <v>74</v>
      </c>
      <c r="BH595" t="s">
        <v>74</v>
      </c>
      <c r="BI595">
        <v>8</v>
      </c>
      <c r="BJ595" t="s">
        <v>323</v>
      </c>
      <c r="BK595" t="s">
        <v>102</v>
      </c>
      <c r="BL595" t="s">
        <v>324</v>
      </c>
      <c r="BM595" t="s">
        <v>11044</v>
      </c>
      <c r="BN595" t="s">
        <v>74</v>
      </c>
      <c r="BO595" t="s">
        <v>74</v>
      </c>
      <c r="BP595" t="s">
        <v>74</v>
      </c>
      <c r="BQ595" t="s">
        <v>74</v>
      </c>
      <c r="BR595" t="s">
        <v>105</v>
      </c>
      <c r="BS595" t="s">
        <v>11045</v>
      </c>
      <c r="BT595" t="str">
        <f>HYPERLINK("https%3A%2F%2Fwww.webofscience.com%2Fwos%2Fwoscc%2Ffull-record%2FWOS:000281236700010","View Full Record in Web of Science")</f>
        <v>View Full Record in Web of Science</v>
      </c>
    </row>
    <row r="596" spans="1:72" x14ac:dyDescent="0.15">
      <c r="A596" t="s">
        <v>72</v>
      </c>
      <c r="B596" t="s">
        <v>11046</v>
      </c>
      <c r="C596" t="s">
        <v>74</v>
      </c>
      <c r="D596" t="s">
        <v>74</v>
      </c>
      <c r="E596" t="s">
        <v>74</v>
      </c>
      <c r="F596" t="s">
        <v>11047</v>
      </c>
      <c r="G596" t="s">
        <v>74</v>
      </c>
      <c r="H596" t="s">
        <v>74</v>
      </c>
      <c r="I596" t="s">
        <v>11048</v>
      </c>
      <c r="J596" t="s">
        <v>11012</v>
      </c>
      <c r="K596" t="s">
        <v>74</v>
      </c>
      <c r="L596" t="s">
        <v>74</v>
      </c>
      <c r="M596" t="s">
        <v>78</v>
      </c>
      <c r="N596" t="s">
        <v>79</v>
      </c>
      <c r="O596" t="s">
        <v>74</v>
      </c>
      <c r="P596" t="s">
        <v>74</v>
      </c>
      <c r="Q596" t="s">
        <v>74</v>
      </c>
      <c r="R596" t="s">
        <v>74</v>
      </c>
      <c r="S596" t="s">
        <v>74</v>
      </c>
      <c r="T596" t="s">
        <v>11049</v>
      </c>
      <c r="U596" t="s">
        <v>11050</v>
      </c>
      <c r="V596" t="s">
        <v>11051</v>
      </c>
      <c r="W596" t="s">
        <v>11052</v>
      </c>
      <c r="X596" t="s">
        <v>11053</v>
      </c>
      <c r="Y596" t="s">
        <v>11054</v>
      </c>
      <c r="Z596" t="s">
        <v>11055</v>
      </c>
      <c r="AA596" t="s">
        <v>74</v>
      </c>
      <c r="AB596" t="s">
        <v>11056</v>
      </c>
      <c r="AC596" t="s">
        <v>11057</v>
      </c>
      <c r="AD596" t="s">
        <v>11058</v>
      </c>
      <c r="AE596" t="s">
        <v>11059</v>
      </c>
      <c r="AF596" t="s">
        <v>74</v>
      </c>
      <c r="AG596">
        <v>16</v>
      </c>
      <c r="AH596">
        <v>1</v>
      </c>
      <c r="AI596">
        <v>1</v>
      </c>
      <c r="AJ596">
        <v>0</v>
      </c>
      <c r="AK596">
        <v>1</v>
      </c>
      <c r="AL596" t="s">
        <v>11023</v>
      </c>
      <c r="AM596" t="s">
        <v>10536</v>
      </c>
      <c r="AN596" t="s">
        <v>11024</v>
      </c>
      <c r="AO596" t="s">
        <v>11025</v>
      </c>
      <c r="AP596" t="s">
        <v>74</v>
      </c>
      <c r="AQ596" t="s">
        <v>74</v>
      </c>
      <c r="AR596" t="s">
        <v>11026</v>
      </c>
      <c r="AS596" t="s">
        <v>11027</v>
      </c>
      <c r="AT596" t="s">
        <v>74</v>
      </c>
      <c r="AU596">
        <v>2010</v>
      </c>
      <c r="AV596">
        <v>63</v>
      </c>
      <c r="AW596">
        <v>10</v>
      </c>
      <c r="AX596" t="s">
        <v>74</v>
      </c>
      <c r="AY596" t="s">
        <v>74</v>
      </c>
      <c r="AZ596" t="s">
        <v>74</v>
      </c>
      <c r="BA596" t="s">
        <v>74</v>
      </c>
      <c r="BB596">
        <v>1493</v>
      </c>
      <c r="BC596">
        <v>1504</v>
      </c>
      <c r="BD596" t="s">
        <v>74</v>
      </c>
      <c r="BE596" t="s">
        <v>74</v>
      </c>
      <c r="BF596" t="s">
        <v>74</v>
      </c>
      <c r="BG596" t="s">
        <v>74</v>
      </c>
      <c r="BH596" t="s">
        <v>74</v>
      </c>
      <c r="BI596">
        <v>12</v>
      </c>
      <c r="BJ596" t="s">
        <v>323</v>
      </c>
      <c r="BK596" t="s">
        <v>102</v>
      </c>
      <c r="BL596" t="s">
        <v>324</v>
      </c>
      <c r="BM596" t="s">
        <v>11060</v>
      </c>
      <c r="BN596" t="s">
        <v>74</v>
      </c>
      <c r="BO596" t="s">
        <v>74</v>
      </c>
      <c r="BP596" t="s">
        <v>74</v>
      </c>
      <c r="BQ596" t="s">
        <v>74</v>
      </c>
      <c r="BR596" t="s">
        <v>105</v>
      </c>
      <c r="BS596" t="s">
        <v>11061</v>
      </c>
      <c r="BT596" t="str">
        <f>HYPERLINK("https%3A%2F%2Fwww.webofscience.com%2Fwos%2Fwoscc%2Ffull-record%2FWOS:000284440300014","View Full Record in Web of Science")</f>
        <v>View Full Record in Web of Science</v>
      </c>
    </row>
    <row r="597" spans="1:72" x14ac:dyDescent="0.15">
      <c r="A597" t="s">
        <v>72</v>
      </c>
      <c r="B597" t="s">
        <v>11062</v>
      </c>
      <c r="C597" t="s">
        <v>74</v>
      </c>
      <c r="D597" t="s">
        <v>74</v>
      </c>
      <c r="E597" t="s">
        <v>74</v>
      </c>
      <c r="F597" t="s">
        <v>11063</v>
      </c>
      <c r="G597" t="s">
        <v>74</v>
      </c>
      <c r="H597" t="s">
        <v>74</v>
      </c>
      <c r="I597" t="s">
        <v>11064</v>
      </c>
      <c r="J597" t="s">
        <v>11012</v>
      </c>
      <c r="K597" t="s">
        <v>74</v>
      </c>
      <c r="L597" t="s">
        <v>74</v>
      </c>
      <c r="M597" t="s">
        <v>78</v>
      </c>
      <c r="N597" t="s">
        <v>79</v>
      </c>
      <c r="O597" t="s">
        <v>74</v>
      </c>
      <c r="P597" t="s">
        <v>74</v>
      </c>
      <c r="Q597" t="s">
        <v>74</v>
      </c>
      <c r="R597" t="s">
        <v>74</v>
      </c>
      <c r="S597" t="s">
        <v>74</v>
      </c>
      <c r="T597" t="s">
        <v>11065</v>
      </c>
      <c r="U597" t="s">
        <v>74</v>
      </c>
      <c r="V597" t="s">
        <v>11066</v>
      </c>
      <c r="W597" t="s">
        <v>11067</v>
      </c>
      <c r="X597" t="s">
        <v>11068</v>
      </c>
      <c r="Y597" t="s">
        <v>11069</v>
      </c>
      <c r="Z597" t="s">
        <v>74</v>
      </c>
      <c r="AA597" t="s">
        <v>74</v>
      </c>
      <c r="AB597" t="s">
        <v>74</v>
      </c>
      <c r="AC597" t="s">
        <v>74</v>
      </c>
      <c r="AD597" t="s">
        <v>74</v>
      </c>
      <c r="AE597" t="s">
        <v>74</v>
      </c>
      <c r="AF597" t="s">
        <v>74</v>
      </c>
      <c r="AG597">
        <v>10</v>
      </c>
      <c r="AH597">
        <v>2</v>
      </c>
      <c r="AI597">
        <v>3</v>
      </c>
      <c r="AJ597">
        <v>0</v>
      </c>
      <c r="AK597">
        <v>2</v>
      </c>
      <c r="AL597" t="s">
        <v>11023</v>
      </c>
      <c r="AM597" t="s">
        <v>10536</v>
      </c>
      <c r="AN597" t="s">
        <v>11024</v>
      </c>
      <c r="AO597" t="s">
        <v>11025</v>
      </c>
      <c r="AP597" t="s">
        <v>74</v>
      </c>
      <c r="AQ597" t="s">
        <v>74</v>
      </c>
      <c r="AR597" t="s">
        <v>11026</v>
      </c>
      <c r="AS597" t="s">
        <v>11027</v>
      </c>
      <c r="AT597" t="s">
        <v>74</v>
      </c>
      <c r="AU597">
        <v>2010</v>
      </c>
      <c r="AV597">
        <v>63</v>
      </c>
      <c r="AW597">
        <v>11</v>
      </c>
      <c r="AX597" t="s">
        <v>74</v>
      </c>
      <c r="AY597" t="s">
        <v>74</v>
      </c>
      <c r="AZ597" t="s">
        <v>74</v>
      </c>
      <c r="BA597" t="s">
        <v>74</v>
      </c>
      <c r="BB597">
        <v>1667</v>
      </c>
      <c r="BC597">
        <v>1674</v>
      </c>
      <c r="BD597" t="s">
        <v>74</v>
      </c>
      <c r="BE597" t="s">
        <v>74</v>
      </c>
      <c r="BF597" t="s">
        <v>74</v>
      </c>
      <c r="BG597" t="s">
        <v>74</v>
      </c>
      <c r="BH597" t="s">
        <v>74</v>
      </c>
      <c r="BI597">
        <v>8</v>
      </c>
      <c r="BJ597" t="s">
        <v>323</v>
      </c>
      <c r="BK597" t="s">
        <v>102</v>
      </c>
      <c r="BL597" t="s">
        <v>324</v>
      </c>
      <c r="BM597" t="s">
        <v>11070</v>
      </c>
      <c r="BN597" t="s">
        <v>74</v>
      </c>
      <c r="BO597" t="s">
        <v>74</v>
      </c>
      <c r="BP597" t="s">
        <v>74</v>
      </c>
      <c r="BQ597" t="s">
        <v>74</v>
      </c>
      <c r="BR597" t="s">
        <v>105</v>
      </c>
      <c r="BS597" t="s">
        <v>11071</v>
      </c>
      <c r="BT597" t="str">
        <f>HYPERLINK("https%3A%2F%2Fwww.webofscience.com%2Fwos%2Fwoscc%2Ffull-record%2FWOS:000285275400017","View Full Record in Web of Science")</f>
        <v>View Full Record in Web of Science</v>
      </c>
    </row>
    <row r="598" spans="1:72" x14ac:dyDescent="0.15">
      <c r="A598" t="s">
        <v>8563</v>
      </c>
      <c r="B598" t="s">
        <v>11072</v>
      </c>
      <c r="C598" t="s">
        <v>11072</v>
      </c>
      <c r="D598" t="s">
        <v>74</v>
      </c>
      <c r="E598" t="s">
        <v>74</v>
      </c>
      <c r="F598" t="s">
        <v>11073</v>
      </c>
      <c r="G598" t="s">
        <v>11072</v>
      </c>
      <c r="H598" t="s">
        <v>74</v>
      </c>
      <c r="I598" t="s">
        <v>11074</v>
      </c>
      <c r="J598" t="s">
        <v>11075</v>
      </c>
      <c r="K598" t="s">
        <v>74</v>
      </c>
      <c r="L598" t="s">
        <v>74</v>
      </c>
      <c r="M598" t="s">
        <v>78</v>
      </c>
      <c r="N598" t="s">
        <v>8859</v>
      </c>
      <c r="O598" t="s">
        <v>74</v>
      </c>
      <c r="P598" t="s">
        <v>74</v>
      </c>
      <c r="Q598" t="s">
        <v>74</v>
      </c>
      <c r="R598" t="s">
        <v>74</v>
      </c>
      <c r="S598" t="s">
        <v>74</v>
      </c>
      <c r="T598" t="s">
        <v>74</v>
      </c>
      <c r="U598" t="s">
        <v>74</v>
      </c>
      <c r="V598" t="s">
        <v>74</v>
      </c>
      <c r="W598" t="s">
        <v>11076</v>
      </c>
      <c r="X598" t="s">
        <v>11077</v>
      </c>
      <c r="Y598" t="s">
        <v>11078</v>
      </c>
      <c r="Z598" t="s">
        <v>74</v>
      </c>
      <c r="AA598" t="s">
        <v>11079</v>
      </c>
      <c r="AB598" t="s">
        <v>11080</v>
      </c>
      <c r="AC598" t="s">
        <v>74</v>
      </c>
      <c r="AD598" t="s">
        <v>74</v>
      </c>
      <c r="AE598" t="s">
        <v>74</v>
      </c>
      <c r="AF598" t="s">
        <v>74</v>
      </c>
      <c r="AG598">
        <v>0</v>
      </c>
      <c r="AH598">
        <v>0</v>
      </c>
      <c r="AI598">
        <v>0</v>
      </c>
      <c r="AJ598">
        <v>0</v>
      </c>
      <c r="AK598">
        <v>0</v>
      </c>
      <c r="AL598" t="s">
        <v>11081</v>
      </c>
      <c r="AM598" t="s">
        <v>11082</v>
      </c>
      <c r="AN598" t="s">
        <v>11083</v>
      </c>
      <c r="AO598" t="s">
        <v>74</v>
      </c>
      <c r="AP598" t="s">
        <v>74</v>
      </c>
      <c r="AQ598" t="s">
        <v>11084</v>
      </c>
      <c r="AR598" t="s">
        <v>74</v>
      </c>
      <c r="AS598" t="s">
        <v>74</v>
      </c>
      <c r="AT598" t="s">
        <v>74</v>
      </c>
      <c r="AU598">
        <v>2010</v>
      </c>
      <c r="AV598" t="s">
        <v>74</v>
      </c>
      <c r="AW598" t="s">
        <v>74</v>
      </c>
      <c r="AX598" t="s">
        <v>74</v>
      </c>
      <c r="AY598" t="s">
        <v>74</v>
      </c>
      <c r="AZ598" t="s">
        <v>74</v>
      </c>
      <c r="BA598" t="s">
        <v>74</v>
      </c>
      <c r="BB598">
        <v>103</v>
      </c>
      <c r="BC598">
        <v>109</v>
      </c>
      <c r="BD598" t="s">
        <v>74</v>
      </c>
      <c r="BE598" t="s">
        <v>11085</v>
      </c>
      <c r="BF598" t="str">
        <f>HYPERLINK("http://dx.doi.org/10.1079/9781845936655.0103","http://dx.doi.org/10.1079/9781845936655.0103")</f>
        <v>http://dx.doi.org/10.1079/9781845936655.0103</v>
      </c>
      <c r="BG598" t="s">
        <v>11086</v>
      </c>
      <c r="BH598" t="s">
        <v>74</v>
      </c>
      <c r="BI598">
        <v>7</v>
      </c>
      <c r="BJ598" t="s">
        <v>11087</v>
      </c>
      <c r="BK598" t="s">
        <v>11088</v>
      </c>
      <c r="BL598" t="s">
        <v>11089</v>
      </c>
      <c r="BM598" t="s">
        <v>11090</v>
      </c>
      <c r="BN598" t="s">
        <v>74</v>
      </c>
      <c r="BO598" t="s">
        <v>74</v>
      </c>
      <c r="BP598" t="s">
        <v>74</v>
      </c>
      <c r="BQ598" t="s">
        <v>74</v>
      </c>
      <c r="BR598" t="s">
        <v>105</v>
      </c>
      <c r="BS598" t="s">
        <v>11091</v>
      </c>
      <c r="BT598" t="str">
        <f>HYPERLINK("https%3A%2F%2Fwww.webofscience.com%2Fwos%2Fwoscc%2Ffull-record%2FWOS:000293122800010","View Full Record in Web of Science")</f>
        <v>View Full Record in Web of Science</v>
      </c>
    </row>
    <row r="599" spans="1:72" x14ac:dyDescent="0.15">
      <c r="A599" t="s">
        <v>8697</v>
      </c>
      <c r="B599" t="s">
        <v>11092</v>
      </c>
      <c r="C599" t="s">
        <v>74</v>
      </c>
      <c r="D599" t="s">
        <v>11093</v>
      </c>
      <c r="E599" t="s">
        <v>74</v>
      </c>
      <c r="F599" t="s">
        <v>11094</v>
      </c>
      <c r="G599" t="s">
        <v>74</v>
      </c>
      <c r="H599" t="s">
        <v>74</v>
      </c>
      <c r="I599" t="s">
        <v>11095</v>
      </c>
      <c r="J599" t="s">
        <v>11096</v>
      </c>
      <c r="K599" t="s">
        <v>11097</v>
      </c>
      <c r="L599" t="s">
        <v>74</v>
      </c>
      <c r="M599" t="s">
        <v>78</v>
      </c>
      <c r="N599" t="s">
        <v>8859</v>
      </c>
      <c r="O599" t="s">
        <v>74</v>
      </c>
      <c r="P599" t="s">
        <v>74</v>
      </c>
      <c r="Q599" t="s">
        <v>74</v>
      </c>
      <c r="R599" t="s">
        <v>74</v>
      </c>
      <c r="S599" t="s">
        <v>74</v>
      </c>
      <c r="T599" t="s">
        <v>74</v>
      </c>
      <c r="U599" t="s">
        <v>11098</v>
      </c>
      <c r="V599" t="s">
        <v>11099</v>
      </c>
      <c r="W599" t="s">
        <v>11100</v>
      </c>
      <c r="X599" t="s">
        <v>11101</v>
      </c>
      <c r="Y599" t="s">
        <v>11102</v>
      </c>
      <c r="Z599" t="s">
        <v>11103</v>
      </c>
      <c r="AA599" t="s">
        <v>11104</v>
      </c>
      <c r="AB599" t="s">
        <v>74</v>
      </c>
      <c r="AC599" t="s">
        <v>74</v>
      </c>
      <c r="AD599" t="s">
        <v>74</v>
      </c>
      <c r="AE599" t="s">
        <v>74</v>
      </c>
      <c r="AF599" t="s">
        <v>74</v>
      </c>
      <c r="AG599">
        <v>65</v>
      </c>
      <c r="AH599">
        <v>9</v>
      </c>
      <c r="AI599">
        <v>11</v>
      </c>
      <c r="AJ599">
        <v>0</v>
      </c>
      <c r="AK599">
        <v>0</v>
      </c>
      <c r="AL599" t="s">
        <v>11105</v>
      </c>
      <c r="AM599" t="s">
        <v>4508</v>
      </c>
      <c r="AN599" t="s">
        <v>11106</v>
      </c>
      <c r="AO599" t="s">
        <v>11107</v>
      </c>
      <c r="AP599" t="s">
        <v>74</v>
      </c>
      <c r="AQ599" t="s">
        <v>11108</v>
      </c>
      <c r="AR599" t="s">
        <v>11109</v>
      </c>
      <c r="AS599" t="s">
        <v>11110</v>
      </c>
      <c r="AT599" t="s">
        <v>74</v>
      </c>
      <c r="AU599">
        <v>2010</v>
      </c>
      <c r="AV599">
        <v>335</v>
      </c>
      <c r="AW599" t="s">
        <v>74</v>
      </c>
      <c r="AX599" t="s">
        <v>74</v>
      </c>
      <c r="AY599" t="s">
        <v>74</v>
      </c>
      <c r="AZ599" t="s">
        <v>74</v>
      </c>
      <c r="BA599" t="s">
        <v>74</v>
      </c>
      <c r="BB599">
        <v>189</v>
      </c>
      <c r="BC599">
        <v>205</v>
      </c>
      <c r="BD599" t="s">
        <v>74</v>
      </c>
      <c r="BE599" t="s">
        <v>11111</v>
      </c>
      <c r="BF599" t="str">
        <f>HYPERLINK("http://dx.doi.org/10.1144/SP335.9","http://dx.doi.org/10.1144/SP335.9")</f>
        <v>http://dx.doi.org/10.1144/SP335.9</v>
      </c>
      <c r="BG599" t="s">
        <v>74</v>
      </c>
      <c r="BH599" t="s">
        <v>74</v>
      </c>
      <c r="BI599">
        <v>17</v>
      </c>
      <c r="BJ599" t="s">
        <v>11112</v>
      </c>
      <c r="BK599" t="s">
        <v>8579</v>
      </c>
      <c r="BL599" t="s">
        <v>11112</v>
      </c>
      <c r="BM599" t="s">
        <v>11113</v>
      </c>
      <c r="BN599" t="s">
        <v>74</v>
      </c>
      <c r="BO599" t="s">
        <v>74</v>
      </c>
      <c r="BP599" t="s">
        <v>74</v>
      </c>
      <c r="BQ599" t="s">
        <v>74</v>
      </c>
      <c r="BR599" t="s">
        <v>105</v>
      </c>
      <c r="BS599" t="s">
        <v>11114</v>
      </c>
      <c r="BT599" t="str">
        <f>HYPERLINK("https%3A%2F%2Fwww.webofscience.com%2Fwos%2Fwoscc%2Ffull-record%2FWOS:000288760800009","View Full Record in Web of Science")</f>
        <v>View Full Record in Web of Science</v>
      </c>
    </row>
    <row r="600" spans="1:72" x14ac:dyDescent="0.15">
      <c r="A600" t="s">
        <v>8697</v>
      </c>
      <c r="B600" t="s">
        <v>11115</v>
      </c>
      <c r="C600" t="s">
        <v>11116</v>
      </c>
      <c r="D600" t="s">
        <v>74</v>
      </c>
      <c r="E600" t="s">
        <v>74</v>
      </c>
      <c r="F600" t="s">
        <v>11117</v>
      </c>
      <c r="G600" t="s">
        <v>11116</v>
      </c>
      <c r="H600" t="s">
        <v>74</v>
      </c>
      <c r="I600" t="s">
        <v>11118</v>
      </c>
      <c r="J600" t="s">
        <v>11119</v>
      </c>
      <c r="K600" t="s">
        <v>11120</v>
      </c>
      <c r="L600" t="s">
        <v>74</v>
      </c>
      <c r="M600" t="s">
        <v>78</v>
      </c>
      <c r="N600" t="s">
        <v>8704</v>
      </c>
      <c r="O600" t="s">
        <v>74</v>
      </c>
      <c r="P600" t="s">
        <v>74</v>
      </c>
      <c r="Q600" t="s">
        <v>74</v>
      </c>
      <c r="R600" t="s">
        <v>74</v>
      </c>
      <c r="S600" t="s">
        <v>74</v>
      </c>
      <c r="T600" t="s">
        <v>74</v>
      </c>
      <c r="U600" t="s">
        <v>11121</v>
      </c>
      <c r="V600" t="s">
        <v>74</v>
      </c>
      <c r="W600" t="s">
        <v>74</v>
      </c>
      <c r="X600" t="s">
        <v>74</v>
      </c>
      <c r="Y600" t="s">
        <v>74</v>
      </c>
      <c r="Z600" t="s">
        <v>74</v>
      </c>
      <c r="AA600" t="s">
        <v>11122</v>
      </c>
      <c r="AB600" t="s">
        <v>11123</v>
      </c>
      <c r="AC600" t="s">
        <v>74</v>
      </c>
      <c r="AD600" t="s">
        <v>74</v>
      </c>
      <c r="AE600" t="s">
        <v>74</v>
      </c>
      <c r="AF600" t="s">
        <v>74</v>
      </c>
      <c r="AG600">
        <v>255</v>
      </c>
      <c r="AH600">
        <v>1</v>
      </c>
      <c r="AI600">
        <v>1</v>
      </c>
      <c r="AJ600">
        <v>0</v>
      </c>
      <c r="AK600">
        <v>2</v>
      </c>
      <c r="AL600" t="s">
        <v>10372</v>
      </c>
      <c r="AM600" t="s">
        <v>10373</v>
      </c>
      <c r="AN600" t="s">
        <v>11124</v>
      </c>
      <c r="AO600" t="s">
        <v>11125</v>
      </c>
      <c r="AP600" t="s">
        <v>74</v>
      </c>
      <c r="AQ600" t="s">
        <v>11126</v>
      </c>
      <c r="AR600" t="s">
        <v>11127</v>
      </c>
      <c r="AS600" t="s">
        <v>11128</v>
      </c>
      <c r="AT600" t="s">
        <v>74</v>
      </c>
      <c r="AU600">
        <v>2010</v>
      </c>
      <c r="AV600">
        <v>12</v>
      </c>
      <c r="AW600" t="s">
        <v>74</v>
      </c>
      <c r="AX600" t="s">
        <v>74</v>
      </c>
      <c r="AY600" t="s">
        <v>74</v>
      </c>
      <c r="AZ600" t="s">
        <v>74</v>
      </c>
      <c r="BA600" t="s">
        <v>74</v>
      </c>
      <c r="BB600" t="s">
        <v>11129</v>
      </c>
      <c r="BC600" t="s">
        <v>1802</v>
      </c>
      <c r="BD600" t="s">
        <v>74</v>
      </c>
      <c r="BE600" t="s">
        <v>74</v>
      </c>
      <c r="BF600" t="s">
        <v>74</v>
      </c>
      <c r="BG600" t="s">
        <v>11130</v>
      </c>
      <c r="BH600" t="s">
        <v>74</v>
      </c>
      <c r="BI600">
        <v>15</v>
      </c>
      <c r="BJ600" t="s">
        <v>1856</v>
      </c>
      <c r="BK600" t="s">
        <v>8579</v>
      </c>
      <c r="BL600" t="s">
        <v>1857</v>
      </c>
      <c r="BM600" t="s">
        <v>11131</v>
      </c>
      <c r="BN600" t="s">
        <v>74</v>
      </c>
      <c r="BO600" t="s">
        <v>74</v>
      </c>
      <c r="BP600" t="s">
        <v>74</v>
      </c>
      <c r="BQ600" t="s">
        <v>74</v>
      </c>
      <c r="BR600" t="s">
        <v>105</v>
      </c>
      <c r="BS600" t="s">
        <v>11132</v>
      </c>
      <c r="BT600" t="str">
        <f>HYPERLINK("https%3A%2F%2Fwww.webofscience.com%2Fwos%2Fwoscc%2Ffull-record%2FWOS:000366167900001","View Full Record in Web of Science")</f>
        <v>View Full Record in Web of Science</v>
      </c>
    </row>
    <row r="601" spans="1:72" x14ac:dyDescent="0.15">
      <c r="A601" t="s">
        <v>8697</v>
      </c>
      <c r="B601" t="s">
        <v>11115</v>
      </c>
      <c r="C601" t="s">
        <v>11116</v>
      </c>
      <c r="D601" t="s">
        <v>74</v>
      </c>
      <c r="E601" t="s">
        <v>74</v>
      </c>
      <c r="F601" t="s">
        <v>11117</v>
      </c>
      <c r="G601" t="s">
        <v>11116</v>
      </c>
      <c r="H601" t="s">
        <v>74</v>
      </c>
      <c r="I601" t="s">
        <v>11133</v>
      </c>
      <c r="J601" t="s">
        <v>11119</v>
      </c>
      <c r="K601" t="s">
        <v>11120</v>
      </c>
      <c r="L601" t="s">
        <v>74</v>
      </c>
      <c r="M601" t="s">
        <v>78</v>
      </c>
      <c r="N601" t="s">
        <v>8859</v>
      </c>
      <c r="O601" t="s">
        <v>74</v>
      </c>
      <c r="P601" t="s">
        <v>74</v>
      </c>
      <c r="Q601" t="s">
        <v>74</v>
      </c>
      <c r="R601" t="s">
        <v>74</v>
      </c>
      <c r="S601" t="s">
        <v>74</v>
      </c>
      <c r="T601" t="s">
        <v>74</v>
      </c>
      <c r="U601" t="s">
        <v>74</v>
      </c>
      <c r="V601" t="s">
        <v>11134</v>
      </c>
      <c r="W601" t="s">
        <v>74</v>
      </c>
      <c r="X601" t="s">
        <v>74</v>
      </c>
      <c r="Y601" t="s">
        <v>74</v>
      </c>
      <c r="Z601" t="s">
        <v>74</v>
      </c>
      <c r="AA601" t="s">
        <v>11122</v>
      </c>
      <c r="AB601" t="s">
        <v>11123</v>
      </c>
      <c r="AC601" t="s">
        <v>74</v>
      </c>
      <c r="AD601" t="s">
        <v>74</v>
      </c>
      <c r="AE601" t="s">
        <v>74</v>
      </c>
      <c r="AF601" t="s">
        <v>74</v>
      </c>
      <c r="AG601">
        <v>0</v>
      </c>
      <c r="AH601">
        <v>0</v>
      </c>
      <c r="AI601">
        <v>0</v>
      </c>
      <c r="AJ601">
        <v>0</v>
      </c>
      <c r="AK601">
        <v>2</v>
      </c>
      <c r="AL601" t="s">
        <v>10372</v>
      </c>
      <c r="AM601" t="s">
        <v>11135</v>
      </c>
      <c r="AN601" t="s">
        <v>11136</v>
      </c>
      <c r="AO601" t="s">
        <v>11125</v>
      </c>
      <c r="AP601" t="s">
        <v>74</v>
      </c>
      <c r="AQ601" t="s">
        <v>11126</v>
      </c>
      <c r="AR601" t="s">
        <v>11127</v>
      </c>
      <c r="AS601" t="s">
        <v>11128</v>
      </c>
      <c r="AT601" t="s">
        <v>74</v>
      </c>
      <c r="AU601">
        <v>2010</v>
      </c>
      <c r="AV601">
        <v>12</v>
      </c>
      <c r="AW601" t="s">
        <v>74</v>
      </c>
      <c r="AX601" t="s">
        <v>74</v>
      </c>
      <c r="AY601" t="s">
        <v>74</v>
      </c>
      <c r="AZ601" t="s">
        <v>74</v>
      </c>
      <c r="BA601" t="s">
        <v>74</v>
      </c>
      <c r="BB601">
        <v>61</v>
      </c>
      <c r="BC601">
        <v>77</v>
      </c>
      <c r="BD601" t="s">
        <v>74</v>
      </c>
      <c r="BE601" t="s">
        <v>74</v>
      </c>
      <c r="BF601" t="s">
        <v>74</v>
      </c>
      <c r="BG601" t="s">
        <v>11130</v>
      </c>
      <c r="BH601" t="s">
        <v>74</v>
      </c>
      <c r="BI601">
        <v>17</v>
      </c>
      <c r="BJ601" t="s">
        <v>1856</v>
      </c>
      <c r="BK601" t="s">
        <v>8579</v>
      </c>
      <c r="BL601" t="s">
        <v>1857</v>
      </c>
      <c r="BM601" t="s">
        <v>11131</v>
      </c>
      <c r="BN601" t="s">
        <v>74</v>
      </c>
      <c r="BO601" t="s">
        <v>74</v>
      </c>
      <c r="BP601" t="s">
        <v>74</v>
      </c>
      <c r="BQ601" t="s">
        <v>74</v>
      </c>
      <c r="BR601" t="s">
        <v>105</v>
      </c>
      <c r="BS601" t="s">
        <v>11137</v>
      </c>
      <c r="BT601" t="str">
        <f>HYPERLINK("https%3A%2F%2Fwww.webofscience.com%2Fwos%2Fwoscc%2Ffull-record%2FWOS:000366167900008","View Full Record in Web of Science")</f>
        <v>View Full Record in Web of Science</v>
      </c>
    </row>
    <row r="602" spans="1:72" x14ac:dyDescent="0.15">
      <c r="A602" t="s">
        <v>8697</v>
      </c>
      <c r="B602" t="s">
        <v>11115</v>
      </c>
      <c r="C602" t="s">
        <v>11116</v>
      </c>
      <c r="D602" t="s">
        <v>74</v>
      </c>
      <c r="E602" t="s">
        <v>74</v>
      </c>
      <c r="F602" t="s">
        <v>11117</v>
      </c>
      <c r="G602" t="s">
        <v>11116</v>
      </c>
      <c r="H602" t="s">
        <v>74</v>
      </c>
      <c r="I602" t="s">
        <v>11138</v>
      </c>
      <c r="J602" t="s">
        <v>11119</v>
      </c>
      <c r="K602" t="s">
        <v>11120</v>
      </c>
      <c r="L602" t="s">
        <v>74</v>
      </c>
      <c r="M602" t="s">
        <v>78</v>
      </c>
      <c r="N602" t="s">
        <v>8859</v>
      </c>
      <c r="O602" t="s">
        <v>74</v>
      </c>
      <c r="P602" t="s">
        <v>74</v>
      </c>
      <c r="Q602" t="s">
        <v>74</v>
      </c>
      <c r="R602" t="s">
        <v>74</v>
      </c>
      <c r="S602" t="s">
        <v>74</v>
      </c>
      <c r="T602" t="s">
        <v>74</v>
      </c>
      <c r="U602" t="s">
        <v>74</v>
      </c>
      <c r="V602" t="s">
        <v>11139</v>
      </c>
      <c r="W602" t="s">
        <v>74</v>
      </c>
      <c r="X602" t="s">
        <v>74</v>
      </c>
      <c r="Y602" t="s">
        <v>74</v>
      </c>
      <c r="Z602" t="s">
        <v>74</v>
      </c>
      <c r="AA602" t="s">
        <v>11122</v>
      </c>
      <c r="AB602" t="s">
        <v>11123</v>
      </c>
      <c r="AC602" t="s">
        <v>74</v>
      </c>
      <c r="AD602" t="s">
        <v>74</v>
      </c>
      <c r="AE602" t="s">
        <v>74</v>
      </c>
      <c r="AF602" t="s">
        <v>74</v>
      </c>
      <c r="AG602">
        <v>0</v>
      </c>
      <c r="AH602">
        <v>1</v>
      </c>
      <c r="AI602">
        <v>1</v>
      </c>
      <c r="AJ602">
        <v>0</v>
      </c>
      <c r="AK602">
        <v>1</v>
      </c>
      <c r="AL602" t="s">
        <v>10372</v>
      </c>
      <c r="AM602" t="s">
        <v>11135</v>
      </c>
      <c r="AN602" t="s">
        <v>11136</v>
      </c>
      <c r="AO602" t="s">
        <v>11125</v>
      </c>
      <c r="AP602" t="s">
        <v>74</v>
      </c>
      <c r="AQ602" t="s">
        <v>11126</v>
      </c>
      <c r="AR602" t="s">
        <v>11127</v>
      </c>
      <c r="AS602" t="s">
        <v>11128</v>
      </c>
      <c r="AT602" t="s">
        <v>74</v>
      </c>
      <c r="AU602">
        <v>2010</v>
      </c>
      <c r="AV602">
        <v>12</v>
      </c>
      <c r="AW602" t="s">
        <v>74</v>
      </c>
      <c r="AX602" t="s">
        <v>74</v>
      </c>
      <c r="AY602" t="s">
        <v>74</v>
      </c>
      <c r="AZ602" t="s">
        <v>74</v>
      </c>
      <c r="BA602" t="s">
        <v>74</v>
      </c>
      <c r="BB602">
        <v>79</v>
      </c>
      <c r="BC602">
        <v>90</v>
      </c>
      <c r="BD602" t="s">
        <v>74</v>
      </c>
      <c r="BE602" t="s">
        <v>74</v>
      </c>
      <c r="BF602" t="s">
        <v>74</v>
      </c>
      <c r="BG602" t="s">
        <v>11130</v>
      </c>
      <c r="BH602" t="s">
        <v>74</v>
      </c>
      <c r="BI602">
        <v>12</v>
      </c>
      <c r="BJ602" t="s">
        <v>1856</v>
      </c>
      <c r="BK602" t="s">
        <v>8579</v>
      </c>
      <c r="BL602" t="s">
        <v>1857</v>
      </c>
      <c r="BM602" t="s">
        <v>11131</v>
      </c>
      <c r="BN602" t="s">
        <v>74</v>
      </c>
      <c r="BO602" t="s">
        <v>74</v>
      </c>
      <c r="BP602" t="s">
        <v>74</v>
      </c>
      <c r="BQ602" t="s">
        <v>74</v>
      </c>
      <c r="BR602" t="s">
        <v>105</v>
      </c>
      <c r="BS602" t="s">
        <v>11140</v>
      </c>
      <c r="BT602" t="str">
        <f>HYPERLINK("https%3A%2F%2Fwww.webofscience.com%2Fwos%2Fwoscc%2Ffull-record%2FWOS:000366167900009","View Full Record in Web of Science")</f>
        <v>View Full Record in Web of Science</v>
      </c>
    </row>
    <row r="603" spans="1:72" x14ac:dyDescent="0.15">
      <c r="A603" t="s">
        <v>72</v>
      </c>
      <c r="B603" t="s">
        <v>11141</v>
      </c>
      <c r="C603" t="s">
        <v>74</v>
      </c>
      <c r="D603" t="s">
        <v>74</v>
      </c>
      <c r="E603" t="s">
        <v>74</v>
      </c>
      <c r="F603" t="s">
        <v>11142</v>
      </c>
      <c r="G603" t="s">
        <v>74</v>
      </c>
      <c r="H603" t="s">
        <v>74</v>
      </c>
      <c r="I603" t="s">
        <v>11143</v>
      </c>
      <c r="J603" t="s">
        <v>11144</v>
      </c>
      <c r="K603" t="s">
        <v>74</v>
      </c>
      <c r="L603" t="s">
        <v>74</v>
      </c>
      <c r="M603" t="s">
        <v>78</v>
      </c>
      <c r="N603" t="s">
        <v>79</v>
      </c>
      <c r="O603" t="s">
        <v>74</v>
      </c>
      <c r="P603" t="s">
        <v>74</v>
      </c>
      <c r="Q603" t="s">
        <v>74</v>
      </c>
      <c r="R603" t="s">
        <v>74</v>
      </c>
      <c r="S603" t="s">
        <v>74</v>
      </c>
      <c r="T603" t="s">
        <v>74</v>
      </c>
      <c r="U603" t="s">
        <v>11145</v>
      </c>
      <c r="V603" t="s">
        <v>11146</v>
      </c>
      <c r="W603" t="s">
        <v>11147</v>
      </c>
      <c r="X603" t="s">
        <v>656</v>
      </c>
      <c r="Y603" t="s">
        <v>11148</v>
      </c>
      <c r="Z603" t="s">
        <v>11149</v>
      </c>
      <c r="AA603" t="s">
        <v>11150</v>
      </c>
      <c r="AB603" t="s">
        <v>11151</v>
      </c>
      <c r="AC603" t="s">
        <v>11152</v>
      </c>
      <c r="AD603" t="s">
        <v>11153</v>
      </c>
      <c r="AE603" t="s">
        <v>11154</v>
      </c>
      <c r="AF603" t="s">
        <v>74</v>
      </c>
      <c r="AG603">
        <v>79</v>
      </c>
      <c r="AH603">
        <v>302</v>
      </c>
      <c r="AI603">
        <v>324</v>
      </c>
      <c r="AJ603">
        <v>1</v>
      </c>
      <c r="AK603">
        <v>58</v>
      </c>
      <c r="AL603" t="s">
        <v>8999</v>
      </c>
      <c r="AM603" t="s">
        <v>9000</v>
      </c>
      <c r="AN603" t="s">
        <v>9001</v>
      </c>
      <c r="AO603" t="s">
        <v>11155</v>
      </c>
      <c r="AP603" t="s">
        <v>11156</v>
      </c>
      <c r="AQ603" t="s">
        <v>74</v>
      </c>
      <c r="AR603" t="s">
        <v>11144</v>
      </c>
      <c r="AS603" t="s">
        <v>11157</v>
      </c>
      <c r="AT603" t="s">
        <v>74</v>
      </c>
      <c r="AU603">
        <v>2010</v>
      </c>
      <c r="AV603">
        <v>4</v>
      </c>
      <c r="AW603">
        <v>1</v>
      </c>
      <c r="AX603" t="s">
        <v>74</v>
      </c>
      <c r="AY603" t="s">
        <v>74</v>
      </c>
      <c r="AZ603" t="s">
        <v>74</v>
      </c>
      <c r="BA603" t="s">
        <v>74</v>
      </c>
      <c r="BB603">
        <v>77</v>
      </c>
      <c r="BC603">
        <v>98</v>
      </c>
      <c r="BD603" t="s">
        <v>74</v>
      </c>
      <c r="BE603" t="s">
        <v>11158</v>
      </c>
      <c r="BF603" t="str">
        <f>HYPERLINK("http://dx.doi.org/10.5194/tc-4-77-2010","http://dx.doi.org/10.5194/tc-4-77-2010")</f>
        <v>http://dx.doi.org/10.5194/tc-4-77-2010</v>
      </c>
      <c r="BG603" t="s">
        <v>74</v>
      </c>
      <c r="BH603" t="s">
        <v>74</v>
      </c>
      <c r="BI603">
        <v>22</v>
      </c>
      <c r="BJ603" t="s">
        <v>2881</v>
      </c>
      <c r="BK603" t="s">
        <v>102</v>
      </c>
      <c r="BL603" t="s">
        <v>2628</v>
      </c>
      <c r="BM603" t="s">
        <v>11159</v>
      </c>
      <c r="BN603" t="s">
        <v>74</v>
      </c>
      <c r="BO603" t="s">
        <v>11160</v>
      </c>
      <c r="BP603" t="s">
        <v>74</v>
      </c>
      <c r="BQ603" t="s">
        <v>74</v>
      </c>
      <c r="BR603" t="s">
        <v>105</v>
      </c>
      <c r="BS603" t="s">
        <v>11161</v>
      </c>
      <c r="BT603" t="str">
        <f>HYPERLINK("https%3A%2F%2Fwww.webofscience.com%2Fwos%2Fwoscc%2Ffull-record%2FWOS:000276162200007","View Full Record in Web of Science")</f>
        <v>View Full Record in Web of Science</v>
      </c>
    </row>
    <row r="604" spans="1:72" x14ac:dyDescent="0.15">
      <c r="A604" t="s">
        <v>72</v>
      </c>
      <c r="B604" t="s">
        <v>11162</v>
      </c>
      <c r="C604" t="s">
        <v>74</v>
      </c>
      <c r="D604" t="s">
        <v>74</v>
      </c>
      <c r="E604" t="s">
        <v>74</v>
      </c>
      <c r="F604" t="s">
        <v>11163</v>
      </c>
      <c r="G604" t="s">
        <v>74</v>
      </c>
      <c r="H604" t="s">
        <v>74</v>
      </c>
      <c r="I604" t="s">
        <v>11164</v>
      </c>
      <c r="J604" t="s">
        <v>11144</v>
      </c>
      <c r="K604" t="s">
        <v>74</v>
      </c>
      <c r="L604" t="s">
        <v>74</v>
      </c>
      <c r="M604" t="s">
        <v>78</v>
      </c>
      <c r="N604" t="s">
        <v>79</v>
      </c>
      <c r="O604" t="s">
        <v>74</v>
      </c>
      <c r="P604" t="s">
        <v>74</v>
      </c>
      <c r="Q604" t="s">
        <v>74</v>
      </c>
      <c r="R604" t="s">
        <v>74</v>
      </c>
      <c r="S604" t="s">
        <v>74</v>
      </c>
      <c r="T604" t="s">
        <v>74</v>
      </c>
      <c r="U604" t="s">
        <v>11165</v>
      </c>
      <c r="V604" t="s">
        <v>11166</v>
      </c>
      <c r="W604" t="s">
        <v>11167</v>
      </c>
      <c r="X604" t="s">
        <v>11168</v>
      </c>
      <c r="Y604" t="s">
        <v>11169</v>
      </c>
      <c r="Z604" t="s">
        <v>11170</v>
      </c>
      <c r="AA604" t="s">
        <v>11171</v>
      </c>
      <c r="AB604" t="s">
        <v>11172</v>
      </c>
      <c r="AC604" t="s">
        <v>11173</v>
      </c>
      <c r="AD604" t="s">
        <v>11174</v>
      </c>
      <c r="AE604" t="s">
        <v>11175</v>
      </c>
      <c r="AF604" t="s">
        <v>74</v>
      </c>
      <c r="AG604">
        <v>49</v>
      </c>
      <c r="AH604">
        <v>53</v>
      </c>
      <c r="AI604">
        <v>61</v>
      </c>
      <c r="AJ604">
        <v>0</v>
      </c>
      <c r="AK604">
        <v>30</v>
      </c>
      <c r="AL604" t="s">
        <v>8999</v>
      </c>
      <c r="AM604" t="s">
        <v>9000</v>
      </c>
      <c r="AN604" t="s">
        <v>9001</v>
      </c>
      <c r="AO604" t="s">
        <v>11155</v>
      </c>
      <c r="AP604" t="s">
        <v>11156</v>
      </c>
      <c r="AQ604" t="s">
        <v>74</v>
      </c>
      <c r="AR604" t="s">
        <v>11144</v>
      </c>
      <c r="AS604" t="s">
        <v>11157</v>
      </c>
      <c r="AT604" t="s">
        <v>74</v>
      </c>
      <c r="AU604">
        <v>2010</v>
      </c>
      <c r="AV604">
        <v>4</v>
      </c>
      <c r="AW604">
        <v>2</v>
      </c>
      <c r="AX604" t="s">
        <v>74</v>
      </c>
      <c r="AY604" t="s">
        <v>74</v>
      </c>
      <c r="AZ604" t="s">
        <v>74</v>
      </c>
      <c r="BA604" t="s">
        <v>74</v>
      </c>
      <c r="BB604">
        <v>161</v>
      </c>
      <c r="BC604">
        <v>178</v>
      </c>
      <c r="BD604" t="s">
        <v>74</v>
      </c>
      <c r="BE604" t="s">
        <v>11176</v>
      </c>
      <c r="BF604" t="str">
        <f>HYPERLINK("http://dx.doi.org/10.5194/tc-4-161-2010","http://dx.doi.org/10.5194/tc-4-161-2010")</f>
        <v>http://dx.doi.org/10.5194/tc-4-161-2010</v>
      </c>
      <c r="BG604" t="s">
        <v>74</v>
      </c>
      <c r="BH604" t="s">
        <v>74</v>
      </c>
      <c r="BI604">
        <v>18</v>
      </c>
      <c r="BJ604" t="s">
        <v>2881</v>
      </c>
      <c r="BK604" t="s">
        <v>102</v>
      </c>
      <c r="BL604" t="s">
        <v>2628</v>
      </c>
      <c r="BM604" t="s">
        <v>11177</v>
      </c>
      <c r="BN604" t="s">
        <v>74</v>
      </c>
      <c r="BO604" t="s">
        <v>11178</v>
      </c>
      <c r="BP604" t="s">
        <v>74</v>
      </c>
      <c r="BQ604" t="s">
        <v>74</v>
      </c>
      <c r="BR604" t="s">
        <v>105</v>
      </c>
      <c r="BS604" t="s">
        <v>11179</v>
      </c>
      <c r="BT604" t="str">
        <f>HYPERLINK("https%3A%2F%2Fwww.webofscience.com%2Fwos%2Fwoscc%2Ffull-record%2FWOS:000279389900003","View Full Record in Web of Science")</f>
        <v>View Full Record in Web of Science</v>
      </c>
    </row>
    <row r="605" spans="1:72" x14ac:dyDescent="0.15">
      <c r="A605" t="s">
        <v>72</v>
      </c>
      <c r="B605" t="s">
        <v>11180</v>
      </c>
      <c r="C605" t="s">
        <v>74</v>
      </c>
      <c r="D605" t="s">
        <v>74</v>
      </c>
      <c r="E605" t="s">
        <v>74</v>
      </c>
      <c r="F605" t="s">
        <v>11181</v>
      </c>
      <c r="G605" t="s">
        <v>74</v>
      </c>
      <c r="H605" t="s">
        <v>74</v>
      </c>
      <c r="I605" t="s">
        <v>11182</v>
      </c>
      <c r="J605" t="s">
        <v>11144</v>
      </c>
      <c r="K605" t="s">
        <v>74</v>
      </c>
      <c r="L605" t="s">
        <v>74</v>
      </c>
      <c r="M605" t="s">
        <v>78</v>
      </c>
      <c r="N605" t="s">
        <v>79</v>
      </c>
      <c r="O605" t="s">
        <v>74</v>
      </c>
      <c r="P605" t="s">
        <v>74</v>
      </c>
      <c r="Q605" t="s">
        <v>74</v>
      </c>
      <c r="R605" t="s">
        <v>74</v>
      </c>
      <c r="S605" t="s">
        <v>74</v>
      </c>
      <c r="T605" t="s">
        <v>74</v>
      </c>
      <c r="U605" t="s">
        <v>11183</v>
      </c>
      <c r="V605" t="s">
        <v>11184</v>
      </c>
      <c r="W605" t="s">
        <v>11185</v>
      </c>
      <c r="X605" t="s">
        <v>11186</v>
      </c>
      <c r="Y605" t="s">
        <v>11187</v>
      </c>
      <c r="Z605" t="s">
        <v>11188</v>
      </c>
      <c r="AA605" t="s">
        <v>11189</v>
      </c>
      <c r="AB605" t="s">
        <v>11190</v>
      </c>
      <c r="AC605" t="s">
        <v>11191</v>
      </c>
      <c r="AD605" t="s">
        <v>11192</v>
      </c>
      <c r="AE605" t="s">
        <v>11193</v>
      </c>
      <c r="AF605" t="s">
        <v>74</v>
      </c>
      <c r="AG605">
        <v>43</v>
      </c>
      <c r="AH605">
        <v>49</v>
      </c>
      <c r="AI605">
        <v>55</v>
      </c>
      <c r="AJ605">
        <v>0</v>
      </c>
      <c r="AK605">
        <v>21</v>
      </c>
      <c r="AL605" t="s">
        <v>8999</v>
      </c>
      <c r="AM605" t="s">
        <v>9000</v>
      </c>
      <c r="AN605" t="s">
        <v>9001</v>
      </c>
      <c r="AO605" t="s">
        <v>11155</v>
      </c>
      <c r="AP605" t="s">
        <v>74</v>
      </c>
      <c r="AQ605" t="s">
        <v>74</v>
      </c>
      <c r="AR605" t="s">
        <v>11144</v>
      </c>
      <c r="AS605" t="s">
        <v>11157</v>
      </c>
      <c r="AT605" t="s">
        <v>74</v>
      </c>
      <c r="AU605">
        <v>2010</v>
      </c>
      <c r="AV605">
        <v>4</v>
      </c>
      <c r="AW605">
        <v>2</v>
      </c>
      <c r="AX605" t="s">
        <v>74</v>
      </c>
      <c r="AY605" t="s">
        <v>74</v>
      </c>
      <c r="AZ605" t="s">
        <v>74</v>
      </c>
      <c r="BA605" t="s">
        <v>74</v>
      </c>
      <c r="BB605">
        <v>179</v>
      </c>
      <c r="BC605">
        <v>190</v>
      </c>
      <c r="BD605" t="s">
        <v>74</v>
      </c>
      <c r="BE605" t="s">
        <v>11194</v>
      </c>
      <c r="BF605" t="str">
        <f>HYPERLINK("http://dx.doi.org/10.5194/tc-4-179-2010","http://dx.doi.org/10.5194/tc-4-179-2010")</f>
        <v>http://dx.doi.org/10.5194/tc-4-179-2010</v>
      </c>
      <c r="BG605" t="s">
        <v>74</v>
      </c>
      <c r="BH605" t="s">
        <v>74</v>
      </c>
      <c r="BI605">
        <v>12</v>
      </c>
      <c r="BJ605" t="s">
        <v>2881</v>
      </c>
      <c r="BK605" t="s">
        <v>102</v>
      </c>
      <c r="BL605" t="s">
        <v>2628</v>
      </c>
      <c r="BM605" t="s">
        <v>11177</v>
      </c>
      <c r="BN605" t="s">
        <v>74</v>
      </c>
      <c r="BO605" t="s">
        <v>8695</v>
      </c>
      <c r="BP605" t="s">
        <v>74</v>
      </c>
      <c r="BQ605" t="s">
        <v>74</v>
      </c>
      <c r="BR605" t="s">
        <v>105</v>
      </c>
      <c r="BS605" t="s">
        <v>11195</v>
      </c>
      <c r="BT605" t="str">
        <f>HYPERLINK("https%3A%2F%2Fwww.webofscience.com%2Fwos%2Fwoscc%2Ffull-record%2FWOS:000279389900004","View Full Record in Web of Science")</f>
        <v>View Full Record in Web of Science</v>
      </c>
    </row>
    <row r="606" spans="1:72" x14ac:dyDescent="0.15">
      <c r="A606" t="s">
        <v>72</v>
      </c>
      <c r="B606" t="s">
        <v>11196</v>
      </c>
      <c r="C606" t="s">
        <v>74</v>
      </c>
      <c r="D606" t="s">
        <v>74</v>
      </c>
      <c r="E606" t="s">
        <v>74</v>
      </c>
      <c r="F606" t="s">
        <v>11197</v>
      </c>
      <c r="G606" t="s">
        <v>74</v>
      </c>
      <c r="H606" t="s">
        <v>74</v>
      </c>
      <c r="I606" t="s">
        <v>11198</v>
      </c>
      <c r="J606" t="s">
        <v>11144</v>
      </c>
      <c r="K606" t="s">
        <v>74</v>
      </c>
      <c r="L606" t="s">
        <v>74</v>
      </c>
      <c r="M606" t="s">
        <v>78</v>
      </c>
      <c r="N606" t="s">
        <v>79</v>
      </c>
      <c r="O606" t="s">
        <v>74</v>
      </c>
      <c r="P606" t="s">
        <v>74</v>
      </c>
      <c r="Q606" t="s">
        <v>74</v>
      </c>
      <c r="R606" t="s">
        <v>74</v>
      </c>
      <c r="S606" t="s">
        <v>74</v>
      </c>
      <c r="T606" t="s">
        <v>74</v>
      </c>
      <c r="U606" t="s">
        <v>11199</v>
      </c>
      <c r="V606" t="s">
        <v>11200</v>
      </c>
      <c r="W606" t="s">
        <v>11201</v>
      </c>
      <c r="X606" t="s">
        <v>11202</v>
      </c>
      <c r="Y606" t="s">
        <v>11203</v>
      </c>
      <c r="Z606" t="s">
        <v>11204</v>
      </c>
      <c r="AA606" t="s">
        <v>11205</v>
      </c>
      <c r="AB606" t="s">
        <v>11206</v>
      </c>
      <c r="AC606" t="s">
        <v>11207</v>
      </c>
      <c r="AD606" t="s">
        <v>11208</v>
      </c>
      <c r="AE606" t="s">
        <v>11209</v>
      </c>
      <c r="AF606" t="s">
        <v>74</v>
      </c>
      <c r="AG606">
        <v>18</v>
      </c>
      <c r="AH606">
        <v>84</v>
      </c>
      <c r="AI606">
        <v>93</v>
      </c>
      <c r="AJ606">
        <v>0</v>
      </c>
      <c r="AK606">
        <v>33</v>
      </c>
      <c r="AL606" t="s">
        <v>8999</v>
      </c>
      <c r="AM606" t="s">
        <v>9000</v>
      </c>
      <c r="AN606" t="s">
        <v>9001</v>
      </c>
      <c r="AO606" t="s">
        <v>11155</v>
      </c>
      <c r="AP606" t="s">
        <v>11156</v>
      </c>
      <c r="AQ606" t="s">
        <v>74</v>
      </c>
      <c r="AR606" t="s">
        <v>11144</v>
      </c>
      <c r="AS606" t="s">
        <v>11157</v>
      </c>
      <c r="AT606" t="s">
        <v>74</v>
      </c>
      <c r="AU606">
        <v>2010</v>
      </c>
      <c r="AV606">
        <v>4</v>
      </c>
      <c r="AW606">
        <v>2</v>
      </c>
      <c r="AX606" t="s">
        <v>74</v>
      </c>
      <c r="AY606" t="s">
        <v>74</v>
      </c>
      <c r="AZ606" t="s">
        <v>74</v>
      </c>
      <c r="BA606" t="s">
        <v>74</v>
      </c>
      <c r="BB606">
        <v>227</v>
      </c>
      <c r="BC606">
        <v>230</v>
      </c>
      <c r="BD606" t="s">
        <v>74</v>
      </c>
      <c r="BE606" t="s">
        <v>11210</v>
      </c>
      <c r="BF606" t="str">
        <f>HYPERLINK("http://dx.doi.org/10.5194/tc-4-227-2010","http://dx.doi.org/10.5194/tc-4-227-2010")</f>
        <v>http://dx.doi.org/10.5194/tc-4-227-2010</v>
      </c>
      <c r="BG606" t="s">
        <v>74</v>
      </c>
      <c r="BH606" t="s">
        <v>74</v>
      </c>
      <c r="BI606">
        <v>4</v>
      </c>
      <c r="BJ606" t="s">
        <v>2881</v>
      </c>
      <c r="BK606" t="s">
        <v>102</v>
      </c>
      <c r="BL606" t="s">
        <v>2628</v>
      </c>
      <c r="BM606" t="s">
        <v>11177</v>
      </c>
      <c r="BN606" t="s">
        <v>74</v>
      </c>
      <c r="BO606" t="s">
        <v>8695</v>
      </c>
      <c r="BP606" t="s">
        <v>74</v>
      </c>
      <c r="BQ606" t="s">
        <v>74</v>
      </c>
      <c r="BR606" t="s">
        <v>105</v>
      </c>
      <c r="BS606" t="s">
        <v>11211</v>
      </c>
      <c r="BT606" t="str">
        <f>HYPERLINK("https%3A%2F%2Fwww.webofscience.com%2Fwos%2Fwoscc%2Ffull-record%2FWOS:000279389900007","View Full Record in Web of Science")</f>
        <v>View Full Record in Web of Science</v>
      </c>
    </row>
    <row r="607" spans="1:72" x14ac:dyDescent="0.15">
      <c r="A607" t="s">
        <v>72</v>
      </c>
      <c r="B607" t="s">
        <v>11212</v>
      </c>
      <c r="C607" t="s">
        <v>74</v>
      </c>
      <c r="D607" t="s">
        <v>74</v>
      </c>
      <c r="E607" t="s">
        <v>74</v>
      </c>
      <c r="F607" t="s">
        <v>11213</v>
      </c>
      <c r="G607" t="s">
        <v>74</v>
      </c>
      <c r="H607" t="s">
        <v>74</v>
      </c>
      <c r="I607" t="s">
        <v>11214</v>
      </c>
      <c r="J607" t="s">
        <v>11144</v>
      </c>
      <c r="K607" t="s">
        <v>74</v>
      </c>
      <c r="L607" t="s">
        <v>74</v>
      </c>
      <c r="M607" t="s">
        <v>78</v>
      </c>
      <c r="N607" t="s">
        <v>79</v>
      </c>
      <c r="O607" t="s">
        <v>74</v>
      </c>
      <c r="P607" t="s">
        <v>74</v>
      </c>
      <c r="Q607" t="s">
        <v>74</v>
      </c>
      <c r="R607" t="s">
        <v>74</v>
      </c>
      <c r="S607" t="s">
        <v>74</v>
      </c>
      <c r="T607" t="s">
        <v>74</v>
      </c>
      <c r="U607" t="s">
        <v>11215</v>
      </c>
      <c r="V607" t="s">
        <v>11216</v>
      </c>
      <c r="W607" t="s">
        <v>11217</v>
      </c>
      <c r="X607" t="s">
        <v>11218</v>
      </c>
      <c r="Y607" t="s">
        <v>11219</v>
      </c>
      <c r="Z607" t="s">
        <v>11220</v>
      </c>
      <c r="AA607" t="s">
        <v>11221</v>
      </c>
      <c r="AB607" t="s">
        <v>11222</v>
      </c>
      <c r="AC607" t="s">
        <v>11223</v>
      </c>
      <c r="AD607" t="s">
        <v>989</v>
      </c>
      <c r="AE607" t="s">
        <v>11224</v>
      </c>
      <c r="AF607" t="s">
        <v>74</v>
      </c>
      <c r="AG607">
        <v>30</v>
      </c>
      <c r="AH607">
        <v>3</v>
      </c>
      <c r="AI607">
        <v>4</v>
      </c>
      <c r="AJ607">
        <v>0</v>
      </c>
      <c r="AK607">
        <v>4</v>
      </c>
      <c r="AL607" t="s">
        <v>8999</v>
      </c>
      <c r="AM607" t="s">
        <v>9000</v>
      </c>
      <c r="AN607" t="s">
        <v>9001</v>
      </c>
      <c r="AO607" t="s">
        <v>11155</v>
      </c>
      <c r="AP607" t="s">
        <v>74</v>
      </c>
      <c r="AQ607" t="s">
        <v>74</v>
      </c>
      <c r="AR607" t="s">
        <v>11144</v>
      </c>
      <c r="AS607" t="s">
        <v>11157</v>
      </c>
      <c r="AT607" t="s">
        <v>74</v>
      </c>
      <c r="AU607">
        <v>2010</v>
      </c>
      <c r="AV607">
        <v>4</v>
      </c>
      <c r="AW607">
        <v>3</v>
      </c>
      <c r="AX607" t="s">
        <v>74</v>
      </c>
      <c r="AY607" t="s">
        <v>74</v>
      </c>
      <c r="AZ607" t="s">
        <v>74</v>
      </c>
      <c r="BA607" t="s">
        <v>74</v>
      </c>
      <c r="BB607">
        <v>325</v>
      </c>
      <c r="BC607">
        <v>331</v>
      </c>
      <c r="BD607" t="s">
        <v>74</v>
      </c>
      <c r="BE607" t="s">
        <v>11225</v>
      </c>
      <c r="BF607" t="str">
        <f>HYPERLINK("http://dx.doi.org/10.5194/tc-4-325-2010","http://dx.doi.org/10.5194/tc-4-325-2010")</f>
        <v>http://dx.doi.org/10.5194/tc-4-325-2010</v>
      </c>
      <c r="BG607" t="s">
        <v>74</v>
      </c>
      <c r="BH607" t="s">
        <v>74</v>
      </c>
      <c r="BI607">
        <v>7</v>
      </c>
      <c r="BJ607" t="s">
        <v>2881</v>
      </c>
      <c r="BK607" t="s">
        <v>102</v>
      </c>
      <c r="BL607" t="s">
        <v>2628</v>
      </c>
      <c r="BM607" t="s">
        <v>11226</v>
      </c>
      <c r="BN607" t="s">
        <v>74</v>
      </c>
      <c r="BO607" t="s">
        <v>8695</v>
      </c>
      <c r="BP607" t="s">
        <v>74</v>
      </c>
      <c r="BQ607" t="s">
        <v>74</v>
      </c>
      <c r="BR607" t="s">
        <v>105</v>
      </c>
      <c r="BS607" t="s">
        <v>11227</v>
      </c>
      <c r="BT607" t="str">
        <f>HYPERLINK("https%3A%2F%2Fwww.webofscience.com%2Fwos%2Fwoscc%2Ffull-record%2FWOS:000283734000001","View Full Record in Web of Science")</f>
        <v>View Full Record in Web of Science</v>
      </c>
    </row>
    <row r="608" spans="1:72" x14ac:dyDescent="0.15">
      <c r="A608" t="s">
        <v>72</v>
      </c>
      <c r="B608" t="s">
        <v>11228</v>
      </c>
      <c r="C608" t="s">
        <v>74</v>
      </c>
      <c r="D608" t="s">
        <v>74</v>
      </c>
      <c r="E608" t="s">
        <v>74</v>
      </c>
      <c r="F608" t="s">
        <v>11229</v>
      </c>
      <c r="G608" t="s">
        <v>74</v>
      </c>
      <c r="H608" t="s">
        <v>74</v>
      </c>
      <c r="I608" t="s">
        <v>11230</v>
      </c>
      <c r="J608" t="s">
        <v>11144</v>
      </c>
      <c r="K608" t="s">
        <v>74</v>
      </c>
      <c r="L608" t="s">
        <v>74</v>
      </c>
      <c r="M608" t="s">
        <v>78</v>
      </c>
      <c r="N608" t="s">
        <v>79</v>
      </c>
      <c r="O608" t="s">
        <v>74</v>
      </c>
      <c r="P608" t="s">
        <v>74</v>
      </c>
      <c r="Q608" t="s">
        <v>74</v>
      </c>
      <c r="R608" t="s">
        <v>74</v>
      </c>
      <c r="S608" t="s">
        <v>74</v>
      </c>
      <c r="T608" t="s">
        <v>74</v>
      </c>
      <c r="U608" t="s">
        <v>11231</v>
      </c>
      <c r="V608" t="s">
        <v>11232</v>
      </c>
      <c r="W608" t="s">
        <v>11233</v>
      </c>
      <c r="X608" t="s">
        <v>11234</v>
      </c>
      <c r="Y608" t="s">
        <v>11235</v>
      </c>
      <c r="Z608" t="s">
        <v>11236</v>
      </c>
      <c r="AA608" t="s">
        <v>11237</v>
      </c>
      <c r="AB608" t="s">
        <v>11238</v>
      </c>
      <c r="AC608" t="s">
        <v>11239</v>
      </c>
      <c r="AD608" t="s">
        <v>11240</v>
      </c>
      <c r="AE608" t="s">
        <v>11241</v>
      </c>
      <c r="AF608" t="s">
        <v>74</v>
      </c>
      <c r="AG608">
        <v>67</v>
      </c>
      <c r="AH608">
        <v>10</v>
      </c>
      <c r="AI608">
        <v>10</v>
      </c>
      <c r="AJ608">
        <v>0</v>
      </c>
      <c r="AK608">
        <v>5</v>
      </c>
      <c r="AL608" t="s">
        <v>8999</v>
      </c>
      <c r="AM608" t="s">
        <v>9000</v>
      </c>
      <c r="AN608" t="s">
        <v>9001</v>
      </c>
      <c r="AO608" t="s">
        <v>11155</v>
      </c>
      <c r="AP608" t="s">
        <v>74</v>
      </c>
      <c r="AQ608" t="s">
        <v>74</v>
      </c>
      <c r="AR608" t="s">
        <v>11144</v>
      </c>
      <c r="AS608" t="s">
        <v>11157</v>
      </c>
      <c r="AT608" t="s">
        <v>74</v>
      </c>
      <c r="AU608">
        <v>2010</v>
      </c>
      <c r="AV608">
        <v>4</v>
      </c>
      <c r="AW608">
        <v>3</v>
      </c>
      <c r="AX608" t="s">
        <v>74</v>
      </c>
      <c r="AY608" t="s">
        <v>74</v>
      </c>
      <c r="AZ608" t="s">
        <v>74</v>
      </c>
      <c r="BA608" t="s">
        <v>74</v>
      </c>
      <c r="BB608">
        <v>359</v>
      </c>
      <c r="BC608">
        <v>372</v>
      </c>
      <c r="BD608" t="s">
        <v>74</v>
      </c>
      <c r="BE608" t="s">
        <v>11242</v>
      </c>
      <c r="BF608" t="str">
        <f>HYPERLINK("http://dx.doi.org/10.5194/tc-4-359-2010","http://dx.doi.org/10.5194/tc-4-359-2010")</f>
        <v>http://dx.doi.org/10.5194/tc-4-359-2010</v>
      </c>
      <c r="BG608" t="s">
        <v>74</v>
      </c>
      <c r="BH608" t="s">
        <v>74</v>
      </c>
      <c r="BI608">
        <v>14</v>
      </c>
      <c r="BJ608" t="s">
        <v>2881</v>
      </c>
      <c r="BK608" t="s">
        <v>102</v>
      </c>
      <c r="BL608" t="s">
        <v>2628</v>
      </c>
      <c r="BM608" t="s">
        <v>11226</v>
      </c>
      <c r="BN608" t="s">
        <v>74</v>
      </c>
      <c r="BO608" t="s">
        <v>11243</v>
      </c>
      <c r="BP608" t="s">
        <v>74</v>
      </c>
      <c r="BQ608" t="s">
        <v>74</v>
      </c>
      <c r="BR608" t="s">
        <v>105</v>
      </c>
      <c r="BS608" t="s">
        <v>11244</v>
      </c>
      <c r="BT608" t="str">
        <f>HYPERLINK("https%3A%2F%2Fwww.webofscience.com%2Fwos%2Fwoscc%2Ffull-record%2FWOS:000283734000004","View Full Record in Web of Science")</f>
        <v>View Full Record in Web of Science</v>
      </c>
    </row>
    <row r="609" spans="1:72" x14ac:dyDescent="0.15">
      <c r="A609" t="s">
        <v>72</v>
      </c>
      <c r="B609" t="s">
        <v>11245</v>
      </c>
      <c r="C609" t="s">
        <v>74</v>
      </c>
      <c r="D609" t="s">
        <v>74</v>
      </c>
      <c r="E609" t="s">
        <v>74</v>
      </c>
      <c r="F609" t="s">
        <v>11246</v>
      </c>
      <c r="G609" t="s">
        <v>74</v>
      </c>
      <c r="H609" t="s">
        <v>74</v>
      </c>
      <c r="I609" t="s">
        <v>11247</v>
      </c>
      <c r="J609" t="s">
        <v>11144</v>
      </c>
      <c r="K609" t="s">
        <v>74</v>
      </c>
      <c r="L609" t="s">
        <v>74</v>
      </c>
      <c r="M609" t="s">
        <v>78</v>
      </c>
      <c r="N609" t="s">
        <v>79</v>
      </c>
      <c r="O609" t="s">
        <v>74</v>
      </c>
      <c r="P609" t="s">
        <v>74</v>
      </c>
      <c r="Q609" t="s">
        <v>74</v>
      </c>
      <c r="R609" t="s">
        <v>74</v>
      </c>
      <c r="S609" t="s">
        <v>74</v>
      </c>
      <c r="T609" t="s">
        <v>74</v>
      </c>
      <c r="U609" t="s">
        <v>74</v>
      </c>
      <c r="V609" t="s">
        <v>11248</v>
      </c>
      <c r="W609" t="s">
        <v>11249</v>
      </c>
      <c r="X609" t="s">
        <v>11250</v>
      </c>
      <c r="Y609" t="s">
        <v>11251</v>
      </c>
      <c r="Z609" t="s">
        <v>11252</v>
      </c>
      <c r="AA609" t="s">
        <v>11253</v>
      </c>
      <c r="AB609" t="s">
        <v>11254</v>
      </c>
      <c r="AC609" t="s">
        <v>11255</v>
      </c>
      <c r="AD609" t="s">
        <v>11256</v>
      </c>
      <c r="AE609" t="s">
        <v>11257</v>
      </c>
      <c r="AF609" t="s">
        <v>74</v>
      </c>
      <c r="AG609">
        <v>13</v>
      </c>
      <c r="AH609">
        <v>43</v>
      </c>
      <c r="AI609">
        <v>45</v>
      </c>
      <c r="AJ609">
        <v>0</v>
      </c>
      <c r="AK609">
        <v>11</v>
      </c>
      <c r="AL609" t="s">
        <v>8999</v>
      </c>
      <c r="AM609" t="s">
        <v>9000</v>
      </c>
      <c r="AN609" t="s">
        <v>9001</v>
      </c>
      <c r="AO609" t="s">
        <v>11155</v>
      </c>
      <c r="AP609" t="s">
        <v>74</v>
      </c>
      <c r="AQ609" t="s">
        <v>74</v>
      </c>
      <c r="AR609" t="s">
        <v>11144</v>
      </c>
      <c r="AS609" t="s">
        <v>11157</v>
      </c>
      <c r="AT609" t="s">
        <v>74</v>
      </c>
      <c r="AU609">
        <v>2010</v>
      </c>
      <c r="AV609">
        <v>4</v>
      </c>
      <c r="AW609">
        <v>4</v>
      </c>
      <c r="AX609" t="s">
        <v>74</v>
      </c>
      <c r="AY609" t="s">
        <v>74</v>
      </c>
      <c r="AZ609" t="s">
        <v>74</v>
      </c>
      <c r="BA609" t="s">
        <v>74</v>
      </c>
      <c r="BB609">
        <v>605</v>
      </c>
      <c r="BC609">
        <v>619</v>
      </c>
      <c r="BD609" t="s">
        <v>74</v>
      </c>
      <c r="BE609" t="s">
        <v>11258</v>
      </c>
      <c r="BF609" t="str">
        <f>HYPERLINK("http://dx.doi.org/10.5194/tc-4-605-2010","http://dx.doi.org/10.5194/tc-4-605-2010")</f>
        <v>http://dx.doi.org/10.5194/tc-4-605-2010</v>
      </c>
      <c r="BG609" t="s">
        <v>74</v>
      </c>
      <c r="BH609" t="s">
        <v>74</v>
      </c>
      <c r="BI609">
        <v>15</v>
      </c>
      <c r="BJ609" t="s">
        <v>2881</v>
      </c>
      <c r="BK609" t="s">
        <v>102</v>
      </c>
      <c r="BL609" t="s">
        <v>2628</v>
      </c>
      <c r="BM609" t="s">
        <v>11259</v>
      </c>
      <c r="BN609" t="s">
        <v>74</v>
      </c>
      <c r="BO609" t="s">
        <v>8695</v>
      </c>
      <c r="BP609" t="s">
        <v>74</v>
      </c>
      <c r="BQ609" t="s">
        <v>74</v>
      </c>
      <c r="BR609" t="s">
        <v>105</v>
      </c>
      <c r="BS609" t="s">
        <v>11260</v>
      </c>
      <c r="BT609" t="str">
        <f>HYPERLINK("https%3A%2F%2Fwww.webofscience.com%2Fwos%2Fwoscc%2Ffull-record%2FWOS:000285578700015","View Full Record in Web of Science")</f>
        <v>View Full Record in Web of Science</v>
      </c>
    </row>
    <row r="610" spans="1:72" x14ac:dyDescent="0.15">
      <c r="A610" t="s">
        <v>8563</v>
      </c>
      <c r="B610" t="s">
        <v>11261</v>
      </c>
      <c r="C610" t="s">
        <v>74</v>
      </c>
      <c r="D610" t="s">
        <v>11262</v>
      </c>
      <c r="E610" t="s">
        <v>74</v>
      </c>
      <c r="F610" t="s">
        <v>11263</v>
      </c>
      <c r="G610" t="s">
        <v>74</v>
      </c>
      <c r="H610" t="s">
        <v>74</v>
      </c>
      <c r="I610" t="s">
        <v>11264</v>
      </c>
      <c r="J610" t="s">
        <v>11265</v>
      </c>
      <c r="K610" t="s">
        <v>74</v>
      </c>
      <c r="L610" t="s">
        <v>74</v>
      </c>
      <c r="M610" t="s">
        <v>78</v>
      </c>
      <c r="N610" t="s">
        <v>8859</v>
      </c>
      <c r="O610" t="s">
        <v>74</v>
      </c>
      <c r="P610" t="s">
        <v>74</v>
      </c>
      <c r="Q610" t="s">
        <v>74</v>
      </c>
      <c r="R610" t="s">
        <v>74</v>
      </c>
      <c r="S610" t="s">
        <v>74</v>
      </c>
      <c r="T610" t="s">
        <v>74</v>
      </c>
      <c r="U610" t="s">
        <v>74</v>
      </c>
      <c r="V610" t="s">
        <v>74</v>
      </c>
      <c r="W610" t="s">
        <v>11266</v>
      </c>
      <c r="X610" t="s">
        <v>11267</v>
      </c>
      <c r="Y610" t="s">
        <v>11268</v>
      </c>
      <c r="Z610" t="s">
        <v>74</v>
      </c>
      <c r="AA610" t="s">
        <v>74</v>
      </c>
      <c r="AB610" t="s">
        <v>74</v>
      </c>
      <c r="AC610" t="s">
        <v>74</v>
      </c>
      <c r="AD610" t="s">
        <v>74</v>
      </c>
      <c r="AE610" t="s">
        <v>74</v>
      </c>
      <c r="AF610" t="s">
        <v>74</v>
      </c>
      <c r="AG610">
        <v>5</v>
      </c>
      <c r="AH610">
        <v>1</v>
      </c>
      <c r="AI610">
        <v>1</v>
      </c>
      <c r="AJ610">
        <v>0</v>
      </c>
      <c r="AK610">
        <v>0</v>
      </c>
      <c r="AL610" t="s">
        <v>11269</v>
      </c>
      <c r="AM610" t="s">
        <v>11270</v>
      </c>
      <c r="AN610" t="s">
        <v>11271</v>
      </c>
      <c r="AO610" t="s">
        <v>74</v>
      </c>
      <c r="AP610" t="s">
        <v>74</v>
      </c>
      <c r="AQ610" t="s">
        <v>11272</v>
      </c>
      <c r="AR610" t="s">
        <v>74</v>
      </c>
      <c r="AS610" t="s">
        <v>74</v>
      </c>
      <c r="AT610" t="s">
        <v>74</v>
      </c>
      <c r="AU610">
        <v>2010</v>
      </c>
      <c r="AV610" t="s">
        <v>74</v>
      </c>
      <c r="AW610" t="s">
        <v>74</v>
      </c>
      <c r="AX610" t="s">
        <v>74</v>
      </c>
      <c r="AY610" t="s">
        <v>74</v>
      </c>
      <c r="AZ610" t="s">
        <v>74</v>
      </c>
      <c r="BA610" t="s">
        <v>74</v>
      </c>
      <c r="BB610">
        <v>283</v>
      </c>
      <c r="BC610">
        <v>297</v>
      </c>
      <c r="BD610" t="s">
        <v>74</v>
      </c>
      <c r="BE610" t="s">
        <v>74</v>
      </c>
      <c r="BF610" t="s">
        <v>74</v>
      </c>
      <c r="BG610" t="s">
        <v>74</v>
      </c>
      <c r="BH610" t="s">
        <v>74</v>
      </c>
      <c r="BI610">
        <v>15</v>
      </c>
      <c r="BJ610" t="s">
        <v>11273</v>
      </c>
      <c r="BK610" t="s">
        <v>11088</v>
      </c>
      <c r="BL610" t="s">
        <v>11089</v>
      </c>
      <c r="BM610" t="s">
        <v>11274</v>
      </c>
      <c r="BN610" t="s">
        <v>74</v>
      </c>
      <c r="BO610" t="s">
        <v>74</v>
      </c>
      <c r="BP610" t="s">
        <v>74</v>
      </c>
      <c r="BQ610" t="s">
        <v>74</v>
      </c>
      <c r="BR610" t="s">
        <v>105</v>
      </c>
      <c r="BS610" t="s">
        <v>11275</v>
      </c>
      <c r="BT610" t="str">
        <f>HYPERLINK("https%3A%2F%2Fwww.webofscience.com%2Fwos%2Fwoscc%2Ffull-record%2FWOS:000351627300017","View Full Record in Web of Science")</f>
        <v>View Full Record in Web of Science</v>
      </c>
    </row>
    <row r="611" spans="1:72" x14ac:dyDescent="0.15">
      <c r="A611" t="s">
        <v>72</v>
      </c>
      <c r="B611" t="s">
        <v>11276</v>
      </c>
      <c r="C611" t="s">
        <v>74</v>
      </c>
      <c r="D611" t="s">
        <v>74</v>
      </c>
      <c r="E611" t="s">
        <v>74</v>
      </c>
      <c r="F611" t="s">
        <v>11277</v>
      </c>
      <c r="G611" t="s">
        <v>74</v>
      </c>
      <c r="H611" t="s">
        <v>74</v>
      </c>
      <c r="I611" t="s">
        <v>11278</v>
      </c>
      <c r="J611" t="s">
        <v>1052</v>
      </c>
      <c r="K611" t="s">
        <v>74</v>
      </c>
      <c r="L611" t="s">
        <v>74</v>
      </c>
      <c r="M611" t="s">
        <v>78</v>
      </c>
      <c r="N611" t="s">
        <v>79</v>
      </c>
      <c r="O611" t="s">
        <v>74</v>
      </c>
      <c r="P611" t="s">
        <v>74</v>
      </c>
      <c r="Q611" t="s">
        <v>74</v>
      </c>
      <c r="R611" t="s">
        <v>74</v>
      </c>
      <c r="S611" t="s">
        <v>74</v>
      </c>
      <c r="T611" t="s">
        <v>11279</v>
      </c>
      <c r="U611" t="s">
        <v>11280</v>
      </c>
      <c r="V611" t="s">
        <v>11281</v>
      </c>
      <c r="W611" t="s">
        <v>11282</v>
      </c>
      <c r="X611" t="s">
        <v>11283</v>
      </c>
      <c r="Y611" t="s">
        <v>11284</v>
      </c>
      <c r="Z611" t="s">
        <v>11285</v>
      </c>
      <c r="AA611" t="s">
        <v>11286</v>
      </c>
      <c r="AB611" t="s">
        <v>11287</v>
      </c>
      <c r="AC611" t="s">
        <v>11288</v>
      </c>
      <c r="AD611" t="s">
        <v>2112</v>
      </c>
      <c r="AE611" t="s">
        <v>11289</v>
      </c>
      <c r="AF611" t="s">
        <v>74</v>
      </c>
      <c r="AG611">
        <v>33</v>
      </c>
      <c r="AH611">
        <v>32</v>
      </c>
      <c r="AI611">
        <v>34</v>
      </c>
      <c r="AJ611">
        <v>0</v>
      </c>
      <c r="AK611">
        <v>15</v>
      </c>
      <c r="AL611" t="s">
        <v>1063</v>
      </c>
      <c r="AM611" t="s">
        <v>1064</v>
      </c>
      <c r="AN611" t="s">
        <v>1065</v>
      </c>
      <c r="AO611" t="s">
        <v>1066</v>
      </c>
      <c r="AP611" t="s">
        <v>74</v>
      </c>
      <c r="AQ611" t="s">
        <v>74</v>
      </c>
      <c r="AR611" t="s">
        <v>1068</v>
      </c>
      <c r="AS611" t="s">
        <v>1069</v>
      </c>
      <c r="AT611" t="s">
        <v>8958</v>
      </c>
      <c r="AU611">
        <v>2010</v>
      </c>
      <c r="AV611">
        <v>57</v>
      </c>
      <c r="AW611">
        <v>1</v>
      </c>
      <c r="AX611" t="s">
        <v>74</v>
      </c>
      <c r="AY611" t="s">
        <v>74</v>
      </c>
      <c r="AZ611" t="s">
        <v>74</v>
      </c>
      <c r="BA611" t="s">
        <v>74</v>
      </c>
      <c r="BB611">
        <v>14</v>
      </c>
      <c r="BC611">
        <v>28</v>
      </c>
      <c r="BD611" t="s">
        <v>74</v>
      </c>
      <c r="BE611" t="s">
        <v>11290</v>
      </c>
      <c r="BF611" t="str">
        <f>HYPERLINK("http://dx.doi.org/10.1016/j.dsr.2009.10.010","http://dx.doi.org/10.1016/j.dsr.2009.10.010")</f>
        <v>http://dx.doi.org/10.1016/j.dsr.2009.10.010</v>
      </c>
      <c r="BG611" t="s">
        <v>74</v>
      </c>
      <c r="BH611" t="s">
        <v>74</v>
      </c>
      <c r="BI611">
        <v>15</v>
      </c>
      <c r="BJ611" t="s">
        <v>101</v>
      </c>
      <c r="BK611" t="s">
        <v>102</v>
      </c>
      <c r="BL611" t="s">
        <v>101</v>
      </c>
      <c r="BM611" t="s">
        <v>11291</v>
      </c>
      <c r="BN611" t="s">
        <v>74</v>
      </c>
      <c r="BO611" t="s">
        <v>5946</v>
      </c>
      <c r="BP611" t="s">
        <v>74</v>
      </c>
      <c r="BQ611" t="s">
        <v>74</v>
      </c>
      <c r="BR611" t="s">
        <v>105</v>
      </c>
      <c r="BS611" t="s">
        <v>11292</v>
      </c>
      <c r="BT611" t="str">
        <f>HYPERLINK("https%3A%2F%2Fwww.webofscience.com%2Fwos%2Fwoscc%2Ffull-record%2FWOS:000274376700002","View Full Record in Web of Science")</f>
        <v>View Full Record in Web of Science</v>
      </c>
    </row>
    <row r="612" spans="1:72" x14ac:dyDescent="0.15">
      <c r="A612" t="s">
        <v>8563</v>
      </c>
      <c r="B612" t="s">
        <v>11293</v>
      </c>
      <c r="C612" t="s">
        <v>11293</v>
      </c>
      <c r="D612" t="s">
        <v>74</v>
      </c>
      <c r="E612" t="s">
        <v>74</v>
      </c>
      <c r="F612" t="s">
        <v>11294</v>
      </c>
      <c r="G612" t="s">
        <v>11293</v>
      </c>
      <c r="H612" t="s">
        <v>74</v>
      </c>
      <c r="I612" t="s">
        <v>11295</v>
      </c>
      <c r="J612" t="s">
        <v>11296</v>
      </c>
      <c r="K612" t="s">
        <v>74</v>
      </c>
      <c r="L612" t="s">
        <v>74</v>
      </c>
      <c r="M612" t="s">
        <v>78</v>
      </c>
      <c r="N612" t="s">
        <v>8859</v>
      </c>
      <c r="O612" t="s">
        <v>74</v>
      </c>
      <c r="P612" t="s">
        <v>74</v>
      </c>
      <c r="Q612" t="s">
        <v>74</v>
      </c>
      <c r="R612" t="s">
        <v>74</v>
      </c>
      <c r="S612" t="s">
        <v>74</v>
      </c>
      <c r="T612" t="s">
        <v>74</v>
      </c>
      <c r="U612" t="s">
        <v>11297</v>
      </c>
      <c r="V612" t="s">
        <v>74</v>
      </c>
      <c r="W612" t="s">
        <v>11298</v>
      </c>
      <c r="X612" t="s">
        <v>11299</v>
      </c>
      <c r="Y612" t="s">
        <v>11300</v>
      </c>
      <c r="Z612" t="s">
        <v>74</v>
      </c>
      <c r="AA612" t="s">
        <v>74</v>
      </c>
      <c r="AB612" t="s">
        <v>74</v>
      </c>
      <c r="AC612" t="s">
        <v>74</v>
      </c>
      <c r="AD612" t="s">
        <v>74</v>
      </c>
      <c r="AE612" t="s">
        <v>74</v>
      </c>
      <c r="AF612" t="s">
        <v>74</v>
      </c>
      <c r="AG612">
        <v>41</v>
      </c>
      <c r="AH612">
        <v>0</v>
      </c>
      <c r="AI612">
        <v>0</v>
      </c>
      <c r="AJ612">
        <v>0</v>
      </c>
      <c r="AK612">
        <v>1</v>
      </c>
      <c r="AL612" t="s">
        <v>8866</v>
      </c>
      <c r="AM612" t="s">
        <v>6462</v>
      </c>
      <c r="AN612" t="s">
        <v>8867</v>
      </c>
      <c r="AO612" t="s">
        <v>74</v>
      </c>
      <c r="AP612" t="s">
        <v>74</v>
      </c>
      <c r="AQ612" t="s">
        <v>11301</v>
      </c>
      <c r="AR612" t="s">
        <v>74</v>
      </c>
      <c r="AS612" t="s">
        <v>74</v>
      </c>
      <c r="AT612" t="s">
        <v>74</v>
      </c>
      <c r="AU612">
        <v>2010</v>
      </c>
      <c r="AV612" t="s">
        <v>74</v>
      </c>
      <c r="AW612" t="s">
        <v>74</v>
      </c>
      <c r="AX612" t="s">
        <v>74</v>
      </c>
      <c r="AY612" t="s">
        <v>74</v>
      </c>
      <c r="AZ612" t="s">
        <v>74</v>
      </c>
      <c r="BA612" t="s">
        <v>74</v>
      </c>
      <c r="BB612">
        <v>115</v>
      </c>
      <c r="BC612">
        <v>157</v>
      </c>
      <c r="BD612" t="s">
        <v>74</v>
      </c>
      <c r="BE612" t="s">
        <v>11302</v>
      </c>
      <c r="BF612" t="str">
        <f>HYPERLINK("http://dx.doi.org/10.1007/978-3-540-68322-3_4","http://dx.doi.org/10.1007/978-3-540-68322-3_4")</f>
        <v>http://dx.doi.org/10.1007/978-3-540-68322-3_4</v>
      </c>
      <c r="BG612" t="s">
        <v>11303</v>
      </c>
      <c r="BH612" t="s">
        <v>74</v>
      </c>
      <c r="BI612">
        <v>43</v>
      </c>
      <c r="BJ612" t="s">
        <v>11304</v>
      </c>
      <c r="BK612" t="s">
        <v>8579</v>
      </c>
      <c r="BL612" t="s">
        <v>11304</v>
      </c>
      <c r="BM612" t="s">
        <v>11305</v>
      </c>
      <c r="BN612" t="s">
        <v>74</v>
      </c>
      <c r="BO612" t="s">
        <v>555</v>
      </c>
      <c r="BP612" t="s">
        <v>74</v>
      </c>
      <c r="BQ612" t="s">
        <v>74</v>
      </c>
      <c r="BR612" t="s">
        <v>105</v>
      </c>
      <c r="BS612" t="s">
        <v>11306</v>
      </c>
      <c r="BT612" t="str">
        <f>HYPERLINK("https%3A%2F%2Fwww.webofscience.com%2Fwos%2Fwoscc%2Ffull-record%2FWOS:000282608300004","View Full Record in Web of Science")</f>
        <v>View Full Record in Web of Science</v>
      </c>
    </row>
    <row r="613" spans="1:72" x14ac:dyDescent="0.15">
      <c r="A613" t="s">
        <v>8563</v>
      </c>
      <c r="B613" t="s">
        <v>11293</v>
      </c>
      <c r="C613" t="s">
        <v>11293</v>
      </c>
      <c r="D613" t="s">
        <v>74</v>
      </c>
      <c r="E613" t="s">
        <v>74</v>
      </c>
      <c r="F613" t="s">
        <v>11294</v>
      </c>
      <c r="G613" t="s">
        <v>11293</v>
      </c>
      <c r="H613" t="s">
        <v>74</v>
      </c>
      <c r="I613" t="s">
        <v>11307</v>
      </c>
      <c r="J613" t="s">
        <v>11296</v>
      </c>
      <c r="K613" t="s">
        <v>74</v>
      </c>
      <c r="L613" t="s">
        <v>74</v>
      </c>
      <c r="M613" t="s">
        <v>78</v>
      </c>
      <c r="N613" t="s">
        <v>8859</v>
      </c>
      <c r="O613" t="s">
        <v>74</v>
      </c>
      <c r="P613" t="s">
        <v>74</v>
      </c>
      <c r="Q613" t="s">
        <v>74</v>
      </c>
      <c r="R613" t="s">
        <v>74</v>
      </c>
      <c r="S613" t="s">
        <v>74</v>
      </c>
      <c r="T613" t="s">
        <v>74</v>
      </c>
      <c r="U613" t="s">
        <v>11308</v>
      </c>
      <c r="V613" t="s">
        <v>74</v>
      </c>
      <c r="W613" t="s">
        <v>11298</v>
      </c>
      <c r="X613" t="s">
        <v>11309</v>
      </c>
      <c r="Y613" t="s">
        <v>11300</v>
      </c>
      <c r="Z613" t="s">
        <v>74</v>
      </c>
      <c r="AA613" t="s">
        <v>74</v>
      </c>
      <c r="AB613" t="s">
        <v>74</v>
      </c>
      <c r="AC613" t="s">
        <v>74</v>
      </c>
      <c r="AD613" t="s">
        <v>74</v>
      </c>
      <c r="AE613" t="s">
        <v>74</v>
      </c>
      <c r="AF613" t="s">
        <v>74</v>
      </c>
      <c r="AG613">
        <v>60</v>
      </c>
      <c r="AH613">
        <v>1</v>
      </c>
      <c r="AI613">
        <v>1</v>
      </c>
      <c r="AJ613">
        <v>0</v>
      </c>
      <c r="AK613">
        <v>3</v>
      </c>
      <c r="AL613" t="s">
        <v>8866</v>
      </c>
      <c r="AM613" t="s">
        <v>6462</v>
      </c>
      <c r="AN613" t="s">
        <v>8867</v>
      </c>
      <c r="AO613" t="s">
        <v>74</v>
      </c>
      <c r="AP613" t="s">
        <v>74</v>
      </c>
      <c r="AQ613" t="s">
        <v>11301</v>
      </c>
      <c r="AR613" t="s">
        <v>74</v>
      </c>
      <c r="AS613" t="s">
        <v>74</v>
      </c>
      <c r="AT613" t="s">
        <v>74</v>
      </c>
      <c r="AU613">
        <v>2010</v>
      </c>
      <c r="AV613" t="s">
        <v>74</v>
      </c>
      <c r="AW613" t="s">
        <v>74</v>
      </c>
      <c r="AX613" t="s">
        <v>74</v>
      </c>
      <c r="AY613" t="s">
        <v>74</v>
      </c>
      <c r="AZ613" t="s">
        <v>74</v>
      </c>
      <c r="BA613" t="s">
        <v>74</v>
      </c>
      <c r="BB613">
        <v>195</v>
      </c>
      <c r="BC613">
        <v>238</v>
      </c>
      <c r="BD613" t="s">
        <v>74</v>
      </c>
      <c r="BE613" t="s">
        <v>11310</v>
      </c>
      <c r="BF613" t="str">
        <f>HYPERLINK("http://dx.doi.org/10.1007/978-3-540-68322-3_6","http://dx.doi.org/10.1007/978-3-540-68322-3_6")</f>
        <v>http://dx.doi.org/10.1007/978-3-540-68322-3_6</v>
      </c>
      <c r="BG613" t="s">
        <v>11303</v>
      </c>
      <c r="BH613" t="s">
        <v>74</v>
      </c>
      <c r="BI613">
        <v>44</v>
      </c>
      <c r="BJ613" t="s">
        <v>11304</v>
      </c>
      <c r="BK613" t="s">
        <v>8579</v>
      </c>
      <c r="BL613" t="s">
        <v>11304</v>
      </c>
      <c r="BM613" t="s">
        <v>11305</v>
      </c>
      <c r="BN613" t="s">
        <v>74</v>
      </c>
      <c r="BO613" t="s">
        <v>555</v>
      </c>
      <c r="BP613" t="s">
        <v>74</v>
      </c>
      <c r="BQ613" t="s">
        <v>74</v>
      </c>
      <c r="BR613" t="s">
        <v>105</v>
      </c>
      <c r="BS613" t="s">
        <v>11311</v>
      </c>
      <c r="BT613" t="str">
        <f>HYPERLINK("https%3A%2F%2Fwww.webofscience.com%2Fwos%2Fwoscc%2Ffull-record%2FWOS:000282608300006","View Full Record in Web of Science")</f>
        <v>View Full Record in Web of Science</v>
      </c>
    </row>
    <row r="614" spans="1:72" x14ac:dyDescent="0.15">
      <c r="A614" t="s">
        <v>8697</v>
      </c>
      <c r="B614" t="s">
        <v>11312</v>
      </c>
      <c r="C614" t="s">
        <v>74</v>
      </c>
      <c r="D614" t="s">
        <v>11313</v>
      </c>
      <c r="E614" t="s">
        <v>74</v>
      </c>
      <c r="F614" t="s">
        <v>11314</v>
      </c>
      <c r="G614" t="s">
        <v>74</v>
      </c>
      <c r="H614" t="s">
        <v>74</v>
      </c>
      <c r="I614" t="s">
        <v>11315</v>
      </c>
      <c r="J614" t="s">
        <v>11316</v>
      </c>
      <c r="K614" t="s">
        <v>11317</v>
      </c>
      <c r="L614" t="s">
        <v>74</v>
      </c>
      <c r="M614" t="s">
        <v>78</v>
      </c>
      <c r="N614" t="s">
        <v>8704</v>
      </c>
      <c r="O614" t="s">
        <v>74</v>
      </c>
      <c r="P614" t="s">
        <v>74</v>
      </c>
      <c r="Q614" t="s">
        <v>74</v>
      </c>
      <c r="R614" t="s">
        <v>74</v>
      </c>
      <c r="S614" t="s">
        <v>74</v>
      </c>
      <c r="T614" t="s">
        <v>74</v>
      </c>
      <c r="U614" t="s">
        <v>11318</v>
      </c>
      <c r="V614" t="s">
        <v>11319</v>
      </c>
      <c r="W614" t="s">
        <v>11320</v>
      </c>
      <c r="X614" t="s">
        <v>11321</v>
      </c>
      <c r="Y614" t="s">
        <v>11322</v>
      </c>
      <c r="Z614" t="s">
        <v>11323</v>
      </c>
      <c r="AA614" t="s">
        <v>11324</v>
      </c>
      <c r="AB614" t="s">
        <v>74</v>
      </c>
      <c r="AC614" t="s">
        <v>74</v>
      </c>
      <c r="AD614" t="s">
        <v>74</v>
      </c>
      <c r="AE614" t="s">
        <v>74</v>
      </c>
      <c r="AF614" t="s">
        <v>74</v>
      </c>
      <c r="AG614">
        <v>8</v>
      </c>
      <c r="AH614">
        <v>28</v>
      </c>
      <c r="AI614">
        <v>31</v>
      </c>
      <c r="AJ614">
        <v>0</v>
      </c>
      <c r="AK614">
        <v>12</v>
      </c>
      <c r="AL614" t="s">
        <v>8866</v>
      </c>
      <c r="AM614" t="s">
        <v>6462</v>
      </c>
      <c r="AN614" t="s">
        <v>8867</v>
      </c>
      <c r="AO614" t="s">
        <v>11325</v>
      </c>
      <c r="AP614" t="s">
        <v>74</v>
      </c>
      <c r="AQ614" t="s">
        <v>11326</v>
      </c>
      <c r="AR614" t="s">
        <v>11327</v>
      </c>
      <c r="AS614" t="s">
        <v>11328</v>
      </c>
      <c r="AT614" t="s">
        <v>74</v>
      </c>
      <c r="AU614">
        <v>2010</v>
      </c>
      <c r="AV614">
        <v>21</v>
      </c>
      <c r="AW614" t="s">
        <v>74</v>
      </c>
      <c r="AX614" t="s">
        <v>74</v>
      </c>
      <c r="AY614" t="s">
        <v>74</v>
      </c>
      <c r="AZ614" t="s">
        <v>74</v>
      </c>
      <c r="BA614" t="s">
        <v>74</v>
      </c>
      <c r="BB614">
        <v>1</v>
      </c>
      <c r="BC614">
        <v>4</v>
      </c>
      <c r="BD614" t="s">
        <v>74</v>
      </c>
      <c r="BE614" t="s">
        <v>11329</v>
      </c>
      <c r="BF614" t="str">
        <f>HYPERLINK("http://dx.doi.org/10.1007/978-3-642-12422-8_1","http://dx.doi.org/10.1007/978-3-642-12422-8_1")</f>
        <v>http://dx.doi.org/10.1007/978-3-642-12422-8_1</v>
      </c>
      <c r="BG614" t="s">
        <v>11330</v>
      </c>
      <c r="BH614" t="s">
        <v>74</v>
      </c>
      <c r="BI614">
        <v>4</v>
      </c>
      <c r="BJ614" t="s">
        <v>11331</v>
      </c>
      <c r="BK614" t="s">
        <v>8579</v>
      </c>
      <c r="BL614" t="s">
        <v>11331</v>
      </c>
      <c r="BM614" t="s">
        <v>11332</v>
      </c>
      <c r="BN614" t="s">
        <v>74</v>
      </c>
      <c r="BO614" t="s">
        <v>74</v>
      </c>
      <c r="BP614" t="s">
        <v>74</v>
      </c>
      <c r="BQ614" t="s">
        <v>74</v>
      </c>
      <c r="BR614" t="s">
        <v>105</v>
      </c>
      <c r="BS614" t="s">
        <v>11333</v>
      </c>
      <c r="BT614" t="str">
        <f>HYPERLINK("https%3A%2F%2Fwww.webofscience.com%2Fwos%2Fwoscc%2Ffull-record%2FWOS:000281350300001","View Full Record in Web of Science")</f>
        <v>View Full Record in Web of Science</v>
      </c>
    </row>
    <row r="615" spans="1:72" x14ac:dyDescent="0.15">
      <c r="A615" t="s">
        <v>8697</v>
      </c>
      <c r="B615" t="s">
        <v>11334</v>
      </c>
      <c r="C615" t="s">
        <v>74</v>
      </c>
      <c r="D615" t="s">
        <v>11313</v>
      </c>
      <c r="E615" t="s">
        <v>74</v>
      </c>
      <c r="F615" t="s">
        <v>11335</v>
      </c>
      <c r="G615" t="s">
        <v>74</v>
      </c>
      <c r="H615" t="s">
        <v>74</v>
      </c>
      <c r="I615" t="s">
        <v>11336</v>
      </c>
      <c r="J615" t="s">
        <v>11316</v>
      </c>
      <c r="K615" t="s">
        <v>11317</v>
      </c>
      <c r="L615" t="s">
        <v>74</v>
      </c>
      <c r="M615" t="s">
        <v>78</v>
      </c>
      <c r="N615" t="s">
        <v>8859</v>
      </c>
      <c r="O615" t="s">
        <v>74</v>
      </c>
      <c r="P615" t="s">
        <v>74</v>
      </c>
      <c r="Q615" t="s">
        <v>74</v>
      </c>
      <c r="R615" t="s">
        <v>74</v>
      </c>
      <c r="S615" t="s">
        <v>74</v>
      </c>
      <c r="T615" t="s">
        <v>74</v>
      </c>
      <c r="U615" t="s">
        <v>11337</v>
      </c>
      <c r="V615" t="s">
        <v>11338</v>
      </c>
      <c r="W615" t="s">
        <v>11339</v>
      </c>
      <c r="X615" t="s">
        <v>11340</v>
      </c>
      <c r="Y615" t="s">
        <v>11341</v>
      </c>
      <c r="Z615" t="s">
        <v>11342</v>
      </c>
      <c r="AA615" t="s">
        <v>11343</v>
      </c>
      <c r="AB615" t="s">
        <v>11344</v>
      </c>
      <c r="AC615" t="s">
        <v>11345</v>
      </c>
      <c r="AD615" t="s">
        <v>11346</v>
      </c>
      <c r="AE615" t="s">
        <v>74</v>
      </c>
      <c r="AF615" t="s">
        <v>74</v>
      </c>
      <c r="AG615">
        <v>67</v>
      </c>
      <c r="AH615">
        <v>4</v>
      </c>
      <c r="AI615">
        <v>4</v>
      </c>
      <c r="AJ615">
        <v>0</v>
      </c>
      <c r="AK615">
        <v>4</v>
      </c>
      <c r="AL615" t="s">
        <v>8866</v>
      </c>
      <c r="AM615" t="s">
        <v>6462</v>
      </c>
      <c r="AN615" t="s">
        <v>8867</v>
      </c>
      <c r="AO615" t="s">
        <v>11325</v>
      </c>
      <c r="AP615" t="s">
        <v>74</v>
      </c>
      <c r="AQ615" t="s">
        <v>11326</v>
      </c>
      <c r="AR615" t="s">
        <v>11327</v>
      </c>
      <c r="AS615" t="s">
        <v>11328</v>
      </c>
      <c r="AT615" t="s">
        <v>74</v>
      </c>
      <c r="AU615">
        <v>2010</v>
      </c>
      <c r="AV615">
        <v>21</v>
      </c>
      <c r="AW615" t="s">
        <v>74</v>
      </c>
      <c r="AX615" t="s">
        <v>74</v>
      </c>
      <c r="AY615" t="s">
        <v>74</v>
      </c>
      <c r="AZ615" t="s">
        <v>74</v>
      </c>
      <c r="BA615" t="s">
        <v>74</v>
      </c>
      <c r="BB615">
        <v>147</v>
      </c>
      <c r="BC615">
        <v>163</v>
      </c>
      <c r="BD615" t="s">
        <v>74</v>
      </c>
      <c r="BE615" t="s">
        <v>11347</v>
      </c>
      <c r="BF615" t="str">
        <f>HYPERLINK("http://dx.doi.org/10.1007/978-3-642-12422-8_9","http://dx.doi.org/10.1007/978-3-642-12422-8_9")</f>
        <v>http://dx.doi.org/10.1007/978-3-642-12422-8_9</v>
      </c>
      <c r="BG615" t="s">
        <v>11330</v>
      </c>
      <c r="BH615" t="s">
        <v>74</v>
      </c>
      <c r="BI615">
        <v>17</v>
      </c>
      <c r="BJ615" t="s">
        <v>11331</v>
      </c>
      <c r="BK615" t="s">
        <v>8579</v>
      </c>
      <c r="BL615" t="s">
        <v>11331</v>
      </c>
      <c r="BM615" t="s">
        <v>11332</v>
      </c>
      <c r="BN615" t="s">
        <v>74</v>
      </c>
      <c r="BO615" t="s">
        <v>74</v>
      </c>
      <c r="BP615" t="s">
        <v>74</v>
      </c>
      <c r="BQ615" t="s">
        <v>74</v>
      </c>
      <c r="BR615" t="s">
        <v>105</v>
      </c>
      <c r="BS615" t="s">
        <v>11348</v>
      </c>
      <c r="BT615" t="str">
        <f>HYPERLINK("https%3A%2F%2Fwww.webofscience.com%2Fwos%2Fwoscc%2Ffull-record%2FWOS:000281350300009","View Full Record in Web of Science")</f>
        <v>View Full Record in Web of Science</v>
      </c>
    </row>
    <row r="616" spans="1:72" x14ac:dyDescent="0.15">
      <c r="A616" t="s">
        <v>8563</v>
      </c>
      <c r="B616" t="s">
        <v>11349</v>
      </c>
      <c r="C616" t="s">
        <v>74</v>
      </c>
      <c r="D616" t="s">
        <v>11350</v>
      </c>
      <c r="E616" t="s">
        <v>74</v>
      </c>
      <c r="F616" t="s">
        <v>11351</v>
      </c>
      <c r="G616" t="s">
        <v>74</v>
      </c>
      <c r="H616" t="s">
        <v>74</v>
      </c>
      <c r="I616" t="s">
        <v>11352</v>
      </c>
      <c r="J616" t="s">
        <v>11353</v>
      </c>
      <c r="K616" t="s">
        <v>74</v>
      </c>
      <c r="L616" t="s">
        <v>74</v>
      </c>
      <c r="M616" t="s">
        <v>78</v>
      </c>
      <c r="N616" t="s">
        <v>8859</v>
      </c>
      <c r="O616" t="s">
        <v>74</v>
      </c>
      <c r="P616" t="s">
        <v>74</v>
      </c>
      <c r="Q616" t="s">
        <v>74</v>
      </c>
      <c r="R616" t="s">
        <v>74</v>
      </c>
      <c r="S616" t="s">
        <v>74</v>
      </c>
      <c r="T616" t="s">
        <v>74</v>
      </c>
      <c r="U616" t="s">
        <v>74</v>
      </c>
      <c r="V616" t="s">
        <v>11354</v>
      </c>
      <c r="W616" t="s">
        <v>11355</v>
      </c>
      <c r="X616" t="s">
        <v>11356</v>
      </c>
      <c r="Y616" t="s">
        <v>11357</v>
      </c>
      <c r="Z616" t="s">
        <v>74</v>
      </c>
      <c r="AA616" t="s">
        <v>11358</v>
      </c>
      <c r="AB616" t="s">
        <v>74</v>
      </c>
      <c r="AC616" t="s">
        <v>74</v>
      </c>
      <c r="AD616" t="s">
        <v>74</v>
      </c>
      <c r="AE616" t="s">
        <v>74</v>
      </c>
      <c r="AF616" t="s">
        <v>74</v>
      </c>
      <c r="AG616">
        <v>0</v>
      </c>
      <c r="AH616">
        <v>4</v>
      </c>
      <c r="AI616">
        <v>5</v>
      </c>
      <c r="AJ616">
        <v>0</v>
      </c>
      <c r="AK616">
        <v>4</v>
      </c>
      <c r="AL616" t="s">
        <v>8713</v>
      </c>
      <c r="AM616" t="s">
        <v>2418</v>
      </c>
      <c r="AN616" t="s">
        <v>8714</v>
      </c>
      <c r="AO616" t="s">
        <v>74</v>
      </c>
      <c r="AP616" t="s">
        <v>74</v>
      </c>
      <c r="AQ616" t="s">
        <v>11359</v>
      </c>
      <c r="AR616" t="s">
        <v>74</v>
      </c>
      <c r="AS616" t="s">
        <v>74</v>
      </c>
      <c r="AT616" t="s">
        <v>74</v>
      </c>
      <c r="AU616">
        <v>2010</v>
      </c>
      <c r="AV616" t="s">
        <v>74</v>
      </c>
      <c r="AW616" t="s">
        <v>74</v>
      </c>
      <c r="AX616" t="s">
        <v>74</v>
      </c>
      <c r="AY616" t="s">
        <v>74</v>
      </c>
      <c r="AZ616" t="s">
        <v>74</v>
      </c>
      <c r="BA616" t="s">
        <v>74</v>
      </c>
      <c r="BB616">
        <v>1</v>
      </c>
      <c r="BC616">
        <v>20</v>
      </c>
      <c r="BD616" t="s">
        <v>74</v>
      </c>
      <c r="BE616" t="s">
        <v>11360</v>
      </c>
      <c r="BF616" t="str">
        <f>HYPERLINK("http://dx.doi.org/10.1016/B978-0-12-373723-6.00001-1","http://dx.doi.org/10.1016/B978-0-12-373723-6.00001-1")</f>
        <v>http://dx.doi.org/10.1016/B978-0-12-373723-6.00001-1</v>
      </c>
      <c r="BG616" t="s">
        <v>74</v>
      </c>
      <c r="BH616" t="s">
        <v>74</v>
      </c>
      <c r="BI616">
        <v>20</v>
      </c>
      <c r="BJ616" t="s">
        <v>2318</v>
      </c>
      <c r="BK616" t="s">
        <v>8579</v>
      </c>
      <c r="BL616" t="s">
        <v>2318</v>
      </c>
      <c r="BM616" t="s">
        <v>11361</v>
      </c>
      <c r="BN616" t="s">
        <v>74</v>
      </c>
      <c r="BO616" t="s">
        <v>74</v>
      </c>
      <c r="BP616" t="s">
        <v>74</v>
      </c>
      <c r="BQ616" t="s">
        <v>74</v>
      </c>
      <c r="BR616" t="s">
        <v>105</v>
      </c>
      <c r="BS616" t="s">
        <v>11362</v>
      </c>
      <c r="BT616" t="str">
        <f>HYPERLINK("https%3A%2F%2Fwww.webofscience.com%2Fwos%2Fwoscc%2Ffull-record%2FWOS:000324890700002","View Full Record in Web of Science")</f>
        <v>View Full Record in Web of Science</v>
      </c>
    </row>
    <row r="617" spans="1:72" x14ac:dyDescent="0.15">
      <c r="A617" t="s">
        <v>8563</v>
      </c>
      <c r="B617" t="s">
        <v>11363</v>
      </c>
      <c r="C617" t="s">
        <v>74</v>
      </c>
      <c r="D617" t="s">
        <v>11350</v>
      </c>
      <c r="E617" t="s">
        <v>74</v>
      </c>
      <c r="F617" t="s">
        <v>11364</v>
      </c>
      <c r="G617" t="s">
        <v>74</v>
      </c>
      <c r="H617" t="s">
        <v>74</v>
      </c>
      <c r="I617" t="s">
        <v>11365</v>
      </c>
      <c r="J617" t="s">
        <v>11353</v>
      </c>
      <c r="K617" t="s">
        <v>74</v>
      </c>
      <c r="L617" t="s">
        <v>74</v>
      </c>
      <c r="M617" t="s">
        <v>78</v>
      </c>
      <c r="N617" t="s">
        <v>8859</v>
      </c>
      <c r="O617" t="s">
        <v>74</v>
      </c>
      <c r="P617" t="s">
        <v>74</v>
      </c>
      <c r="Q617" t="s">
        <v>74</v>
      </c>
      <c r="R617" t="s">
        <v>74</v>
      </c>
      <c r="S617" t="s">
        <v>74</v>
      </c>
      <c r="T617" t="s">
        <v>74</v>
      </c>
      <c r="U617" t="s">
        <v>74</v>
      </c>
      <c r="V617" t="s">
        <v>11366</v>
      </c>
      <c r="W617" t="s">
        <v>11367</v>
      </c>
      <c r="X617" t="s">
        <v>11368</v>
      </c>
      <c r="Y617" t="s">
        <v>11369</v>
      </c>
      <c r="Z617" t="s">
        <v>74</v>
      </c>
      <c r="AA617" t="s">
        <v>74</v>
      </c>
      <c r="AB617" t="s">
        <v>11370</v>
      </c>
      <c r="AC617" t="s">
        <v>74</v>
      </c>
      <c r="AD617" t="s">
        <v>74</v>
      </c>
      <c r="AE617" t="s">
        <v>74</v>
      </c>
      <c r="AF617" t="s">
        <v>74</v>
      </c>
      <c r="AG617">
        <v>0</v>
      </c>
      <c r="AH617">
        <v>13</v>
      </c>
      <c r="AI617">
        <v>16</v>
      </c>
      <c r="AJ617">
        <v>0</v>
      </c>
      <c r="AK617">
        <v>9</v>
      </c>
      <c r="AL617" t="s">
        <v>8713</v>
      </c>
      <c r="AM617" t="s">
        <v>2418</v>
      </c>
      <c r="AN617" t="s">
        <v>8714</v>
      </c>
      <c r="AO617" t="s">
        <v>74</v>
      </c>
      <c r="AP617" t="s">
        <v>74</v>
      </c>
      <c r="AQ617" t="s">
        <v>11359</v>
      </c>
      <c r="AR617" t="s">
        <v>74</v>
      </c>
      <c r="AS617" t="s">
        <v>74</v>
      </c>
      <c r="AT617" t="s">
        <v>74</v>
      </c>
      <c r="AU617">
        <v>2010</v>
      </c>
      <c r="AV617" t="s">
        <v>74</v>
      </c>
      <c r="AW617" t="s">
        <v>74</v>
      </c>
      <c r="AX617" t="s">
        <v>74</v>
      </c>
      <c r="AY617" t="s">
        <v>74</v>
      </c>
      <c r="AZ617" t="s">
        <v>74</v>
      </c>
      <c r="BA617" t="s">
        <v>74</v>
      </c>
      <c r="BB617">
        <v>313</v>
      </c>
      <c r="BC617">
        <v>332</v>
      </c>
      <c r="BD617" t="s">
        <v>74</v>
      </c>
      <c r="BE617" t="s">
        <v>11371</v>
      </c>
      <c r="BF617" t="str">
        <f>HYPERLINK("http://dx.doi.org/10.1016/B978-0-12-373723-6.00015-1","http://dx.doi.org/10.1016/B978-0-12-373723-6.00015-1")</f>
        <v>http://dx.doi.org/10.1016/B978-0-12-373723-6.00015-1</v>
      </c>
      <c r="BG617" t="s">
        <v>74</v>
      </c>
      <c r="BH617" t="s">
        <v>74</v>
      </c>
      <c r="BI617">
        <v>20</v>
      </c>
      <c r="BJ617" t="s">
        <v>2318</v>
      </c>
      <c r="BK617" t="s">
        <v>8579</v>
      </c>
      <c r="BL617" t="s">
        <v>2318</v>
      </c>
      <c r="BM617" t="s">
        <v>11361</v>
      </c>
      <c r="BN617" t="s">
        <v>74</v>
      </c>
      <c r="BO617" t="s">
        <v>74</v>
      </c>
      <c r="BP617" t="s">
        <v>74</v>
      </c>
      <c r="BQ617" t="s">
        <v>74</v>
      </c>
      <c r="BR617" t="s">
        <v>105</v>
      </c>
      <c r="BS617" t="s">
        <v>11372</v>
      </c>
      <c r="BT617" t="str">
        <f>HYPERLINK("https%3A%2F%2Fwww.webofscience.com%2Fwos%2Fwoscc%2Ffull-record%2FWOS:000324890700016","View Full Record in Web of Science")</f>
        <v>View Full Record in Web of Science</v>
      </c>
    </row>
    <row r="618" spans="1:72" x14ac:dyDescent="0.15">
      <c r="A618" t="s">
        <v>8563</v>
      </c>
      <c r="B618" t="s">
        <v>11373</v>
      </c>
      <c r="C618" t="s">
        <v>74</v>
      </c>
      <c r="D618" t="s">
        <v>11374</v>
      </c>
      <c r="E618" t="s">
        <v>74</v>
      </c>
      <c r="F618" t="s">
        <v>11375</v>
      </c>
      <c r="G618" t="s">
        <v>74</v>
      </c>
      <c r="H618" t="s">
        <v>74</v>
      </c>
      <c r="I618" t="s">
        <v>11376</v>
      </c>
      <c r="J618" t="s">
        <v>11377</v>
      </c>
      <c r="K618" t="s">
        <v>11378</v>
      </c>
      <c r="L618" t="s">
        <v>74</v>
      </c>
      <c r="M618" t="s">
        <v>78</v>
      </c>
      <c r="N618" t="s">
        <v>8859</v>
      </c>
      <c r="O618" t="s">
        <v>74</v>
      </c>
      <c r="P618" t="s">
        <v>74</v>
      </c>
      <c r="Q618" t="s">
        <v>74</v>
      </c>
      <c r="R618" t="s">
        <v>74</v>
      </c>
      <c r="S618" t="s">
        <v>74</v>
      </c>
      <c r="T618" t="s">
        <v>11379</v>
      </c>
      <c r="U618" t="s">
        <v>11380</v>
      </c>
      <c r="V618" t="s">
        <v>11381</v>
      </c>
      <c r="W618" t="s">
        <v>11382</v>
      </c>
      <c r="X618" t="s">
        <v>7241</v>
      </c>
      <c r="Y618" t="s">
        <v>11383</v>
      </c>
      <c r="Z618" t="s">
        <v>74</v>
      </c>
      <c r="AA618" t="s">
        <v>11384</v>
      </c>
      <c r="AB618" t="s">
        <v>74</v>
      </c>
      <c r="AC618" t="s">
        <v>74</v>
      </c>
      <c r="AD618" t="s">
        <v>74</v>
      </c>
      <c r="AE618" t="s">
        <v>74</v>
      </c>
      <c r="AF618" t="s">
        <v>74</v>
      </c>
      <c r="AG618">
        <v>21</v>
      </c>
      <c r="AH618">
        <v>1</v>
      </c>
      <c r="AI618">
        <v>1</v>
      </c>
      <c r="AJ618">
        <v>0</v>
      </c>
      <c r="AK618">
        <v>0</v>
      </c>
      <c r="AL618" t="s">
        <v>9400</v>
      </c>
      <c r="AM618" t="s">
        <v>9401</v>
      </c>
      <c r="AN618" t="s">
        <v>9402</v>
      </c>
      <c r="AO618" t="s">
        <v>74</v>
      </c>
      <c r="AP618" t="s">
        <v>74</v>
      </c>
      <c r="AQ618" t="s">
        <v>11385</v>
      </c>
      <c r="AR618" t="s">
        <v>11386</v>
      </c>
      <c r="AS618" t="s">
        <v>74</v>
      </c>
      <c r="AT618" t="s">
        <v>74</v>
      </c>
      <c r="AU618">
        <v>2010</v>
      </c>
      <c r="AV618" t="s">
        <v>74</v>
      </c>
      <c r="AW618" t="s">
        <v>74</v>
      </c>
      <c r="AX618" t="s">
        <v>74</v>
      </c>
      <c r="AY618" t="s">
        <v>74</v>
      </c>
      <c r="AZ618" t="s">
        <v>74</v>
      </c>
      <c r="BA618" t="s">
        <v>74</v>
      </c>
      <c r="BB618">
        <v>245</v>
      </c>
      <c r="BC618">
        <v>251</v>
      </c>
      <c r="BD618" t="s">
        <v>74</v>
      </c>
      <c r="BE618" t="s">
        <v>74</v>
      </c>
      <c r="BF618" t="s">
        <v>74</v>
      </c>
      <c r="BG618" t="s">
        <v>74</v>
      </c>
      <c r="BH618" t="s">
        <v>74</v>
      </c>
      <c r="BI618">
        <v>7</v>
      </c>
      <c r="BJ618" t="s">
        <v>11387</v>
      </c>
      <c r="BK618" t="s">
        <v>8579</v>
      </c>
      <c r="BL618" t="s">
        <v>11388</v>
      </c>
      <c r="BM618" t="s">
        <v>11389</v>
      </c>
      <c r="BN618" t="s">
        <v>74</v>
      </c>
      <c r="BO618" t="s">
        <v>74</v>
      </c>
      <c r="BP618" t="s">
        <v>74</v>
      </c>
      <c r="BQ618" t="s">
        <v>74</v>
      </c>
      <c r="BR618" t="s">
        <v>105</v>
      </c>
      <c r="BS618" t="s">
        <v>11390</v>
      </c>
      <c r="BT618" t="str">
        <f>HYPERLINK("https%3A%2F%2Fwww.webofscience.com%2Fwos%2Fwoscc%2Ffull-record%2FWOS:000278418000008","View Full Record in Web of Science")</f>
        <v>View Full Record in Web of Science</v>
      </c>
    </row>
    <row r="619" spans="1:72" x14ac:dyDescent="0.15">
      <c r="A619" t="s">
        <v>8257</v>
      </c>
      <c r="B619" t="s">
        <v>11391</v>
      </c>
      <c r="C619" t="s">
        <v>74</v>
      </c>
      <c r="D619" t="s">
        <v>11392</v>
      </c>
      <c r="E619" t="s">
        <v>74</v>
      </c>
      <c r="F619" t="s">
        <v>11393</v>
      </c>
      <c r="G619" t="s">
        <v>74</v>
      </c>
      <c r="H619" t="s">
        <v>74</v>
      </c>
      <c r="I619" t="s">
        <v>11394</v>
      </c>
      <c r="J619" t="s">
        <v>11395</v>
      </c>
      <c r="K619" t="s">
        <v>9704</v>
      </c>
      <c r="L619" t="s">
        <v>74</v>
      </c>
      <c r="M619" t="s">
        <v>78</v>
      </c>
      <c r="N619" t="s">
        <v>8264</v>
      </c>
      <c r="O619" t="s">
        <v>11396</v>
      </c>
      <c r="P619" t="s">
        <v>11397</v>
      </c>
      <c r="Q619" t="s">
        <v>11398</v>
      </c>
      <c r="R619" t="s">
        <v>74</v>
      </c>
      <c r="S619" t="s">
        <v>74</v>
      </c>
      <c r="T619" t="s">
        <v>74</v>
      </c>
      <c r="U619" t="s">
        <v>74</v>
      </c>
      <c r="V619" t="s">
        <v>11399</v>
      </c>
      <c r="W619" t="s">
        <v>11400</v>
      </c>
      <c r="X619" t="s">
        <v>5544</v>
      </c>
      <c r="Y619" t="s">
        <v>11401</v>
      </c>
      <c r="Z619" t="s">
        <v>74</v>
      </c>
      <c r="AA619" t="s">
        <v>9713</v>
      </c>
      <c r="AB619" t="s">
        <v>9714</v>
      </c>
      <c r="AC619" t="s">
        <v>74</v>
      </c>
      <c r="AD619" t="s">
        <v>74</v>
      </c>
      <c r="AE619" t="s">
        <v>74</v>
      </c>
      <c r="AF619" t="s">
        <v>74</v>
      </c>
      <c r="AG619">
        <v>5</v>
      </c>
      <c r="AH619">
        <v>3</v>
      </c>
      <c r="AI619">
        <v>4</v>
      </c>
      <c r="AJ619">
        <v>0</v>
      </c>
      <c r="AK619">
        <v>4</v>
      </c>
      <c r="AL619" t="s">
        <v>8533</v>
      </c>
      <c r="AM619" t="s">
        <v>8534</v>
      </c>
      <c r="AN619" t="s">
        <v>8535</v>
      </c>
      <c r="AO619" t="s">
        <v>8536</v>
      </c>
      <c r="AP619" t="s">
        <v>9717</v>
      </c>
      <c r="AQ619" t="s">
        <v>11402</v>
      </c>
      <c r="AR619" t="s">
        <v>9719</v>
      </c>
      <c r="AS619" t="s">
        <v>74</v>
      </c>
      <c r="AT619" t="s">
        <v>74</v>
      </c>
      <c r="AU619">
        <v>2010</v>
      </c>
      <c r="AV619">
        <v>7862</v>
      </c>
      <c r="AW619" t="s">
        <v>74</v>
      </c>
      <c r="AX619" t="s">
        <v>74</v>
      </c>
      <c r="AY619" t="s">
        <v>74</v>
      </c>
      <c r="AZ619" t="s">
        <v>74</v>
      </c>
      <c r="BA619" t="s">
        <v>74</v>
      </c>
      <c r="BB619" t="s">
        <v>74</v>
      </c>
      <c r="BC619" t="s">
        <v>74</v>
      </c>
      <c r="BD619" t="s">
        <v>11403</v>
      </c>
      <c r="BE619" t="s">
        <v>11404</v>
      </c>
      <c r="BF619" t="str">
        <f>HYPERLINK("http://dx.doi.org/10.1117/12.869606","http://dx.doi.org/10.1117/12.869606")</f>
        <v>http://dx.doi.org/10.1117/12.869606</v>
      </c>
      <c r="BG619" t="s">
        <v>74</v>
      </c>
      <c r="BH619" t="s">
        <v>74</v>
      </c>
      <c r="BI619">
        <v>10</v>
      </c>
      <c r="BJ619" t="s">
        <v>11405</v>
      </c>
      <c r="BK619" t="s">
        <v>8281</v>
      </c>
      <c r="BL619" t="s">
        <v>11405</v>
      </c>
      <c r="BM619" t="s">
        <v>11406</v>
      </c>
      <c r="BN619" t="s">
        <v>74</v>
      </c>
      <c r="BO619" t="s">
        <v>74</v>
      </c>
      <c r="BP619" t="s">
        <v>74</v>
      </c>
      <c r="BQ619" t="s">
        <v>74</v>
      </c>
      <c r="BR619" t="s">
        <v>105</v>
      </c>
      <c r="BS619" t="s">
        <v>11407</v>
      </c>
      <c r="BT619" t="str">
        <f>HYPERLINK("https%3A%2F%2Fwww.webofscience.com%2Fwos%2Fwoscc%2Ffull-record%2FWOS:000287661700012","View Full Record in Web of Science")</f>
        <v>View Full Record in Web of Science</v>
      </c>
    </row>
    <row r="620" spans="1:72" x14ac:dyDescent="0.15">
      <c r="A620" t="s">
        <v>72</v>
      </c>
      <c r="B620" t="s">
        <v>11408</v>
      </c>
      <c r="C620" t="s">
        <v>74</v>
      </c>
      <c r="D620" t="s">
        <v>74</v>
      </c>
      <c r="E620" t="s">
        <v>74</v>
      </c>
      <c r="F620" t="s">
        <v>11409</v>
      </c>
      <c r="G620" t="s">
        <v>74</v>
      </c>
      <c r="H620" t="s">
        <v>74</v>
      </c>
      <c r="I620" t="s">
        <v>11410</v>
      </c>
      <c r="J620" t="s">
        <v>11411</v>
      </c>
      <c r="K620" t="s">
        <v>74</v>
      </c>
      <c r="L620" t="s">
        <v>74</v>
      </c>
      <c r="M620" t="s">
        <v>78</v>
      </c>
      <c r="N620" t="s">
        <v>111</v>
      </c>
      <c r="O620" t="s">
        <v>11412</v>
      </c>
      <c r="P620" t="s">
        <v>11413</v>
      </c>
      <c r="Q620" t="s">
        <v>11414</v>
      </c>
      <c r="R620" t="s">
        <v>74</v>
      </c>
      <c r="S620" t="s">
        <v>74</v>
      </c>
      <c r="T620" t="s">
        <v>11415</v>
      </c>
      <c r="U620" t="s">
        <v>11416</v>
      </c>
      <c r="V620" t="s">
        <v>11417</v>
      </c>
      <c r="W620" t="s">
        <v>11418</v>
      </c>
      <c r="X620" t="s">
        <v>11419</v>
      </c>
      <c r="Y620" t="s">
        <v>11420</v>
      </c>
      <c r="Z620" t="s">
        <v>11421</v>
      </c>
      <c r="AA620" t="s">
        <v>11422</v>
      </c>
      <c r="AB620" t="s">
        <v>11423</v>
      </c>
      <c r="AC620" t="s">
        <v>74</v>
      </c>
      <c r="AD620" t="s">
        <v>74</v>
      </c>
      <c r="AE620" t="s">
        <v>74</v>
      </c>
      <c r="AF620" t="s">
        <v>74</v>
      </c>
      <c r="AG620">
        <v>68</v>
      </c>
      <c r="AH620">
        <v>13</v>
      </c>
      <c r="AI620">
        <v>13</v>
      </c>
      <c r="AJ620">
        <v>0</v>
      </c>
      <c r="AK620">
        <v>6</v>
      </c>
      <c r="AL620" t="s">
        <v>813</v>
      </c>
      <c r="AM620" t="s">
        <v>225</v>
      </c>
      <c r="AN620" t="s">
        <v>907</v>
      </c>
      <c r="AO620" t="s">
        <v>74</v>
      </c>
      <c r="AP620" t="s">
        <v>11424</v>
      </c>
      <c r="AQ620" t="s">
        <v>74</v>
      </c>
      <c r="AR620" t="s">
        <v>11425</v>
      </c>
      <c r="AS620" t="s">
        <v>11426</v>
      </c>
      <c r="AT620" t="s">
        <v>74</v>
      </c>
      <c r="AU620">
        <v>2010</v>
      </c>
      <c r="AV620">
        <v>62</v>
      </c>
      <c r="AW620">
        <v>1</v>
      </c>
      <c r="AX620" t="s">
        <v>74</v>
      </c>
      <c r="AY620" t="s">
        <v>74</v>
      </c>
      <c r="AZ620" t="s">
        <v>74</v>
      </c>
      <c r="BA620" t="s">
        <v>74</v>
      </c>
      <c r="BB620">
        <v>33</v>
      </c>
      <c r="BC620">
        <v>46</v>
      </c>
      <c r="BD620" t="s">
        <v>74</v>
      </c>
      <c r="BE620" t="s">
        <v>11427</v>
      </c>
      <c r="BF620" t="str">
        <f>HYPERLINK("http://dx.doi.org/10.5047/eps.2008.11.001","http://dx.doi.org/10.5047/eps.2008.11.001")</f>
        <v>http://dx.doi.org/10.5047/eps.2008.11.001</v>
      </c>
      <c r="BG620" t="s">
        <v>74</v>
      </c>
      <c r="BH620" t="s">
        <v>74</v>
      </c>
      <c r="BI620">
        <v>14</v>
      </c>
      <c r="BJ620" t="s">
        <v>913</v>
      </c>
      <c r="BK620" t="s">
        <v>128</v>
      </c>
      <c r="BL620" t="s">
        <v>914</v>
      </c>
      <c r="BM620" t="s">
        <v>11428</v>
      </c>
      <c r="BN620" t="s">
        <v>74</v>
      </c>
      <c r="BO620" t="s">
        <v>3033</v>
      </c>
      <c r="BP620" t="s">
        <v>74</v>
      </c>
      <c r="BQ620" t="s">
        <v>74</v>
      </c>
      <c r="BR620" t="s">
        <v>105</v>
      </c>
      <c r="BS620" t="s">
        <v>11429</v>
      </c>
      <c r="BT620" t="str">
        <f>HYPERLINK("https%3A%2F%2Fwww.webofscience.com%2Fwos%2Fwoscc%2Ffull-record%2FWOS:000275156600007","View Full Record in Web of Science")</f>
        <v>View Full Record in Web of Science</v>
      </c>
    </row>
    <row r="621" spans="1:72" x14ac:dyDescent="0.15">
      <c r="A621" t="s">
        <v>72</v>
      </c>
      <c r="B621" t="s">
        <v>11430</v>
      </c>
      <c r="C621" t="s">
        <v>74</v>
      </c>
      <c r="D621" t="s">
        <v>74</v>
      </c>
      <c r="E621" t="s">
        <v>74</v>
      </c>
      <c r="F621" t="s">
        <v>11431</v>
      </c>
      <c r="G621" t="s">
        <v>74</v>
      </c>
      <c r="H621" t="s">
        <v>74</v>
      </c>
      <c r="I621" t="s">
        <v>11432</v>
      </c>
      <c r="J621" t="s">
        <v>11411</v>
      </c>
      <c r="K621" t="s">
        <v>74</v>
      </c>
      <c r="L621" t="s">
        <v>74</v>
      </c>
      <c r="M621" t="s">
        <v>78</v>
      </c>
      <c r="N621" t="s">
        <v>79</v>
      </c>
      <c r="O621" t="s">
        <v>74</v>
      </c>
      <c r="P621" t="s">
        <v>74</v>
      </c>
      <c r="Q621" t="s">
        <v>74</v>
      </c>
      <c r="R621" t="s">
        <v>74</v>
      </c>
      <c r="S621" t="s">
        <v>74</v>
      </c>
      <c r="T621" t="s">
        <v>11433</v>
      </c>
      <c r="U621" t="s">
        <v>11434</v>
      </c>
      <c r="V621" t="s">
        <v>11435</v>
      </c>
      <c r="W621" t="s">
        <v>11436</v>
      </c>
      <c r="X621" t="s">
        <v>11437</v>
      </c>
      <c r="Y621" t="s">
        <v>11438</v>
      </c>
      <c r="Z621" t="s">
        <v>11439</v>
      </c>
      <c r="AA621" t="s">
        <v>11440</v>
      </c>
      <c r="AB621" t="s">
        <v>11441</v>
      </c>
      <c r="AC621" t="s">
        <v>11442</v>
      </c>
      <c r="AD621" t="s">
        <v>11443</v>
      </c>
      <c r="AE621" t="s">
        <v>11444</v>
      </c>
      <c r="AF621" t="s">
        <v>74</v>
      </c>
      <c r="AG621">
        <v>37</v>
      </c>
      <c r="AH621">
        <v>19</v>
      </c>
      <c r="AI621">
        <v>19</v>
      </c>
      <c r="AJ621">
        <v>1</v>
      </c>
      <c r="AK621">
        <v>7</v>
      </c>
      <c r="AL621" t="s">
        <v>11445</v>
      </c>
      <c r="AM621" t="s">
        <v>4071</v>
      </c>
      <c r="AN621" t="s">
        <v>11446</v>
      </c>
      <c r="AO621" t="s">
        <v>11447</v>
      </c>
      <c r="AP621" t="s">
        <v>74</v>
      </c>
      <c r="AQ621" t="s">
        <v>74</v>
      </c>
      <c r="AR621" t="s">
        <v>11425</v>
      </c>
      <c r="AS621" t="s">
        <v>11426</v>
      </c>
      <c r="AT621" t="s">
        <v>74</v>
      </c>
      <c r="AU621">
        <v>2010</v>
      </c>
      <c r="AV621">
        <v>62</v>
      </c>
      <c r="AW621">
        <v>3</v>
      </c>
      <c r="AX621" t="s">
        <v>74</v>
      </c>
      <c r="AY621" t="s">
        <v>74</v>
      </c>
      <c r="AZ621" t="s">
        <v>74</v>
      </c>
      <c r="BA621" t="s">
        <v>74</v>
      </c>
      <c r="BB621">
        <v>297</v>
      </c>
      <c r="BC621">
        <v>307</v>
      </c>
      <c r="BD621" t="s">
        <v>74</v>
      </c>
      <c r="BE621" t="s">
        <v>11448</v>
      </c>
      <c r="BF621" t="str">
        <f>HYPERLINK("http://dx.doi.org/10.5047/eps.2009.11.004","http://dx.doi.org/10.5047/eps.2009.11.004")</f>
        <v>http://dx.doi.org/10.5047/eps.2009.11.004</v>
      </c>
      <c r="BG621" t="s">
        <v>74</v>
      </c>
      <c r="BH621" t="s">
        <v>74</v>
      </c>
      <c r="BI621">
        <v>11</v>
      </c>
      <c r="BJ621" t="s">
        <v>913</v>
      </c>
      <c r="BK621" t="s">
        <v>102</v>
      </c>
      <c r="BL621" t="s">
        <v>914</v>
      </c>
      <c r="BM621" t="s">
        <v>11449</v>
      </c>
      <c r="BN621" t="s">
        <v>74</v>
      </c>
      <c r="BO621" t="s">
        <v>11450</v>
      </c>
      <c r="BP621" t="s">
        <v>74</v>
      </c>
      <c r="BQ621" t="s">
        <v>74</v>
      </c>
      <c r="BR621" t="s">
        <v>105</v>
      </c>
      <c r="BS621" t="s">
        <v>11451</v>
      </c>
      <c r="BT621" t="str">
        <f>HYPERLINK("https%3A%2F%2Fwww.webofscience.com%2Fwos%2Fwoscc%2Ffull-record%2FWOS:000276055900007","View Full Record in Web of Science")</f>
        <v>View Full Record in Web of Science</v>
      </c>
    </row>
    <row r="622" spans="1:72" x14ac:dyDescent="0.15">
      <c r="A622" t="s">
        <v>72</v>
      </c>
      <c r="B622" t="s">
        <v>11452</v>
      </c>
      <c r="C622" t="s">
        <v>74</v>
      </c>
      <c r="D622" t="s">
        <v>74</v>
      </c>
      <c r="E622" t="s">
        <v>74</v>
      </c>
      <c r="F622" t="s">
        <v>11453</v>
      </c>
      <c r="G622" t="s">
        <v>74</v>
      </c>
      <c r="H622" t="s">
        <v>74</v>
      </c>
      <c r="I622" t="s">
        <v>11454</v>
      </c>
      <c r="J622" t="s">
        <v>11411</v>
      </c>
      <c r="K622" t="s">
        <v>74</v>
      </c>
      <c r="L622" t="s">
        <v>74</v>
      </c>
      <c r="M622" t="s">
        <v>78</v>
      </c>
      <c r="N622" t="s">
        <v>79</v>
      </c>
      <c r="O622" t="s">
        <v>74</v>
      </c>
      <c r="P622" t="s">
        <v>74</v>
      </c>
      <c r="Q622" t="s">
        <v>74</v>
      </c>
      <c r="R622" t="s">
        <v>74</v>
      </c>
      <c r="S622" t="s">
        <v>74</v>
      </c>
      <c r="T622" t="s">
        <v>11455</v>
      </c>
      <c r="U622" t="s">
        <v>11456</v>
      </c>
      <c r="V622" t="s">
        <v>11457</v>
      </c>
      <c r="W622" t="s">
        <v>11458</v>
      </c>
      <c r="X622" t="s">
        <v>11459</v>
      </c>
      <c r="Y622" t="s">
        <v>11460</v>
      </c>
      <c r="Z622" t="s">
        <v>11461</v>
      </c>
      <c r="AA622" t="s">
        <v>74</v>
      </c>
      <c r="AB622" t="s">
        <v>74</v>
      </c>
      <c r="AC622" t="s">
        <v>74</v>
      </c>
      <c r="AD622" t="s">
        <v>74</v>
      </c>
      <c r="AE622" t="s">
        <v>74</v>
      </c>
      <c r="AF622" t="s">
        <v>74</v>
      </c>
      <c r="AG622">
        <v>31</v>
      </c>
      <c r="AH622">
        <v>4</v>
      </c>
      <c r="AI622">
        <v>4</v>
      </c>
      <c r="AJ622">
        <v>0</v>
      </c>
      <c r="AK622">
        <v>4</v>
      </c>
      <c r="AL622" t="s">
        <v>11445</v>
      </c>
      <c r="AM622" t="s">
        <v>4071</v>
      </c>
      <c r="AN622" t="s">
        <v>11446</v>
      </c>
      <c r="AO622" t="s">
        <v>11447</v>
      </c>
      <c r="AP622" t="s">
        <v>74</v>
      </c>
      <c r="AQ622" t="s">
        <v>74</v>
      </c>
      <c r="AR622" t="s">
        <v>11425</v>
      </c>
      <c r="AS622" t="s">
        <v>11426</v>
      </c>
      <c r="AT622" t="s">
        <v>74</v>
      </c>
      <c r="AU622">
        <v>2010</v>
      </c>
      <c r="AV622">
        <v>62</v>
      </c>
      <c r="AW622">
        <v>6</v>
      </c>
      <c r="AX622" t="s">
        <v>74</v>
      </c>
      <c r="AY622" t="s">
        <v>74</v>
      </c>
      <c r="AZ622" t="s">
        <v>74</v>
      </c>
      <c r="BA622" t="s">
        <v>74</v>
      </c>
      <c r="BB622">
        <v>525</v>
      </c>
      <c r="BC622">
        <v>544</v>
      </c>
      <c r="BD622" t="s">
        <v>74</v>
      </c>
      <c r="BE622" t="s">
        <v>11462</v>
      </c>
      <c r="BF622" t="str">
        <f>HYPERLINK("http://dx.doi.org/10.5047/eps.2010.02.012","http://dx.doi.org/10.5047/eps.2010.02.012")</f>
        <v>http://dx.doi.org/10.5047/eps.2010.02.012</v>
      </c>
      <c r="BG622" t="s">
        <v>74</v>
      </c>
      <c r="BH622" t="s">
        <v>74</v>
      </c>
      <c r="BI622">
        <v>20</v>
      </c>
      <c r="BJ622" t="s">
        <v>913</v>
      </c>
      <c r="BK622" t="s">
        <v>102</v>
      </c>
      <c r="BL622" t="s">
        <v>914</v>
      </c>
      <c r="BM622" t="s">
        <v>11463</v>
      </c>
      <c r="BN622" t="s">
        <v>74</v>
      </c>
      <c r="BO622" t="s">
        <v>3033</v>
      </c>
      <c r="BP622" t="s">
        <v>74</v>
      </c>
      <c r="BQ622" t="s">
        <v>74</v>
      </c>
      <c r="BR622" t="s">
        <v>105</v>
      </c>
      <c r="BS622" t="s">
        <v>11464</v>
      </c>
      <c r="BT622" t="str">
        <f>HYPERLINK("https%3A%2F%2Fwww.webofscience.com%2Fwos%2Fwoscc%2Ffull-record%2FWOS:000281546900004","View Full Record in Web of Science")</f>
        <v>View Full Record in Web of Science</v>
      </c>
    </row>
    <row r="623" spans="1:72" x14ac:dyDescent="0.15">
      <c r="A623" t="s">
        <v>72</v>
      </c>
      <c r="B623" t="s">
        <v>11465</v>
      </c>
      <c r="C623" t="s">
        <v>74</v>
      </c>
      <c r="D623" t="s">
        <v>74</v>
      </c>
      <c r="E623" t="s">
        <v>74</v>
      </c>
      <c r="F623" t="s">
        <v>11466</v>
      </c>
      <c r="G623" t="s">
        <v>74</v>
      </c>
      <c r="H623" t="s">
        <v>74</v>
      </c>
      <c r="I623" t="s">
        <v>11467</v>
      </c>
      <c r="J623" t="s">
        <v>11411</v>
      </c>
      <c r="K623" t="s">
        <v>74</v>
      </c>
      <c r="L623" t="s">
        <v>74</v>
      </c>
      <c r="M623" t="s">
        <v>78</v>
      </c>
      <c r="N623" t="s">
        <v>79</v>
      </c>
      <c r="O623" t="s">
        <v>74</v>
      </c>
      <c r="P623" t="s">
        <v>74</v>
      </c>
      <c r="Q623" t="s">
        <v>74</v>
      </c>
      <c r="R623" t="s">
        <v>74</v>
      </c>
      <c r="S623" t="s">
        <v>74</v>
      </c>
      <c r="T623" t="s">
        <v>11468</v>
      </c>
      <c r="U623" t="s">
        <v>11469</v>
      </c>
      <c r="V623" t="s">
        <v>11470</v>
      </c>
      <c r="W623" t="s">
        <v>11471</v>
      </c>
      <c r="X623" t="s">
        <v>11472</v>
      </c>
      <c r="Y623" t="s">
        <v>11473</v>
      </c>
      <c r="Z623" t="s">
        <v>11474</v>
      </c>
      <c r="AA623" t="s">
        <v>11475</v>
      </c>
      <c r="AB623" t="s">
        <v>11476</v>
      </c>
      <c r="AC623" t="s">
        <v>74</v>
      </c>
      <c r="AD623" t="s">
        <v>74</v>
      </c>
      <c r="AE623" t="s">
        <v>74</v>
      </c>
      <c r="AF623" t="s">
        <v>74</v>
      </c>
      <c r="AG623">
        <v>26</v>
      </c>
      <c r="AH623">
        <v>3</v>
      </c>
      <c r="AI623">
        <v>3</v>
      </c>
      <c r="AJ623">
        <v>0</v>
      </c>
      <c r="AK623">
        <v>3</v>
      </c>
      <c r="AL623" t="s">
        <v>524</v>
      </c>
      <c r="AM623" t="s">
        <v>525</v>
      </c>
      <c r="AN623" t="s">
        <v>526</v>
      </c>
      <c r="AO623" t="s">
        <v>11424</v>
      </c>
      <c r="AP623" t="s">
        <v>74</v>
      </c>
      <c r="AQ623" t="s">
        <v>74</v>
      </c>
      <c r="AR623" t="s">
        <v>11425</v>
      </c>
      <c r="AS623" t="s">
        <v>11426</v>
      </c>
      <c r="AT623" t="s">
        <v>74</v>
      </c>
      <c r="AU623">
        <v>2010</v>
      </c>
      <c r="AV623">
        <v>62</v>
      </c>
      <c r="AW623">
        <v>8</v>
      </c>
      <c r="AX623" t="s">
        <v>74</v>
      </c>
      <c r="AY623" t="s">
        <v>74</v>
      </c>
      <c r="AZ623" t="s">
        <v>74</v>
      </c>
      <c r="BA623" t="s">
        <v>74</v>
      </c>
      <c r="BB623">
        <v>655</v>
      </c>
      <c r="BC623">
        <v>661</v>
      </c>
      <c r="BD623" t="s">
        <v>74</v>
      </c>
      <c r="BE623" t="s">
        <v>11477</v>
      </c>
      <c r="BF623" t="str">
        <f>HYPERLINK("http://dx.doi.org/10.5047/eps.2010.07.010","http://dx.doi.org/10.5047/eps.2010.07.010")</f>
        <v>http://dx.doi.org/10.5047/eps.2010.07.010</v>
      </c>
      <c r="BG623" t="s">
        <v>74</v>
      </c>
      <c r="BH623" t="s">
        <v>74</v>
      </c>
      <c r="BI623">
        <v>7</v>
      </c>
      <c r="BJ623" t="s">
        <v>913</v>
      </c>
      <c r="BK623" t="s">
        <v>102</v>
      </c>
      <c r="BL623" t="s">
        <v>914</v>
      </c>
      <c r="BM623" t="s">
        <v>11478</v>
      </c>
      <c r="BN623" t="s">
        <v>74</v>
      </c>
      <c r="BO623" t="s">
        <v>3033</v>
      </c>
      <c r="BP623" t="s">
        <v>74</v>
      </c>
      <c r="BQ623" t="s">
        <v>74</v>
      </c>
      <c r="BR623" t="s">
        <v>105</v>
      </c>
      <c r="BS623" t="s">
        <v>11479</v>
      </c>
      <c r="BT623" t="str">
        <f>HYPERLINK("https%3A%2F%2Fwww.webofscience.com%2Fwos%2Fwoscc%2Ffull-record%2FWOS:000284771000005","View Full Record in Web of Science")</f>
        <v>View Full Record in Web of Science</v>
      </c>
    </row>
    <row r="624" spans="1:72" x14ac:dyDescent="0.15">
      <c r="A624" t="s">
        <v>8257</v>
      </c>
      <c r="B624" t="s">
        <v>11480</v>
      </c>
      <c r="C624" t="s">
        <v>74</v>
      </c>
      <c r="D624" t="s">
        <v>11481</v>
      </c>
      <c r="E624" t="s">
        <v>74</v>
      </c>
      <c r="F624" t="s">
        <v>11482</v>
      </c>
      <c r="G624" t="s">
        <v>74</v>
      </c>
      <c r="H624" t="s">
        <v>74</v>
      </c>
      <c r="I624" t="s">
        <v>11483</v>
      </c>
      <c r="J624" t="s">
        <v>11484</v>
      </c>
      <c r="K624" t="s">
        <v>74</v>
      </c>
      <c r="L624" t="s">
        <v>74</v>
      </c>
      <c r="M624" t="s">
        <v>78</v>
      </c>
      <c r="N624" t="s">
        <v>8264</v>
      </c>
      <c r="O624" t="s">
        <v>11485</v>
      </c>
      <c r="P624" t="s">
        <v>11486</v>
      </c>
      <c r="Q624" t="s">
        <v>11487</v>
      </c>
      <c r="R624" t="s">
        <v>74</v>
      </c>
      <c r="S624" t="s">
        <v>11488</v>
      </c>
      <c r="T624" t="s">
        <v>74</v>
      </c>
      <c r="U624" t="s">
        <v>11489</v>
      </c>
      <c r="V624" t="s">
        <v>11490</v>
      </c>
      <c r="W624" t="s">
        <v>11491</v>
      </c>
      <c r="X624" t="s">
        <v>11492</v>
      </c>
      <c r="Y624" t="s">
        <v>11493</v>
      </c>
      <c r="Z624" t="s">
        <v>74</v>
      </c>
      <c r="AA624" t="s">
        <v>11494</v>
      </c>
      <c r="AB624" t="s">
        <v>11495</v>
      </c>
      <c r="AC624" t="s">
        <v>74</v>
      </c>
      <c r="AD624" t="s">
        <v>74</v>
      </c>
      <c r="AE624" t="s">
        <v>74</v>
      </c>
      <c r="AF624" t="s">
        <v>74</v>
      </c>
      <c r="AG624">
        <v>18</v>
      </c>
      <c r="AH624">
        <v>2</v>
      </c>
      <c r="AI624">
        <v>2</v>
      </c>
      <c r="AJ624">
        <v>0</v>
      </c>
      <c r="AK624">
        <v>4</v>
      </c>
      <c r="AL624" t="s">
        <v>11496</v>
      </c>
      <c r="AM624" t="s">
        <v>11497</v>
      </c>
      <c r="AN624" t="s">
        <v>11498</v>
      </c>
      <c r="AO624" t="s">
        <v>74</v>
      </c>
      <c r="AP624" t="s">
        <v>74</v>
      </c>
      <c r="AQ624" t="s">
        <v>11499</v>
      </c>
      <c r="AR624" t="s">
        <v>74</v>
      </c>
      <c r="AS624" t="s">
        <v>74</v>
      </c>
      <c r="AT624" t="s">
        <v>74</v>
      </c>
      <c r="AU624">
        <v>2010</v>
      </c>
      <c r="AV624" t="s">
        <v>74</v>
      </c>
      <c r="AW624" t="s">
        <v>74</v>
      </c>
      <c r="AX624" t="s">
        <v>74</v>
      </c>
      <c r="AY624" t="s">
        <v>74</v>
      </c>
      <c r="AZ624" t="s">
        <v>74</v>
      </c>
      <c r="BA624" t="s">
        <v>74</v>
      </c>
      <c r="BB624">
        <v>159</v>
      </c>
      <c r="BC624">
        <v>161</v>
      </c>
      <c r="BD624" t="s">
        <v>74</v>
      </c>
      <c r="BE624" t="s">
        <v>74</v>
      </c>
      <c r="BF624" t="s">
        <v>74</v>
      </c>
      <c r="BG624" t="s">
        <v>74</v>
      </c>
      <c r="BH624" t="s">
        <v>74</v>
      </c>
      <c r="BI624">
        <v>3</v>
      </c>
      <c r="BJ624" t="s">
        <v>2318</v>
      </c>
      <c r="BK624" t="s">
        <v>8281</v>
      </c>
      <c r="BL624" t="s">
        <v>2318</v>
      </c>
      <c r="BM624" t="s">
        <v>11500</v>
      </c>
      <c r="BN624" t="s">
        <v>74</v>
      </c>
      <c r="BO624" t="s">
        <v>74</v>
      </c>
      <c r="BP624" t="s">
        <v>74</v>
      </c>
      <c r="BQ624" t="s">
        <v>74</v>
      </c>
      <c r="BR624" t="s">
        <v>105</v>
      </c>
      <c r="BS624" t="s">
        <v>11501</v>
      </c>
      <c r="BT624" t="str">
        <f>HYPERLINK("https%3A%2F%2Fwww.webofscience.com%2Fwos%2Fwoscc%2Ffull-record%2FWOS:000278474900024","View Full Record in Web of Science")</f>
        <v>View Full Record in Web of Science</v>
      </c>
    </row>
    <row r="625" spans="1:72" x14ac:dyDescent="0.15">
      <c r="A625" t="s">
        <v>8257</v>
      </c>
      <c r="B625" t="s">
        <v>11502</v>
      </c>
      <c r="C625" t="s">
        <v>74</v>
      </c>
      <c r="D625" t="s">
        <v>11481</v>
      </c>
      <c r="E625" t="s">
        <v>74</v>
      </c>
      <c r="F625" t="s">
        <v>11503</v>
      </c>
      <c r="G625" t="s">
        <v>74</v>
      </c>
      <c r="H625" t="s">
        <v>74</v>
      </c>
      <c r="I625" t="s">
        <v>11504</v>
      </c>
      <c r="J625" t="s">
        <v>11484</v>
      </c>
      <c r="K625" t="s">
        <v>74</v>
      </c>
      <c r="L625" t="s">
        <v>74</v>
      </c>
      <c r="M625" t="s">
        <v>78</v>
      </c>
      <c r="N625" t="s">
        <v>8264</v>
      </c>
      <c r="O625" t="s">
        <v>11485</v>
      </c>
      <c r="P625" t="s">
        <v>11486</v>
      </c>
      <c r="Q625" t="s">
        <v>11487</v>
      </c>
      <c r="R625" t="s">
        <v>74</v>
      </c>
      <c r="S625" t="s">
        <v>11488</v>
      </c>
      <c r="T625" t="s">
        <v>74</v>
      </c>
      <c r="U625" t="s">
        <v>74</v>
      </c>
      <c r="V625" t="s">
        <v>11505</v>
      </c>
      <c r="W625" t="s">
        <v>11506</v>
      </c>
      <c r="X625" t="s">
        <v>11507</v>
      </c>
      <c r="Y625" t="s">
        <v>11508</v>
      </c>
      <c r="Z625" t="s">
        <v>74</v>
      </c>
      <c r="AA625" t="s">
        <v>11509</v>
      </c>
      <c r="AB625" t="s">
        <v>74</v>
      </c>
      <c r="AC625" t="s">
        <v>74</v>
      </c>
      <c r="AD625" t="s">
        <v>74</v>
      </c>
      <c r="AE625" t="s">
        <v>74</v>
      </c>
      <c r="AF625" t="s">
        <v>74</v>
      </c>
      <c r="AG625">
        <v>14</v>
      </c>
      <c r="AH625">
        <v>2</v>
      </c>
      <c r="AI625">
        <v>2</v>
      </c>
      <c r="AJ625">
        <v>0</v>
      </c>
      <c r="AK625">
        <v>1</v>
      </c>
      <c r="AL625" t="s">
        <v>11496</v>
      </c>
      <c r="AM625" t="s">
        <v>11497</v>
      </c>
      <c r="AN625" t="s">
        <v>11498</v>
      </c>
      <c r="AO625" t="s">
        <v>74</v>
      </c>
      <c r="AP625" t="s">
        <v>74</v>
      </c>
      <c r="AQ625" t="s">
        <v>11499</v>
      </c>
      <c r="AR625" t="s">
        <v>74</v>
      </c>
      <c r="AS625" t="s">
        <v>74</v>
      </c>
      <c r="AT625" t="s">
        <v>74</v>
      </c>
      <c r="AU625">
        <v>2010</v>
      </c>
      <c r="AV625" t="s">
        <v>74</v>
      </c>
      <c r="AW625" t="s">
        <v>74</v>
      </c>
      <c r="AX625" t="s">
        <v>74</v>
      </c>
      <c r="AY625" t="s">
        <v>74</v>
      </c>
      <c r="AZ625" t="s">
        <v>74</v>
      </c>
      <c r="BA625" t="s">
        <v>74</v>
      </c>
      <c r="BB625">
        <v>251</v>
      </c>
      <c r="BC625">
        <v>254</v>
      </c>
      <c r="BD625" t="s">
        <v>74</v>
      </c>
      <c r="BE625" t="s">
        <v>74</v>
      </c>
      <c r="BF625" t="s">
        <v>74</v>
      </c>
      <c r="BG625" t="s">
        <v>74</v>
      </c>
      <c r="BH625" t="s">
        <v>74</v>
      </c>
      <c r="BI625">
        <v>4</v>
      </c>
      <c r="BJ625" t="s">
        <v>2318</v>
      </c>
      <c r="BK625" t="s">
        <v>8281</v>
      </c>
      <c r="BL625" t="s">
        <v>2318</v>
      </c>
      <c r="BM625" t="s">
        <v>11500</v>
      </c>
      <c r="BN625" t="s">
        <v>74</v>
      </c>
      <c r="BO625" t="s">
        <v>74</v>
      </c>
      <c r="BP625" t="s">
        <v>74</v>
      </c>
      <c r="BQ625" t="s">
        <v>74</v>
      </c>
      <c r="BR625" t="s">
        <v>105</v>
      </c>
      <c r="BS625" t="s">
        <v>11510</v>
      </c>
      <c r="BT625" t="str">
        <f>HYPERLINK("https%3A%2F%2Fwww.webofscience.com%2Fwos%2Fwoscc%2Ffull-record%2FWOS:000278474900040","View Full Record in Web of Science")</f>
        <v>View Full Record in Web of Science</v>
      </c>
    </row>
    <row r="626" spans="1:72" x14ac:dyDescent="0.15">
      <c r="A626" t="s">
        <v>8257</v>
      </c>
      <c r="B626" t="s">
        <v>11511</v>
      </c>
      <c r="C626" t="s">
        <v>74</v>
      </c>
      <c r="D626" t="s">
        <v>11481</v>
      </c>
      <c r="E626" t="s">
        <v>74</v>
      </c>
      <c r="F626" t="s">
        <v>11512</v>
      </c>
      <c r="G626" t="s">
        <v>74</v>
      </c>
      <c r="H626" t="s">
        <v>74</v>
      </c>
      <c r="I626" t="s">
        <v>11513</v>
      </c>
      <c r="J626" t="s">
        <v>11484</v>
      </c>
      <c r="K626" t="s">
        <v>74</v>
      </c>
      <c r="L626" t="s">
        <v>74</v>
      </c>
      <c r="M626" t="s">
        <v>78</v>
      </c>
      <c r="N626" t="s">
        <v>8264</v>
      </c>
      <c r="O626" t="s">
        <v>11485</v>
      </c>
      <c r="P626" t="s">
        <v>11486</v>
      </c>
      <c r="Q626" t="s">
        <v>11487</v>
      </c>
      <c r="R626" t="s">
        <v>74</v>
      </c>
      <c r="S626" t="s">
        <v>11488</v>
      </c>
      <c r="T626" t="s">
        <v>74</v>
      </c>
      <c r="U626" t="s">
        <v>74</v>
      </c>
      <c r="V626" t="s">
        <v>11514</v>
      </c>
      <c r="W626" t="s">
        <v>11515</v>
      </c>
      <c r="X626" t="s">
        <v>11507</v>
      </c>
      <c r="Y626" t="s">
        <v>11516</v>
      </c>
      <c r="Z626" t="s">
        <v>74</v>
      </c>
      <c r="AA626" t="s">
        <v>74</v>
      </c>
      <c r="AB626" t="s">
        <v>74</v>
      </c>
      <c r="AC626" t="s">
        <v>74</v>
      </c>
      <c r="AD626" t="s">
        <v>74</v>
      </c>
      <c r="AE626" t="s">
        <v>74</v>
      </c>
      <c r="AF626" t="s">
        <v>74</v>
      </c>
      <c r="AG626">
        <v>8</v>
      </c>
      <c r="AH626">
        <v>0</v>
      </c>
      <c r="AI626">
        <v>0</v>
      </c>
      <c r="AJ626">
        <v>0</v>
      </c>
      <c r="AK626">
        <v>0</v>
      </c>
      <c r="AL626" t="s">
        <v>11496</v>
      </c>
      <c r="AM626" t="s">
        <v>11497</v>
      </c>
      <c r="AN626" t="s">
        <v>11498</v>
      </c>
      <c r="AO626" t="s">
        <v>74</v>
      </c>
      <c r="AP626" t="s">
        <v>74</v>
      </c>
      <c r="AQ626" t="s">
        <v>11499</v>
      </c>
      <c r="AR626" t="s">
        <v>74</v>
      </c>
      <c r="AS626" t="s">
        <v>74</v>
      </c>
      <c r="AT626" t="s">
        <v>74</v>
      </c>
      <c r="AU626">
        <v>2010</v>
      </c>
      <c r="AV626" t="s">
        <v>74</v>
      </c>
      <c r="AW626" t="s">
        <v>74</v>
      </c>
      <c r="AX626" t="s">
        <v>74</v>
      </c>
      <c r="AY626" t="s">
        <v>74</v>
      </c>
      <c r="AZ626" t="s">
        <v>74</v>
      </c>
      <c r="BA626" t="s">
        <v>74</v>
      </c>
      <c r="BB626">
        <v>281</v>
      </c>
      <c r="BC626">
        <v>285</v>
      </c>
      <c r="BD626" t="s">
        <v>74</v>
      </c>
      <c r="BE626" t="s">
        <v>74</v>
      </c>
      <c r="BF626" t="s">
        <v>74</v>
      </c>
      <c r="BG626" t="s">
        <v>74</v>
      </c>
      <c r="BH626" t="s">
        <v>74</v>
      </c>
      <c r="BI626">
        <v>5</v>
      </c>
      <c r="BJ626" t="s">
        <v>2318</v>
      </c>
      <c r="BK626" t="s">
        <v>8281</v>
      </c>
      <c r="BL626" t="s">
        <v>2318</v>
      </c>
      <c r="BM626" t="s">
        <v>11500</v>
      </c>
      <c r="BN626" t="s">
        <v>74</v>
      </c>
      <c r="BO626" t="s">
        <v>74</v>
      </c>
      <c r="BP626" t="s">
        <v>74</v>
      </c>
      <c r="BQ626" t="s">
        <v>74</v>
      </c>
      <c r="BR626" t="s">
        <v>105</v>
      </c>
      <c r="BS626" t="s">
        <v>11517</v>
      </c>
      <c r="BT626" t="str">
        <f>HYPERLINK("https%3A%2F%2Fwww.webofscience.com%2Fwos%2Fwoscc%2Ffull-record%2FWOS:000278474900046","View Full Record in Web of Science")</f>
        <v>View Full Record in Web of Science</v>
      </c>
    </row>
    <row r="627" spans="1:72" x14ac:dyDescent="0.15">
      <c r="A627" t="s">
        <v>8257</v>
      </c>
      <c r="B627" t="s">
        <v>11518</v>
      </c>
      <c r="C627" t="s">
        <v>74</v>
      </c>
      <c r="D627" t="s">
        <v>11481</v>
      </c>
      <c r="E627" t="s">
        <v>74</v>
      </c>
      <c r="F627" t="s">
        <v>11519</v>
      </c>
      <c r="G627" t="s">
        <v>74</v>
      </c>
      <c r="H627" t="s">
        <v>74</v>
      </c>
      <c r="I627" t="s">
        <v>11520</v>
      </c>
      <c r="J627" t="s">
        <v>11484</v>
      </c>
      <c r="K627" t="s">
        <v>74</v>
      </c>
      <c r="L627" t="s">
        <v>74</v>
      </c>
      <c r="M627" t="s">
        <v>78</v>
      </c>
      <c r="N627" t="s">
        <v>8264</v>
      </c>
      <c r="O627" t="s">
        <v>11485</v>
      </c>
      <c r="P627" t="s">
        <v>11486</v>
      </c>
      <c r="Q627" t="s">
        <v>11487</v>
      </c>
      <c r="R627" t="s">
        <v>74</v>
      </c>
      <c r="S627" t="s">
        <v>11488</v>
      </c>
      <c r="T627" t="s">
        <v>74</v>
      </c>
      <c r="U627" t="s">
        <v>11521</v>
      </c>
      <c r="V627" t="s">
        <v>11522</v>
      </c>
      <c r="W627" t="s">
        <v>11523</v>
      </c>
      <c r="X627" t="s">
        <v>11524</v>
      </c>
      <c r="Y627" t="s">
        <v>11525</v>
      </c>
      <c r="Z627" t="s">
        <v>74</v>
      </c>
      <c r="AA627" t="s">
        <v>74</v>
      </c>
      <c r="AB627" t="s">
        <v>74</v>
      </c>
      <c r="AC627" t="s">
        <v>11526</v>
      </c>
      <c r="AD627" t="s">
        <v>11527</v>
      </c>
      <c r="AE627" t="s">
        <v>11528</v>
      </c>
      <c r="AF627" t="s">
        <v>74</v>
      </c>
      <c r="AG627">
        <v>82</v>
      </c>
      <c r="AH627">
        <v>8</v>
      </c>
      <c r="AI627">
        <v>8</v>
      </c>
      <c r="AJ627">
        <v>0</v>
      </c>
      <c r="AK627">
        <v>10</v>
      </c>
      <c r="AL627" t="s">
        <v>11496</v>
      </c>
      <c r="AM627" t="s">
        <v>11497</v>
      </c>
      <c r="AN627" t="s">
        <v>11498</v>
      </c>
      <c r="AO627" t="s">
        <v>74</v>
      </c>
      <c r="AP627" t="s">
        <v>74</v>
      </c>
      <c r="AQ627" t="s">
        <v>11499</v>
      </c>
      <c r="AR627" t="s">
        <v>74</v>
      </c>
      <c r="AS627" t="s">
        <v>74</v>
      </c>
      <c r="AT627" t="s">
        <v>74</v>
      </c>
      <c r="AU627">
        <v>2010</v>
      </c>
      <c r="AV627" t="s">
        <v>74</v>
      </c>
      <c r="AW627" t="s">
        <v>74</v>
      </c>
      <c r="AX627" t="s">
        <v>74</v>
      </c>
      <c r="AY627" t="s">
        <v>74</v>
      </c>
      <c r="AZ627" t="s">
        <v>74</v>
      </c>
      <c r="BA627" t="s">
        <v>74</v>
      </c>
      <c r="BB627">
        <v>591</v>
      </c>
      <c r="BC627" t="s">
        <v>1802</v>
      </c>
      <c r="BD627" t="s">
        <v>74</v>
      </c>
      <c r="BE627" t="s">
        <v>74</v>
      </c>
      <c r="BF627" t="s">
        <v>74</v>
      </c>
      <c r="BG627" t="s">
        <v>74</v>
      </c>
      <c r="BH627" t="s">
        <v>74</v>
      </c>
      <c r="BI627">
        <v>4</v>
      </c>
      <c r="BJ627" t="s">
        <v>2318</v>
      </c>
      <c r="BK627" t="s">
        <v>8281</v>
      </c>
      <c r="BL627" t="s">
        <v>2318</v>
      </c>
      <c r="BM627" t="s">
        <v>11500</v>
      </c>
      <c r="BN627" t="s">
        <v>74</v>
      </c>
      <c r="BO627" t="s">
        <v>74</v>
      </c>
      <c r="BP627" t="s">
        <v>74</v>
      </c>
      <c r="BQ627" t="s">
        <v>74</v>
      </c>
      <c r="BR627" t="s">
        <v>105</v>
      </c>
      <c r="BS627" t="s">
        <v>11529</v>
      </c>
      <c r="BT627" t="str">
        <f>HYPERLINK("https%3A%2F%2Fwww.webofscience.com%2Fwos%2Fwoscc%2Ffull-record%2FWOS:000278474900083","View Full Record in Web of Science")</f>
        <v>View Full Record in Web of Science</v>
      </c>
    </row>
    <row r="628" spans="1:72" x14ac:dyDescent="0.15">
      <c r="A628" t="s">
        <v>8257</v>
      </c>
      <c r="B628" t="s">
        <v>11530</v>
      </c>
      <c r="C628" t="s">
        <v>74</v>
      </c>
      <c r="D628" t="s">
        <v>11481</v>
      </c>
      <c r="E628" t="s">
        <v>74</v>
      </c>
      <c r="F628" t="s">
        <v>11531</v>
      </c>
      <c r="G628" t="s">
        <v>74</v>
      </c>
      <c r="H628" t="s">
        <v>74</v>
      </c>
      <c r="I628" t="s">
        <v>11532</v>
      </c>
      <c r="J628" t="s">
        <v>11484</v>
      </c>
      <c r="K628" t="s">
        <v>74</v>
      </c>
      <c r="L628" t="s">
        <v>74</v>
      </c>
      <c r="M628" t="s">
        <v>78</v>
      </c>
      <c r="N628" t="s">
        <v>8264</v>
      </c>
      <c r="O628" t="s">
        <v>11485</v>
      </c>
      <c r="P628" t="s">
        <v>11486</v>
      </c>
      <c r="Q628" t="s">
        <v>11487</v>
      </c>
      <c r="R628" t="s">
        <v>74</v>
      </c>
      <c r="S628" t="s">
        <v>11488</v>
      </c>
      <c r="T628" t="s">
        <v>74</v>
      </c>
      <c r="U628" t="s">
        <v>74</v>
      </c>
      <c r="V628" t="s">
        <v>11533</v>
      </c>
      <c r="W628" t="s">
        <v>11534</v>
      </c>
      <c r="X628" t="s">
        <v>5222</v>
      </c>
      <c r="Y628" t="s">
        <v>11535</v>
      </c>
      <c r="Z628" t="s">
        <v>74</v>
      </c>
      <c r="AA628" t="s">
        <v>11536</v>
      </c>
      <c r="AB628" t="s">
        <v>11537</v>
      </c>
      <c r="AC628" t="s">
        <v>74</v>
      </c>
      <c r="AD628" t="s">
        <v>74</v>
      </c>
      <c r="AE628" t="s">
        <v>74</v>
      </c>
      <c r="AF628" t="s">
        <v>74</v>
      </c>
      <c r="AG628">
        <v>8</v>
      </c>
      <c r="AH628">
        <v>1</v>
      </c>
      <c r="AI628">
        <v>1</v>
      </c>
      <c r="AJ628">
        <v>0</v>
      </c>
      <c r="AK628">
        <v>3</v>
      </c>
      <c r="AL628" t="s">
        <v>11496</v>
      </c>
      <c r="AM628" t="s">
        <v>11497</v>
      </c>
      <c r="AN628" t="s">
        <v>11498</v>
      </c>
      <c r="AO628" t="s">
        <v>74</v>
      </c>
      <c r="AP628" t="s">
        <v>74</v>
      </c>
      <c r="AQ628" t="s">
        <v>11499</v>
      </c>
      <c r="AR628" t="s">
        <v>74</v>
      </c>
      <c r="AS628" t="s">
        <v>74</v>
      </c>
      <c r="AT628" t="s">
        <v>74</v>
      </c>
      <c r="AU628">
        <v>2010</v>
      </c>
      <c r="AV628" t="s">
        <v>74</v>
      </c>
      <c r="AW628" t="s">
        <v>74</v>
      </c>
      <c r="AX628" t="s">
        <v>74</v>
      </c>
      <c r="AY628" t="s">
        <v>74</v>
      </c>
      <c r="AZ628" t="s">
        <v>74</v>
      </c>
      <c r="BA628" t="s">
        <v>74</v>
      </c>
      <c r="BB628">
        <v>641</v>
      </c>
      <c r="BC628">
        <v>642</v>
      </c>
      <c r="BD628" t="s">
        <v>74</v>
      </c>
      <c r="BE628" t="s">
        <v>74</v>
      </c>
      <c r="BF628" t="s">
        <v>74</v>
      </c>
      <c r="BG628" t="s">
        <v>74</v>
      </c>
      <c r="BH628" t="s">
        <v>74</v>
      </c>
      <c r="BI628">
        <v>2</v>
      </c>
      <c r="BJ628" t="s">
        <v>2318</v>
      </c>
      <c r="BK628" t="s">
        <v>8281</v>
      </c>
      <c r="BL628" t="s">
        <v>2318</v>
      </c>
      <c r="BM628" t="s">
        <v>11500</v>
      </c>
      <c r="BN628" t="s">
        <v>74</v>
      </c>
      <c r="BO628" t="s">
        <v>74</v>
      </c>
      <c r="BP628" t="s">
        <v>74</v>
      </c>
      <c r="BQ628" t="s">
        <v>74</v>
      </c>
      <c r="BR628" t="s">
        <v>105</v>
      </c>
      <c r="BS628" t="s">
        <v>11538</v>
      </c>
      <c r="BT628" t="str">
        <f>HYPERLINK("https%3A%2F%2Fwww.webofscience.com%2Fwos%2Fwoscc%2Ffull-record%2FWOS:000278474900090","View Full Record in Web of Science")</f>
        <v>View Full Record in Web of Science</v>
      </c>
    </row>
    <row r="629" spans="1:72" x14ac:dyDescent="0.15">
      <c r="A629" t="s">
        <v>72</v>
      </c>
      <c r="B629" t="s">
        <v>11539</v>
      </c>
      <c r="C629" t="s">
        <v>74</v>
      </c>
      <c r="D629" t="s">
        <v>74</v>
      </c>
      <c r="E629" t="s">
        <v>74</v>
      </c>
      <c r="F629" t="s">
        <v>11540</v>
      </c>
      <c r="G629" t="s">
        <v>74</v>
      </c>
      <c r="H629" t="s">
        <v>74</v>
      </c>
      <c r="I629" t="s">
        <v>11541</v>
      </c>
      <c r="J629" t="s">
        <v>1331</v>
      </c>
      <c r="K629" t="s">
        <v>74</v>
      </c>
      <c r="L629" t="s">
        <v>74</v>
      </c>
      <c r="M629" t="s">
        <v>78</v>
      </c>
      <c r="N629" t="s">
        <v>79</v>
      </c>
      <c r="O629" t="s">
        <v>74</v>
      </c>
      <c r="P629" t="s">
        <v>74</v>
      </c>
      <c r="Q629" t="s">
        <v>74</v>
      </c>
      <c r="R629" t="s">
        <v>74</v>
      </c>
      <c r="S629" t="s">
        <v>74</v>
      </c>
      <c r="T629" t="s">
        <v>11542</v>
      </c>
      <c r="U629" t="s">
        <v>11543</v>
      </c>
      <c r="V629" t="s">
        <v>11544</v>
      </c>
      <c r="W629" t="s">
        <v>11545</v>
      </c>
      <c r="X629" t="s">
        <v>11546</v>
      </c>
      <c r="Y629" t="s">
        <v>11547</v>
      </c>
      <c r="Z629" t="s">
        <v>11548</v>
      </c>
      <c r="AA629" t="s">
        <v>11549</v>
      </c>
      <c r="AB629" t="s">
        <v>11550</v>
      </c>
      <c r="AC629" t="s">
        <v>11551</v>
      </c>
      <c r="AD629" t="s">
        <v>11552</v>
      </c>
      <c r="AE629" t="s">
        <v>11553</v>
      </c>
      <c r="AF629" t="s">
        <v>74</v>
      </c>
      <c r="AG629">
        <v>50</v>
      </c>
      <c r="AH629">
        <v>79</v>
      </c>
      <c r="AI629">
        <v>89</v>
      </c>
      <c r="AJ629">
        <v>1</v>
      </c>
      <c r="AK629">
        <v>58</v>
      </c>
      <c r="AL629" t="s">
        <v>991</v>
      </c>
      <c r="AM629" t="s">
        <v>992</v>
      </c>
      <c r="AN629" t="s">
        <v>993</v>
      </c>
      <c r="AO629" t="s">
        <v>1344</v>
      </c>
      <c r="AP629" t="s">
        <v>1345</v>
      </c>
      <c r="AQ629" t="s">
        <v>74</v>
      </c>
      <c r="AR629" t="s">
        <v>1331</v>
      </c>
      <c r="AS629" t="s">
        <v>1346</v>
      </c>
      <c r="AT629" t="s">
        <v>8958</v>
      </c>
      <c r="AU629">
        <v>2010</v>
      </c>
      <c r="AV629">
        <v>91</v>
      </c>
      <c r="AW629">
        <v>1</v>
      </c>
      <c r="AX629" t="s">
        <v>74</v>
      </c>
      <c r="AY629" t="s">
        <v>74</v>
      </c>
      <c r="AZ629" t="s">
        <v>74</v>
      </c>
      <c r="BA629" t="s">
        <v>74</v>
      </c>
      <c r="BB629">
        <v>273</v>
      </c>
      <c r="BC629">
        <v>285</v>
      </c>
      <c r="BD629" t="s">
        <v>74</v>
      </c>
      <c r="BE629" t="s">
        <v>11554</v>
      </c>
      <c r="BF629" t="str">
        <f>HYPERLINK("http://dx.doi.org/10.1890/08-1480.1","http://dx.doi.org/10.1890/08-1480.1")</f>
        <v>http://dx.doi.org/10.1890/08-1480.1</v>
      </c>
      <c r="BG629" t="s">
        <v>74</v>
      </c>
      <c r="BH629" t="s">
        <v>74</v>
      </c>
      <c r="BI629">
        <v>13</v>
      </c>
      <c r="BJ629" t="s">
        <v>1346</v>
      </c>
      <c r="BK629" t="s">
        <v>102</v>
      </c>
      <c r="BL629" t="s">
        <v>1348</v>
      </c>
      <c r="BM629" t="s">
        <v>11555</v>
      </c>
      <c r="BN629">
        <v>20380216</v>
      </c>
      <c r="BO629" t="s">
        <v>74</v>
      </c>
      <c r="BP629" t="s">
        <v>74</v>
      </c>
      <c r="BQ629" t="s">
        <v>74</v>
      </c>
      <c r="BR629" t="s">
        <v>105</v>
      </c>
      <c r="BS629" t="s">
        <v>11556</v>
      </c>
      <c r="BT629" t="str">
        <f>HYPERLINK("https%3A%2F%2Fwww.webofscience.com%2Fwos%2Fwoscc%2Ffull-record%2FWOS:000275458500030","View Full Record in Web of Science")</f>
        <v>View Full Record in Web of Science</v>
      </c>
    </row>
    <row r="630" spans="1:72" x14ac:dyDescent="0.15">
      <c r="A630" t="s">
        <v>8697</v>
      </c>
      <c r="B630" t="s">
        <v>11557</v>
      </c>
      <c r="C630" t="s">
        <v>74</v>
      </c>
      <c r="D630" t="s">
        <v>11558</v>
      </c>
      <c r="E630" t="s">
        <v>74</v>
      </c>
      <c r="F630" t="s">
        <v>11559</v>
      </c>
      <c r="G630" t="s">
        <v>74</v>
      </c>
      <c r="H630" t="s">
        <v>74</v>
      </c>
      <c r="I630" t="s">
        <v>11560</v>
      </c>
      <c r="J630" t="s">
        <v>11561</v>
      </c>
      <c r="K630" t="s">
        <v>11097</v>
      </c>
      <c r="L630" t="s">
        <v>74</v>
      </c>
      <c r="M630" t="s">
        <v>78</v>
      </c>
      <c r="N630" t="s">
        <v>8859</v>
      </c>
      <c r="O630" t="s">
        <v>74</v>
      </c>
      <c r="P630" t="s">
        <v>74</v>
      </c>
      <c r="Q630" t="s">
        <v>74</v>
      </c>
      <c r="R630" t="s">
        <v>74</v>
      </c>
      <c r="S630" t="s">
        <v>74</v>
      </c>
      <c r="T630" t="s">
        <v>74</v>
      </c>
      <c r="U630" t="s">
        <v>74</v>
      </c>
      <c r="V630" t="s">
        <v>11562</v>
      </c>
      <c r="W630" t="s">
        <v>11563</v>
      </c>
      <c r="X630" t="s">
        <v>656</v>
      </c>
      <c r="Y630" t="s">
        <v>11564</v>
      </c>
      <c r="Z630" t="s">
        <v>11565</v>
      </c>
      <c r="AA630" t="s">
        <v>74</v>
      </c>
      <c r="AB630" t="s">
        <v>74</v>
      </c>
      <c r="AC630" t="s">
        <v>74</v>
      </c>
      <c r="AD630" t="s">
        <v>74</v>
      </c>
      <c r="AE630" t="s">
        <v>74</v>
      </c>
      <c r="AF630" t="s">
        <v>74</v>
      </c>
      <c r="AG630">
        <v>16</v>
      </c>
      <c r="AH630">
        <v>0</v>
      </c>
      <c r="AI630">
        <v>0</v>
      </c>
      <c r="AJ630">
        <v>0</v>
      </c>
      <c r="AK630">
        <v>0</v>
      </c>
      <c r="AL630" t="s">
        <v>11105</v>
      </c>
      <c r="AM630" t="s">
        <v>4508</v>
      </c>
      <c r="AN630" t="s">
        <v>11106</v>
      </c>
      <c r="AO630" t="s">
        <v>11107</v>
      </c>
      <c r="AP630" t="s">
        <v>74</v>
      </c>
      <c r="AQ630" t="s">
        <v>11566</v>
      </c>
      <c r="AR630" t="s">
        <v>11109</v>
      </c>
      <c r="AS630" t="s">
        <v>11110</v>
      </c>
      <c r="AT630" t="s">
        <v>74</v>
      </c>
      <c r="AU630">
        <v>2010</v>
      </c>
      <c r="AV630">
        <v>345</v>
      </c>
      <c r="AW630" t="s">
        <v>74</v>
      </c>
      <c r="AX630" t="s">
        <v>74</v>
      </c>
      <c r="AY630" t="s">
        <v>74</v>
      </c>
      <c r="AZ630" t="s">
        <v>74</v>
      </c>
      <c r="BA630" t="s">
        <v>74</v>
      </c>
      <c r="BB630">
        <v>23</v>
      </c>
      <c r="BC630">
        <v>32</v>
      </c>
      <c r="BD630" t="s">
        <v>74</v>
      </c>
      <c r="BE630" t="s">
        <v>11567</v>
      </c>
      <c r="BF630" t="str">
        <f>HYPERLINK("http://dx.doi.org/10.1144/SP345.4","http://dx.doi.org/10.1144/SP345.4")</f>
        <v>http://dx.doi.org/10.1144/SP345.4</v>
      </c>
      <c r="BG630" t="s">
        <v>74</v>
      </c>
      <c r="BH630" t="s">
        <v>74</v>
      </c>
      <c r="BI630">
        <v>10</v>
      </c>
      <c r="BJ630" t="s">
        <v>11568</v>
      </c>
      <c r="BK630" t="s">
        <v>8579</v>
      </c>
      <c r="BL630" t="s">
        <v>914</v>
      </c>
      <c r="BM630" t="s">
        <v>11569</v>
      </c>
      <c r="BN630" t="s">
        <v>74</v>
      </c>
      <c r="BO630" t="s">
        <v>74</v>
      </c>
      <c r="BP630" t="s">
        <v>74</v>
      </c>
      <c r="BQ630" t="s">
        <v>74</v>
      </c>
      <c r="BR630" t="s">
        <v>105</v>
      </c>
      <c r="BS630" t="s">
        <v>11570</v>
      </c>
      <c r="BT630" t="str">
        <f>HYPERLINK("https%3A%2F%2Fwww.webofscience.com%2Fwos%2Fwoscc%2Ffull-record%2FWOS:000288751000004","View Full Record in Web of Science")</f>
        <v>View Full Record in Web of Science</v>
      </c>
    </row>
    <row r="631" spans="1:72" x14ac:dyDescent="0.15">
      <c r="A631" t="s">
        <v>72</v>
      </c>
      <c r="B631" t="s">
        <v>11571</v>
      </c>
      <c r="C631" t="s">
        <v>74</v>
      </c>
      <c r="D631" t="s">
        <v>74</v>
      </c>
      <c r="E631" t="s">
        <v>74</v>
      </c>
      <c r="F631" t="s">
        <v>11572</v>
      </c>
      <c r="G631" t="s">
        <v>74</v>
      </c>
      <c r="H631" t="s">
        <v>74</v>
      </c>
      <c r="I631" t="s">
        <v>11573</v>
      </c>
      <c r="J631" t="s">
        <v>11574</v>
      </c>
      <c r="K631" t="s">
        <v>74</v>
      </c>
      <c r="L631" t="s">
        <v>74</v>
      </c>
      <c r="M631" t="s">
        <v>78</v>
      </c>
      <c r="N631" t="s">
        <v>536</v>
      </c>
      <c r="O631" t="s">
        <v>74</v>
      </c>
      <c r="P631" t="s">
        <v>74</v>
      </c>
      <c r="Q631" t="s">
        <v>74</v>
      </c>
      <c r="R631" t="s">
        <v>74</v>
      </c>
      <c r="S631" t="s">
        <v>74</v>
      </c>
      <c r="T631" t="s">
        <v>74</v>
      </c>
      <c r="U631" t="s">
        <v>11575</v>
      </c>
      <c r="V631" t="s">
        <v>74</v>
      </c>
      <c r="W631" t="s">
        <v>11576</v>
      </c>
      <c r="X631" t="s">
        <v>656</v>
      </c>
      <c r="Y631" t="s">
        <v>11577</v>
      </c>
      <c r="Z631" t="s">
        <v>11578</v>
      </c>
      <c r="AA631" t="s">
        <v>74</v>
      </c>
      <c r="AB631" t="s">
        <v>74</v>
      </c>
      <c r="AC631" t="s">
        <v>4902</v>
      </c>
      <c r="AD631" t="s">
        <v>1972</v>
      </c>
      <c r="AE631" t="s">
        <v>74</v>
      </c>
      <c r="AF631" t="s">
        <v>74</v>
      </c>
      <c r="AG631">
        <v>59</v>
      </c>
      <c r="AH631">
        <v>26</v>
      </c>
      <c r="AI631">
        <v>29</v>
      </c>
      <c r="AJ631">
        <v>0</v>
      </c>
      <c r="AK631">
        <v>53</v>
      </c>
      <c r="AL631" t="s">
        <v>11579</v>
      </c>
      <c r="AM631" t="s">
        <v>11580</v>
      </c>
      <c r="AN631" t="s">
        <v>11581</v>
      </c>
      <c r="AO631" t="s">
        <v>11582</v>
      </c>
      <c r="AP631" t="s">
        <v>11583</v>
      </c>
      <c r="AQ631" t="s">
        <v>74</v>
      </c>
      <c r="AR631" t="s">
        <v>11584</v>
      </c>
      <c r="AS631" t="s">
        <v>11585</v>
      </c>
      <c r="AT631" t="s">
        <v>74</v>
      </c>
      <c r="AU631">
        <v>2010</v>
      </c>
      <c r="AV631">
        <v>110</v>
      </c>
      <c r="AW631">
        <v>4</v>
      </c>
      <c r="AX631" t="s">
        <v>74</v>
      </c>
      <c r="AY631" t="s">
        <v>74</v>
      </c>
      <c r="AZ631" t="s">
        <v>74</v>
      </c>
      <c r="BA631" t="s">
        <v>74</v>
      </c>
      <c r="BB631" t="s">
        <v>11586</v>
      </c>
      <c r="BC631" t="s">
        <v>11129</v>
      </c>
      <c r="BD631" t="s">
        <v>74</v>
      </c>
      <c r="BE631" t="s">
        <v>11587</v>
      </c>
      <c r="BF631" t="str">
        <f>HYPERLINK("http://dx.doi.org/10.1071/MUv110n4_ED","http://dx.doi.org/10.1071/MUv110n4_ED")</f>
        <v>http://dx.doi.org/10.1071/MUv110n4_ED</v>
      </c>
      <c r="BG631" t="s">
        <v>74</v>
      </c>
      <c r="BH631" t="s">
        <v>74</v>
      </c>
      <c r="BI631">
        <v>7</v>
      </c>
      <c r="BJ631" t="s">
        <v>10319</v>
      </c>
      <c r="BK631" t="s">
        <v>102</v>
      </c>
      <c r="BL631" t="s">
        <v>281</v>
      </c>
      <c r="BM631" t="s">
        <v>11588</v>
      </c>
      <c r="BN631" t="s">
        <v>74</v>
      </c>
      <c r="BO631" t="s">
        <v>74</v>
      </c>
      <c r="BP631" t="s">
        <v>74</v>
      </c>
      <c r="BQ631" t="s">
        <v>74</v>
      </c>
      <c r="BR631" t="s">
        <v>105</v>
      </c>
      <c r="BS631" t="s">
        <v>11589</v>
      </c>
      <c r="BT631" t="str">
        <f>HYPERLINK("https%3A%2F%2Fwww.webofscience.com%2Fwos%2Fwoscc%2Ffull-record%2FWOS:000284699700001","View Full Record in Web of Science")</f>
        <v>View Full Record in Web of Science</v>
      </c>
    </row>
    <row r="632" spans="1:72" x14ac:dyDescent="0.15">
      <c r="A632" t="s">
        <v>72</v>
      </c>
      <c r="B632" t="s">
        <v>11590</v>
      </c>
      <c r="C632" t="s">
        <v>74</v>
      </c>
      <c r="D632" t="s">
        <v>74</v>
      </c>
      <c r="E632" t="s">
        <v>74</v>
      </c>
      <c r="F632" t="s">
        <v>11591</v>
      </c>
      <c r="G632" t="s">
        <v>74</v>
      </c>
      <c r="H632" t="s">
        <v>74</v>
      </c>
      <c r="I632" t="s">
        <v>11592</v>
      </c>
      <c r="J632" t="s">
        <v>11574</v>
      </c>
      <c r="K632" t="s">
        <v>74</v>
      </c>
      <c r="L632" t="s">
        <v>74</v>
      </c>
      <c r="M632" t="s">
        <v>78</v>
      </c>
      <c r="N632" t="s">
        <v>79</v>
      </c>
      <c r="O632" t="s">
        <v>74</v>
      </c>
      <c r="P632" t="s">
        <v>74</v>
      </c>
      <c r="Q632" t="s">
        <v>74</v>
      </c>
      <c r="R632" t="s">
        <v>74</v>
      </c>
      <c r="S632" t="s">
        <v>74</v>
      </c>
      <c r="T632" t="s">
        <v>74</v>
      </c>
      <c r="U632" t="s">
        <v>11593</v>
      </c>
      <c r="V632" t="s">
        <v>11594</v>
      </c>
      <c r="W632" t="s">
        <v>11595</v>
      </c>
      <c r="X632" t="s">
        <v>11596</v>
      </c>
      <c r="Y632" t="s">
        <v>11597</v>
      </c>
      <c r="Z632" t="s">
        <v>11598</v>
      </c>
      <c r="AA632" t="s">
        <v>11599</v>
      </c>
      <c r="AB632" t="s">
        <v>11600</v>
      </c>
      <c r="AC632" t="s">
        <v>11601</v>
      </c>
      <c r="AD632" t="s">
        <v>11601</v>
      </c>
      <c r="AE632" t="s">
        <v>11602</v>
      </c>
      <c r="AF632" t="s">
        <v>74</v>
      </c>
      <c r="AG632">
        <v>33</v>
      </c>
      <c r="AH632">
        <v>5</v>
      </c>
      <c r="AI632">
        <v>5</v>
      </c>
      <c r="AJ632">
        <v>1</v>
      </c>
      <c r="AK632">
        <v>24</v>
      </c>
      <c r="AL632" t="s">
        <v>11579</v>
      </c>
      <c r="AM632" t="s">
        <v>11580</v>
      </c>
      <c r="AN632" t="s">
        <v>11581</v>
      </c>
      <c r="AO632" t="s">
        <v>11582</v>
      </c>
      <c r="AP632" t="s">
        <v>11583</v>
      </c>
      <c r="AQ632" t="s">
        <v>74</v>
      </c>
      <c r="AR632" t="s">
        <v>11584</v>
      </c>
      <c r="AS632" t="s">
        <v>11585</v>
      </c>
      <c r="AT632" t="s">
        <v>74</v>
      </c>
      <c r="AU632">
        <v>2010</v>
      </c>
      <c r="AV632">
        <v>110</v>
      </c>
      <c r="AW632">
        <v>2</v>
      </c>
      <c r="AX632" t="s">
        <v>74</v>
      </c>
      <c r="AY632" t="s">
        <v>74</v>
      </c>
      <c r="AZ632" t="s">
        <v>74</v>
      </c>
      <c r="BA632" t="s">
        <v>74</v>
      </c>
      <c r="BB632">
        <v>137</v>
      </c>
      <c r="BC632">
        <v>141</v>
      </c>
      <c r="BD632" t="s">
        <v>74</v>
      </c>
      <c r="BE632" t="s">
        <v>11603</v>
      </c>
      <c r="BF632" t="str">
        <f>HYPERLINK("http://dx.doi.org/10.1071/MU09095","http://dx.doi.org/10.1071/MU09095")</f>
        <v>http://dx.doi.org/10.1071/MU09095</v>
      </c>
      <c r="BG632" t="s">
        <v>74</v>
      </c>
      <c r="BH632" t="s">
        <v>74</v>
      </c>
      <c r="BI632">
        <v>5</v>
      </c>
      <c r="BJ632" t="s">
        <v>10319</v>
      </c>
      <c r="BK632" t="s">
        <v>102</v>
      </c>
      <c r="BL632" t="s">
        <v>281</v>
      </c>
      <c r="BM632" t="s">
        <v>11604</v>
      </c>
      <c r="BN632" t="s">
        <v>74</v>
      </c>
      <c r="BO632" t="s">
        <v>74</v>
      </c>
      <c r="BP632" t="s">
        <v>74</v>
      </c>
      <c r="BQ632" t="s">
        <v>74</v>
      </c>
      <c r="BR632" t="s">
        <v>105</v>
      </c>
      <c r="BS632" t="s">
        <v>11605</v>
      </c>
      <c r="BT632" t="str">
        <f>HYPERLINK("https%3A%2F%2Fwww.webofscience.com%2Fwos%2Fwoscc%2Ffull-record%2FWOS:000278020200005","View Full Record in Web of Science")</f>
        <v>View Full Record in Web of Science</v>
      </c>
    </row>
    <row r="633" spans="1:72" x14ac:dyDescent="0.15">
      <c r="A633" t="s">
        <v>72</v>
      </c>
      <c r="B633" t="s">
        <v>11606</v>
      </c>
      <c r="C633" t="s">
        <v>74</v>
      </c>
      <c r="D633" t="s">
        <v>74</v>
      </c>
      <c r="E633" t="s">
        <v>74</v>
      </c>
      <c r="F633" t="s">
        <v>11607</v>
      </c>
      <c r="G633" t="s">
        <v>74</v>
      </c>
      <c r="H633" t="s">
        <v>74</v>
      </c>
      <c r="I633" t="s">
        <v>11608</v>
      </c>
      <c r="J633" t="s">
        <v>11609</v>
      </c>
      <c r="K633" t="s">
        <v>74</v>
      </c>
      <c r="L633" t="s">
        <v>74</v>
      </c>
      <c r="M633" t="s">
        <v>78</v>
      </c>
      <c r="N633" t="s">
        <v>79</v>
      </c>
      <c r="O633" t="s">
        <v>74</v>
      </c>
      <c r="P633" t="s">
        <v>74</v>
      </c>
      <c r="Q633" t="s">
        <v>74</v>
      </c>
      <c r="R633" t="s">
        <v>74</v>
      </c>
      <c r="S633" t="s">
        <v>74</v>
      </c>
      <c r="T633" t="s">
        <v>74</v>
      </c>
      <c r="U633" t="s">
        <v>11610</v>
      </c>
      <c r="V633" t="s">
        <v>11611</v>
      </c>
      <c r="W633" t="s">
        <v>11612</v>
      </c>
      <c r="X633" t="s">
        <v>11613</v>
      </c>
      <c r="Y633" t="s">
        <v>11614</v>
      </c>
      <c r="Z633" t="s">
        <v>11615</v>
      </c>
      <c r="AA633" t="s">
        <v>11616</v>
      </c>
      <c r="AB633" t="s">
        <v>11617</v>
      </c>
      <c r="AC633" t="s">
        <v>11618</v>
      </c>
      <c r="AD633" t="s">
        <v>11619</v>
      </c>
      <c r="AE633" t="s">
        <v>11620</v>
      </c>
      <c r="AF633" t="s">
        <v>74</v>
      </c>
      <c r="AG633">
        <v>42</v>
      </c>
      <c r="AH633">
        <v>17</v>
      </c>
      <c r="AI633">
        <v>18</v>
      </c>
      <c r="AJ633">
        <v>2</v>
      </c>
      <c r="AK633">
        <v>34</v>
      </c>
      <c r="AL633" t="s">
        <v>10330</v>
      </c>
      <c r="AM633" t="s">
        <v>11621</v>
      </c>
      <c r="AN633" t="s">
        <v>11622</v>
      </c>
      <c r="AO633" t="s">
        <v>11623</v>
      </c>
      <c r="AP633" t="s">
        <v>11624</v>
      </c>
      <c r="AQ633" t="s">
        <v>74</v>
      </c>
      <c r="AR633" t="s">
        <v>11625</v>
      </c>
      <c r="AS633" t="s">
        <v>11626</v>
      </c>
      <c r="AT633" t="s">
        <v>74</v>
      </c>
      <c r="AU633">
        <v>2010</v>
      </c>
      <c r="AV633">
        <v>7</v>
      </c>
      <c r="AW633">
        <v>2</v>
      </c>
      <c r="AX633" t="s">
        <v>74</v>
      </c>
      <c r="AY633" t="s">
        <v>74</v>
      </c>
      <c r="AZ633" t="s">
        <v>74</v>
      </c>
      <c r="BA633" t="s">
        <v>74</v>
      </c>
      <c r="BB633">
        <v>171</v>
      </c>
      <c r="BC633">
        <v>182</v>
      </c>
      <c r="BD633" t="s">
        <v>74</v>
      </c>
      <c r="BE633" t="s">
        <v>11627</v>
      </c>
      <c r="BF633" t="str">
        <f>HYPERLINK("http://dx.doi.org/10.1071/EN09154","http://dx.doi.org/10.1071/EN09154")</f>
        <v>http://dx.doi.org/10.1071/EN09154</v>
      </c>
      <c r="BG633" t="s">
        <v>74</v>
      </c>
      <c r="BH633" t="s">
        <v>74</v>
      </c>
      <c r="BI633">
        <v>12</v>
      </c>
      <c r="BJ633" t="s">
        <v>11628</v>
      </c>
      <c r="BK633" t="s">
        <v>102</v>
      </c>
      <c r="BL633" t="s">
        <v>11629</v>
      </c>
      <c r="BM633" t="s">
        <v>11630</v>
      </c>
      <c r="BN633" t="s">
        <v>74</v>
      </c>
      <c r="BO633" t="s">
        <v>1561</v>
      </c>
      <c r="BP633" t="s">
        <v>74</v>
      </c>
      <c r="BQ633" t="s">
        <v>74</v>
      </c>
      <c r="BR633" t="s">
        <v>105</v>
      </c>
      <c r="BS633" t="s">
        <v>11631</v>
      </c>
      <c r="BT633" t="str">
        <f>HYPERLINK("https%3A%2F%2Fwww.webofscience.com%2Fwos%2Fwoscc%2Ffull-record%2FWOS:000276894500006","View Full Record in Web of Science")</f>
        <v>View Full Record in Web of Science</v>
      </c>
    </row>
    <row r="634" spans="1:72" x14ac:dyDescent="0.15">
      <c r="A634" t="s">
        <v>72</v>
      </c>
      <c r="B634" t="s">
        <v>11632</v>
      </c>
      <c r="C634" t="s">
        <v>74</v>
      </c>
      <c r="D634" t="s">
        <v>74</v>
      </c>
      <c r="E634" t="s">
        <v>74</v>
      </c>
      <c r="F634" t="s">
        <v>11633</v>
      </c>
      <c r="G634" t="s">
        <v>74</v>
      </c>
      <c r="H634" t="s">
        <v>74</v>
      </c>
      <c r="I634" t="s">
        <v>11634</v>
      </c>
      <c r="J634" t="s">
        <v>11609</v>
      </c>
      <c r="K634" t="s">
        <v>74</v>
      </c>
      <c r="L634" t="s">
        <v>74</v>
      </c>
      <c r="M634" t="s">
        <v>78</v>
      </c>
      <c r="N634" t="s">
        <v>79</v>
      </c>
      <c r="O634" t="s">
        <v>74</v>
      </c>
      <c r="P634" t="s">
        <v>74</v>
      </c>
      <c r="Q634" t="s">
        <v>74</v>
      </c>
      <c r="R634" t="s">
        <v>74</v>
      </c>
      <c r="S634" t="s">
        <v>74</v>
      </c>
      <c r="T634" t="s">
        <v>74</v>
      </c>
      <c r="U634" t="s">
        <v>11635</v>
      </c>
      <c r="V634" t="s">
        <v>11636</v>
      </c>
      <c r="W634" t="s">
        <v>11637</v>
      </c>
      <c r="X634" t="s">
        <v>8091</v>
      </c>
      <c r="Y634" t="s">
        <v>8092</v>
      </c>
      <c r="Z634" t="s">
        <v>8093</v>
      </c>
      <c r="AA634" t="s">
        <v>8094</v>
      </c>
      <c r="AB634" t="s">
        <v>8095</v>
      </c>
      <c r="AC634" t="s">
        <v>74</v>
      </c>
      <c r="AD634" t="s">
        <v>74</v>
      </c>
      <c r="AE634" t="s">
        <v>74</v>
      </c>
      <c r="AF634" t="s">
        <v>74</v>
      </c>
      <c r="AG634">
        <v>38</v>
      </c>
      <c r="AH634">
        <v>15</v>
      </c>
      <c r="AI634">
        <v>17</v>
      </c>
      <c r="AJ634">
        <v>0</v>
      </c>
      <c r="AK634">
        <v>30</v>
      </c>
      <c r="AL634" t="s">
        <v>10330</v>
      </c>
      <c r="AM634" t="s">
        <v>10331</v>
      </c>
      <c r="AN634" t="s">
        <v>10332</v>
      </c>
      <c r="AO634" t="s">
        <v>11623</v>
      </c>
      <c r="AP634" t="s">
        <v>11624</v>
      </c>
      <c r="AQ634" t="s">
        <v>74</v>
      </c>
      <c r="AR634" t="s">
        <v>11625</v>
      </c>
      <c r="AS634" t="s">
        <v>11626</v>
      </c>
      <c r="AT634" t="s">
        <v>74</v>
      </c>
      <c r="AU634">
        <v>2010</v>
      </c>
      <c r="AV634">
        <v>7</v>
      </c>
      <c r="AW634">
        <v>2</v>
      </c>
      <c r="AX634" t="s">
        <v>74</v>
      </c>
      <c r="AY634" t="s">
        <v>74</v>
      </c>
      <c r="AZ634" t="s">
        <v>74</v>
      </c>
      <c r="BA634" t="s">
        <v>74</v>
      </c>
      <c r="BB634">
        <v>207</v>
      </c>
      <c r="BC634">
        <v>214</v>
      </c>
      <c r="BD634" t="s">
        <v>74</v>
      </c>
      <c r="BE634" t="s">
        <v>11638</v>
      </c>
      <c r="BF634" t="str">
        <f>HYPERLINK("http://dx.doi.org/10.1071/EN09131","http://dx.doi.org/10.1071/EN09131")</f>
        <v>http://dx.doi.org/10.1071/EN09131</v>
      </c>
      <c r="BG634" t="s">
        <v>74</v>
      </c>
      <c r="BH634" t="s">
        <v>74</v>
      </c>
      <c r="BI634">
        <v>8</v>
      </c>
      <c r="BJ634" t="s">
        <v>11628</v>
      </c>
      <c r="BK634" t="s">
        <v>102</v>
      </c>
      <c r="BL634" t="s">
        <v>11629</v>
      </c>
      <c r="BM634" t="s">
        <v>11630</v>
      </c>
      <c r="BN634" t="s">
        <v>74</v>
      </c>
      <c r="BO634" t="s">
        <v>74</v>
      </c>
      <c r="BP634" t="s">
        <v>74</v>
      </c>
      <c r="BQ634" t="s">
        <v>74</v>
      </c>
      <c r="BR634" t="s">
        <v>105</v>
      </c>
      <c r="BS634" t="s">
        <v>11639</v>
      </c>
      <c r="BT634" t="str">
        <f>HYPERLINK("https%3A%2F%2Fwww.webofscience.com%2Fwos%2Fwoscc%2Ffull-record%2FWOS:000276894500009","View Full Record in Web of Science")</f>
        <v>View Full Record in Web of Science</v>
      </c>
    </row>
    <row r="635" spans="1:72" x14ac:dyDescent="0.15">
      <c r="A635" t="s">
        <v>72</v>
      </c>
      <c r="B635" t="s">
        <v>11640</v>
      </c>
      <c r="C635" t="s">
        <v>74</v>
      </c>
      <c r="D635" t="s">
        <v>74</v>
      </c>
      <c r="E635" t="s">
        <v>74</v>
      </c>
      <c r="F635" t="s">
        <v>11641</v>
      </c>
      <c r="G635" t="s">
        <v>74</v>
      </c>
      <c r="H635" t="s">
        <v>74</v>
      </c>
      <c r="I635" t="s">
        <v>11642</v>
      </c>
      <c r="J635" t="s">
        <v>11609</v>
      </c>
      <c r="K635" t="s">
        <v>74</v>
      </c>
      <c r="L635" t="s">
        <v>74</v>
      </c>
      <c r="M635" t="s">
        <v>78</v>
      </c>
      <c r="N635" t="s">
        <v>79</v>
      </c>
      <c r="O635" t="s">
        <v>74</v>
      </c>
      <c r="P635" t="s">
        <v>74</v>
      </c>
      <c r="Q635" t="s">
        <v>74</v>
      </c>
      <c r="R635" t="s">
        <v>74</v>
      </c>
      <c r="S635" t="s">
        <v>74</v>
      </c>
      <c r="T635" t="s">
        <v>11643</v>
      </c>
      <c r="U635" t="s">
        <v>11644</v>
      </c>
      <c r="V635" t="s">
        <v>11645</v>
      </c>
      <c r="W635" t="s">
        <v>11646</v>
      </c>
      <c r="X635" t="s">
        <v>11647</v>
      </c>
      <c r="Y635" t="s">
        <v>11648</v>
      </c>
      <c r="Z635" t="s">
        <v>11649</v>
      </c>
      <c r="AA635" t="s">
        <v>11650</v>
      </c>
      <c r="AB635" t="s">
        <v>11651</v>
      </c>
      <c r="AC635" t="s">
        <v>11652</v>
      </c>
      <c r="AD635" t="s">
        <v>11653</v>
      </c>
      <c r="AE635" t="s">
        <v>11654</v>
      </c>
      <c r="AF635" t="s">
        <v>74</v>
      </c>
      <c r="AG635">
        <v>25</v>
      </c>
      <c r="AH635">
        <v>20</v>
      </c>
      <c r="AI635">
        <v>28</v>
      </c>
      <c r="AJ635">
        <v>2</v>
      </c>
      <c r="AK635">
        <v>30</v>
      </c>
      <c r="AL635" t="s">
        <v>10330</v>
      </c>
      <c r="AM635" t="s">
        <v>10331</v>
      </c>
      <c r="AN635" t="s">
        <v>10332</v>
      </c>
      <c r="AO635" t="s">
        <v>11623</v>
      </c>
      <c r="AP635" t="s">
        <v>11624</v>
      </c>
      <c r="AQ635" t="s">
        <v>74</v>
      </c>
      <c r="AR635" t="s">
        <v>11625</v>
      </c>
      <c r="AS635" t="s">
        <v>11626</v>
      </c>
      <c r="AT635" t="s">
        <v>74</v>
      </c>
      <c r="AU635">
        <v>2010</v>
      </c>
      <c r="AV635">
        <v>7</v>
      </c>
      <c r="AW635">
        <v>5</v>
      </c>
      <c r="AX635" t="s">
        <v>74</v>
      </c>
      <c r="AY635" t="s">
        <v>74</v>
      </c>
      <c r="AZ635" t="s">
        <v>74</v>
      </c>
      <c r="BA635" t="s">
        <v>74</v>
      </c>
      <c r="BB635">
        <v>406</v>
      </c>
      <c r="BC635">
        <v>412</v>
      </c>
      <c r="BD635" t="s">
        <v>74</v>
      </c>
      <c r="BE635" t="s">
        <v>11655</v>
      </c>
      <c r="BF635" t="str">
        <f>HYPERLINK("http://dx.doi.org/10.1071/EN10048","http://dx.doi.org/10.1071/EN10048")</f>
        <v>http://dx.doi.org/10.1071/EN10048</v>
      </c>
      <c r="BG635" t="s">
        <v>74</v>
      </c>
      <c r="BH635" t="s">
        <v>74</v>
      </c>
      <c r="BI635">
        <v>7</v>
      </c>
      <c r="BJ635" t="s">
        <v>11628</v>
      </c>
      <c r="BK635" t="s">
        <v>102</v>
      </c>
      <c r="BL635" t="s">
        <v>11629</v>
      </c>
      <c r="BM635" t="s">
        <v>11656</v>
      </c>
      <c r="BN635" t="s">
        <v>74</v>
      </c>
      <c r="BO635" t="s">
        <v>74</v>
      </c>
      <c r="BP635" t="s">
        <v>74</v>
      </c>
      <c r="BQ635" t="s">
        <v>74</v>
      </c>
      <c r="BR635" t="s">
        <v>105</v>
      </c>
      <c r="BS635" t="s">
        <v>11657</v>
      </c>
      <c r="BT635" t="str">
        <f>HYPERLINK("https%3A%2F%2Fwww.webofscience.com%2Fwos%2Fwoscc%2Ffull-record%2FWOS:000282872300003","View Full Record in Web of Science")</f>
        <v>View Full Record in Web of Science</v>
      </c>
    </row>
    <row r="636" spans="1:72" x14ac:dyDescent="0.15">
      <c r="A636" t="s">
        <v>72</v>
      </c>
      <c r="B636" t="s">
        <v>11658</v>
      </c>
      <c r="C636" t="s">
        <v>74</v>
      </c>
      <c r="D636" t="s">
        <v>74</v>
      </c>
      <c r="E636" t="s">
        <v>74</v>
      </c>
      <c r="F636" t="s">
        <v>11659</v>
      </c>
      <c r="G636" t="s">
        <v>74</v>
      </c>
      <c r="H636" t="s">
        <v>74</v>
      </c>
      <c r="I636" t="s">
        <v>11660</v>
      </c>
      <c r="J636" t="s">
        <v>11609</v>
      </c>
      <c r="K636" t="s">
        <v>74</v>
      </c>
      <c r="L636" t="s">
        <v>74</v>
      </c>
      <c r="M636" t="s">
        <v>78</v>
      </c>
      <c r="N636" t="s">
        <v>79</v>
      </c>
      <c r="O636" t="s">
        <v>74</v>
      </c>
      <c r="P636" t="s">
        <v>74</v>
      </c>
      <c r="Q636" t="s">
        <v>74</v>
      </c>
      <c r="R636" t="s">
        <v>74</v>
      </c>
      <c r="S636" t="s">
        <v>74</v>
      </c>
      <c r="T636" t="s">
        <v>11661</v>
      </c>
      <c r="U636" t="s">
        <v>11662</v>
      </c>
      <c r="V636" t="s">
        <v>11663</v>
      </c>
      <c r="W636" t="s">
        <v>11664</v>
      </c>
      <c r="X636" t="s">
        <v>11665</v>
      </c>
      <c r="Y636" t="s">
        <v>11666</v>
      </c>
      <c r="Z636" t="s">
        <v>11667</v>
      </c>
      <c r="AA636" t="s">
        <v>11668</v>
      </c>
      <c r="AB636" t="s">
        <v>11669</v>
      </c>
      <c r="AC636" t="s">
        <v>11670</v>
      </c>
      <c r="AD636" t="s">
        <v>11671</v>
      </c>
      <c r="AE636" t="s">
        <v>11672</v>
      </c>
      <c r="AF636" t="s">
        <v>74</v>
      </c>
      <c r="AG636">
        <v>55</v>
      </c>
      <c r="AH636">
        <v>33</v>
      </c>
      <c r="AI636">
        <v>35</v>
      </c>
      <c r="AJ636">
        <v>3</v>
      </c>
      <c r="AK636">
        <v>59</v>
      </c>
      <c r="AL636" t="s">
        <v>10330</v>
      </c>
      <c r="AM636" t="s">
        <v>10331</v>
      </c>
      <c r="AN636" t="s">
        <v>10332</v>
      </c>
      <c r="AO636" t="s">
        <v>11623</v>
      </c>
      <c r="AP636" t="s">
        <v>11624</v>
      </c>
      <c r="AQ636" t="s">
        <v>74</v>
      </c>
      <c r="AR636" t="s">
        <v>11625</v>
      </c>
      <c r="AS636" t="s">
        <v>11626</v>
      </c>
      <c r="AT636" t="s">
        <v>74</v>
      </c>
      <c r="AU636">
        <v>2010</v>
      </c>
      <c r="AV636">
        <v>7</v>
      </c>
      <c r="AW636">
        <v>6</v>
      </c>
      <c r="AX636" t="s">
        <v>74</v>
      </c>
      <c r="AY636" t="s">
        <v>74</v>
      </c>
      <c r="AZ636" t="s">
        <v>74</v>
      </c>
      <c r="BA636" t="s">
        <v>74</v>
      </c>
      <c r="BB636">
        <v>504</v>
      </c>
      <c r="BC636">
        <v>513</v>
      </c>
      <c r="BD636" t="s">
        <v>74</v>
      </c>
      <c r="BE636" t="s">
        <v>11673</v>
      </c>
      <c r="BF636" t="str">
        <f>HYPERLINK("http://dx.doi.org/10.1071/EN10066","http://dx.doi.org/10.1071/EN10066")</f>
        <v>http://dx.doi.org/10.1071/EN10066</v>
      </c>
      <c r="BG636" t="s">
        <v>74</v>
      </c>
      <c r="BH636" t="s">
        <v>74</v>
      </c>
      <c r="BI636">
        <v>10</v>
      </c>
      <c r="BJ636" t="s">
        <v>11628</v>
      </c>
      <c r="BK636" t="s">
        <v>102</v>
      </c>
      <c r="BL636" t="s">
        <v>11629</v>
      </c>
      <c r="BM636" t="s">
        <v>11674</v>
      </c>
      <c r="BN636" t="s">
        <v>74</v>
      </c>
      <c r="BO636" t="s">
        <v>74</v>
      </c>
      <c r="BP636" t="s">
        <v>74</v>
      </c>
      <c r="BQ636" t="s">
        <v>74</v>
      </c>
      <c r="BR636" t="s">
        <v>105</v>
      </c>
      <c r="BS636" t="s">
        <v>11675</v>
      </c>
      <c r="BT636" t="str">
        <f>HYPERLINK("https%3A%2F%2Fwww.webofscience.com%2Fwos%2Fwoscc%2Ffull-record%2FWOS:000285466700003","View Full Record in Web of Science")</f>
        <v>View Full Record in Web of Science</v>
      </c>
    </row>
    <row r="637" spans="1:72" x14ac:dyDescent="0.15">
      <c r="A637" t="s">
        <v>72</v>
      </c>
      <c r="B637" t="s">
        <v>11676</v>
      </c>
      <c r="C637" t="s">
        <v>74</v>
      </c>
      <c r="D637" t="s">
        <v>74</v>
      </c>
      <c r="E637" t="s">
        <v>74</v>
      </c>
      <c r="F637" t="s">
        <v>11677</v>
      </c>
      <c r="G637" t="s">
        <v>74</v>
      </c>
      <c r="H637" t="s">
        <v>74</v>
      </c>
      <c r="I637" t="s">
        <v>11678</v>
      </c>
      <c r="J637" t="s">
        <v>11679</v>
      </c>
      <c r="K637" t="s">
        <v>74</v>
      </c>
      <c r="L637" t="s">
        <v>74</v>
      </c>
      <c r="M637" t="s">
        <v>78</v>
      </c>
      <c r="N637" t="s">
        <v>79</v>
      </c>
      <c r="O637" t="s">
        <v>74</v>
      </c>
      <c r="P637" t="s">
        <v>74</v>
      </c>
      <c r="Q637" t="s">
        <v>74</v>
      </c>
      <c r="R637" t="s">
        <v>74</v>
      </c>
      <c r="S637" t="s">
        <v>74</v>
      </c>
      <c r="T637" t="s">
        <v>11680</v>
      </c>
      <c r="U637" t="s">
        <v>11681</v>
      </c>
      <c r="V637" t="s">
        <v>11682</v>
      </c>
      <c r="W637" t="s">
        <v>11683</v>
      </c>
      <c r="X637" t="s">
        <v>11684</v>
      </c>
      <c r="Y637" t="s">
        <v>11685</v>
      </c>
      <c r="Z637" t="s">
        <v>11686</v>
      </c>
      <c r="AA637" t="s">
        <v>11687</v>
      </c>
      <c r="AB637" t="s">
        <v>11688</v>
      </c>
      <c r="AC637" t="s">
        <v>11689</v>
      </c>
      <c r="AD637" t="s">
        <v>11690</v>
      </c>
      <c r="AE637" t="s">
        <v>11691</v>
      </c>
      <c r="AF637" t="s">
        <v>74</v>
      </c>
      <c r="AG637">
        <v>41</v>
      </c>
      <c r="AH637">
        <v>53</v>
      </c>
      <c r="AI637">
        <v>57</v>
      </c>
      <c r="AJ637">
        <v>5</v>
      </c>
      <c r="AK637">
        <v>24</v>
      </c>
      <c r="AL637" t="s">
        <v>813</v>
      </c>
      <c r="AM637" t="s">
        <v>814</v>
      </c>
      <c r="AN637" t="s">
        <v>815</v>
      </c>
      <c r="AO637" t="s">
        <v>11692</v>
      </c>
      <c r="AP637" t="s">
        <v>11693</v>
      </c>
      <c r="AQ637" t="s">
        <v>74</v>
      </c>
      <c r="AR637" t="s">
        <v>11694</v>
      </c>
      <c r="AS637" t="s">
        <v>11695</v>
      </c>
      <c r="AT637" t="s">
        <v>8958</v>
      </c>
      <c r="AU637">
        <v>2010</v>
      </c>
      <c r="AV637">
        <v>160</v>
      </c>
      <c r="AW637" t="s">
        <v>151</v>
      </c>
      <c r="AX637" t="s">
        <v>74</v>
      </c>
      <c r="AY637" t="s">
        <v>74</v>
      </c>
      <c r="AZ637" t="s">
        <v>74</v>
      </c>
      <c r="BA637" t="s">
        <v>74</v>
      </c>
      <c r="BB637">
        <v>323</v>
      </c>
      <c r="BC637">
        <v>335</v>
      </c>
      <c r="BD637" t="s">
        <v>74</v>
      </c>
      <c r="BE637" t="s">
        <v>11696</v>
      </c>
      <c r="BF637" t="str">
        <f>HYPERLINK("http://dx.doi.org/10.1007/s10661-008-0698-3","http://dx.doi.org/10.1007/s10661-008-0698-3")</f>
        <v>http://dx.doi.org/10.1007/s10661-008-0698-3</v>
      </c>
      <c r="BG637" t="s">
        <v>74</v>
      </c>
      <c r="BH637" t="s">
        <v>74</v>
      </c>
      <c r="BI637">
        <v>13</v>
      </c>
      <c r="BJ637" t="s">
        <v>4031</v>
      </c>
      <c r="BK637" t="s">
        <v>102</v>
      </c>
      <c r="BL637" t="s">
        <v>1348</v>
      </c>
      <c r="BM637" t="s">
        <v>11697</v>
      </c>
      <c r="BN637">
        <v>19083111</v>
      </c>
      <c r="BO637" t="s">
        <v>74</v>
      </c>
      <c r="BP637" t="s">
        <v>74</v>
      </c>
      <c r="BQ637" t="s">
        <v>74</v>
      </c>
      <c r="BR637" t="s">
        <v>105</v>
      </c>
      <c r="BS637" t="s">
        <v>11698</v>
      </c>
      <c r="BT637" t="str">
        <f>HYPERLINK("https%3A%2F%2Fwww.webofscience.com%2Fwos%2Fwoscc%2Ffull-record%2FWOS:000272615400027","View Full Record in Web of Science")</f>
        <v>View Full Record in Web of Science</v>
      </c>
    </row>
    <row r="638" spans="1:72" x14ac:dyDescent="0.15">
      <c r="A638" t="s">
        <v>72</v>
      </c>
      <c r="B638" t="s">
        <v>11699</v>
      </c>
      <c r="C638" t="s">
        <v>74</v>
      </c>
      <c r="D638" t="s">
        <v>74</v>
      </c>
      <c r="E638" t="s">
        <v>74</v>
      </c>
      <c r="F638" t="s">
        <v>11700</v>
      </c>
      <c r="G638" t="s">
        <v>74</v>
      </c>
      <c r="H638" t="s">
        <v>74</v>
      </c>
      <c r="I638" t="s">
        <v>11701</v>
      </c>
      <c r="J638" t="s">
        <v>4014</v>
      </c>
      <c r="K638" t="s">
        <v>74</v>
      </c>
      <c r="L638" t="s">
        <v>74</v>
      </c>
      <c r="M638" t="s">
        <v>78</v>
      </c>
      <c r="N638" t="s">
        <v>79</v>
      </c>
      <c r="O638" t="s">
        <v>74</v>
      </c>
      <c r="P638" t="s">
        <v>74</v>
      </c>
      <c r="Q638" t="s">
        <v>74</v>
      </c>
      <c r="R638" t="s">
        <v>74</v>
      </c>
      <c r="S638" t="s">
        <v>74</v>
      </c>
      <c r="T638" t="s">
        <v>11702</v>
      </c>
      <c r="U638" t="s">
        <v>11703</v>
      </c>
      <c r="V638" t="s">
        <v>11704</v>
      </c>
      <c r="W638" t="s">
        <v>11705</v>
      </c>
      <c r="X638" t="s">
        <v>11706</v>
      </c>
      <c r="Y638" t="s">
        <v>11707</v>
      </c>
      <c r="Z638" t="s">
        <v>11708</v>
      </c>
      <c r="AA638" t="s">
        <v>11709</v>
      </c>
      <c r="AB638" t="s">
        <v>11710</v>
      </c>
      <c r="AC638" t="s">
        <v>11711</v>
      </c>
      <c r="AD638" t="s">
        <v>11712</v>
      </c>
      <c r="AE638" t="s">
        <v>11713</v>
      </c>
      <c r="AF638" t="s">
        <v>74</v>
      </c>
      <c r="AG638">
        <v>66</v>
      </c>
      <c r="AH638">
        <v>52</v>
      </c>
      <c r="AI638">
        <v>55</v>
      </c>
      <c r="AJ638">
        <v>0</v>
      </c>
      <c r="AK638">
        <v>35</v>
      </c>
      <c r="AL638" t="s">
        <v>2285</v>
      </c>
      <c r="AM638" t="s">
        <v>1064</v>
      </c>
      <c r="AN638" t="s">
        <v>2286</v>
      </c>
      <c r="AO638" t="s">
        <v>4026</v>
      </c>
      <c r="AP638" t="s">
        <v>74</v>
      </c>
      <c r="AQ638" t="s">
        <v>74</v>
      </c>
      <c r="AR638" t="s">
        <v>4028</v>
      </c>
      <c r="AS638" t="s">
        <v>4029</v>
      </c>
      <c r="AT638" t="s">
        <v>8958</v>
      </c>
      <c r="AU638">
        <v>2010</v>
      </c>
      <c r="AV638">
        <v>158</v>
      </c>
      <c r="AW638">
        <v>1</v>
      </c>
      <c r="AX638" t="s">
        <v>74</v>
      </c>
      <c r="AY638" t="s">
        <v>74</v>
      </c>
      <c r="AZ638" t="s">
        <v>74</v>
      </c>
      <c r="BA638" t="s">
        <v>74</v>
      </c>
      <c r="BB638">
        <v>98</v>
      </c>
      <c r="BC638">
        <v>107</v>
      </c>
      <c r="BD638" t="s">
        <v>74</v>
      </c>
      <c r="BE638" t="s">
        <v>11714</v>
      </c>
      <c r="BF638" t="str">
        <f>HYPERLINK("http://dx.doi.org/10.1016/j.envpol.2009.07.040","http://dx.doi.org/10.1016/j.envpol.2009.07.040")</f>
        <v>http://dx.doi.org/10.1016/j.envpol.2009.07.040</v>
      </c>
      <c r="BG638" t="s">
        <v>74</v>
      </c>
      <c r="BH638" t="s">
        <v>74</v>
      </c>
      <c r="BI638">
        <v>10</v>
      </c>
      <c r="BJ638" t="s">
        <v>4031</v>
      </c>
      <c r="BK638" t="s">
        <v>102</v>
      </c>
      <c r="BL638" t="s">
        <v>1348</v>
      </c>
      <c r="BM638" t="s">
        <v>11715</v>
      </c>
      <c r="BN638">
        <v>19713018</v>
      </c>
      <c r="BO638" t="s">
        <v>480</v>
      </c>
      <c r="BP638" t="s">
        <v>74</v>
      </c>
      <c r="BQ638" t="s">
        <v>74</v>
      </c>
      <c r="BR638" t="s">
        <v>105</v>
      </c>
      <c r="BS638" t="s">
        <v>11716</v>
      </c>
      <c r="BT638" t="str">
        <f>HYPERLINK("https%3A%2F%2Fwww.webofscience.com%2Fwos%2Fwoscc%2Ffull-record%2FWOS:000273245000013","View Full Record in Web of Science")</f>
        <v>View Full Record in Web of Science</v>
      </c>
    </row>
    <row r="639" spans="1:72" x14ac:dyDescent="0.15">
      <c r="A639" t="s">
        <v>72</v>
      </c>
      <c r="B639" t="s">
        <v>11717</v>
      </c>
      <c r="C639" t="s">
        <v>74</v>
      </c>
      <c r="D639" t="s">
        <v>74</v>
      </c>
      <c r="E639" t="s">
        <v>74</v>
      </c>
      <c r="F639" t="s">
        <v>11718</v>
      </c>
      <c r="G639" t="s">
        <v>74</v>
      </c>
      <c r="H639" t="s">
        <v>74</v>
      </c>
      <c r="I639" t="s">
        <v>11719</v>
      </c>
      <c r="J639" t="s">
        <v>4014</v>
      </c>
      <c r="K639" t="s">
        <v>74</v>
      </c>
      <c r="L639" t="s">
        <v>74</v>
      </c>
      <c r="M639" t="s">
        <v>78</v>
      </c>
      <c r="N639" t="s">
        <v>79</v>
      </c>
      <c r="O639" t="s">
        <v>74</v>
      </c>
      <c r="P639" t="s">
        <v>74</v>
      </c>
      <c r="Q639" t="s">
        <v>74</v>
      </c>
      <c r="R639" t="s">
        <v>74</v>
      </c>
      <c r="S639" t="s">
        <v>74</v>
      </c>
      <c r="T639" t="s">
        <v>11720</v>
      </c>
      <c r="U639" t="s">
        <v>11721</v>
      </c>
      <c r="V639" t="s">
        <v>11722</v>
      </c>
      <c r="W639" t="s">
        <v>11723</v>
      </c>
      <c r="X639" t="s">
        <v>11724</v>
      </c>
      <c r="Y639" t="s">
        <v>11725</v>
      </c>
      <c r="Z639" t="s">
        <v>11726</v>
      </c>
      <c r="AA639" t="s">
        <v>11727</v>
      </c>
      <c r="AB639" t="s">
        <v>11728</v>
      </c>
      <c r="AC639" t="s">
        <v>11729</v>
      </c>
      <c r="AD639" t="s">
        <v>11730</v>
      </c>
      <c r="AE639" t="s">
        <v>11731</v>
      </c>
      <c r="AF639" t="s">
        <v>74</v>
      </c>
      <c r="AG639">
        <v>64</v>
      </c>
      <c r="AH639">
        <v>97</v>
      </c>
      <c r="AI639">
        <v>107</v>
      </c>
      <c r="AJ639">
        <v>5</v>
      </c>
      <c r="AK639">
        <v>86</v>
      </c>
      <c r="AL639" t="s">
        <v>2285</v>
      </c>
      <c r="AM639" t="s">
        <v>1064</v>
      </c>
      <c r="AN639" t="s">
        <v>2286</v>
      </c>
      <c r="AO639" t="s">
        <v>4026</v>
      </c>
      <c r="AP639" t="s">
        <v>74</v>
      </c>
      <c r="AQ639" t="s">
        <v>74</v>
      </c>
      <c r="AR639" t="s">
        <v>4028</v>
      </c>
      <c r="AS639" t="s">
        <v>4029</v>
      </c>
      <c r="AT639" t="s">
        <v>8958</v>
      </c>
      <c r="AU639">
        <v>2010</v>
      </c>
      <c r="AV639">
        <v>158</v>
      </c>
      <c r="AW639">
        <v>1</v>
      </c>
      <c r="AX639" t="s">
        <v>74</v>
      </c>
      <c r="AY639" t="s">
        <v>74</v>
      </c>
      <c r="AZ639" t="s">
        <v>74</v>
      </c>
      <c r="BA639" t="s">
        <v>74</v>
      </c>
      <c r="BB639">
        <v>192</v>
      </c>
      <c r="BC639">
        <v>200</v>
      </c>
      <c r="BD639" t="s">
        <v>74</v>
      </c>
      <c r="BE639" t="s">
        <v>11732</v>
      </c>
      <c r="BF639" t="str">
        <f>HYPERLINK("http://dx.doi.org/10.1016/j.envpol.2009.07.025","http://dx.doi.org/10.1016/j.envpol.2009.07.025")</f>
        <v>http://dx.doi.org/10.1016/j.envpol.2009.07.025</v>
      </c>
      <c r="BG639" t="s">
        <v>74</v>
      </c>
      <c r="BH639" t="s">
        <v>74</v>
      </c>
      <c r="BI639">
        <v>9</v>
      </c>
      <c r="BJ639" t="s">
        <v>4031</v>
      </c>
      <c r="BK639" t="s">
        <v>102</v>
      </c>
      <c r="BL639" t="s">
        <v>1348</v>
      </c>
      <c r="BM639" t="s">
        <v>11715</v>
      </c>
      <c r="BN639">
        <v>19665270</v>
      </c>
      <c r="BO639" t="s">
        <v>74</v>
      </c>
      <c r="BP639" t="s">
        <v>74</v>
      </c>
      <c r="BQ639" t="s">
        <v>74</v>
      </c>
      <c r="BR639" t="s">
        <v>105</v>
      </c>
      <c r="BS639" t="s">
        <v>11733</v>
      </c>
      <c r="BT639" t="str">
        <f>HYPERLINK("https%3A%2F%2Fwww.webofscience.com%2Fwos%2Fwoscc%2Ffull-record%2FWOS:000273245000026","View Full Record in Web of Science")</f>
        <v>View Full Record in Web of Science</v>
      </c>
    </row>
    <row r="640" spans="1:72" x14ac:dyDescent="0.15">
      <c r="A640" t="s">
        <v>72</v>
      </c>
      <c r="B640" t="s">
        <v>11734</v>
      </c>
      <c r="C640" t="s">
        <v>74</v>
      </c>
      <c r="D640" t="s">
        <v>74</v>
      </c>
      <c r="E640" t="s">
        <v>74</v>
      </c>
      <c r="F640" t="s">
        <v>11735</v>
      </c>
      <c r="G640" t="s">
        <v>74</v>
      </c>
      <c r="H640" t="s">
        <v>74</v>
      </c>
      <c r="I640" t="s">
        <v>11736</v>
      </c>
      <c r="J640" t="s">
        <v>11737</v>
      </c>
      <c r="K640" t="s">
        <v>74</v>
      </c>
      <c r="L640" t="s">
        <v>74</v>
      </c>
      <c r="M640" t="s">
        <v>78</v>
      </c>
      <c r="N640" t="s">
        <v>79</v>
      </c>
      <c r="O640" t="s">
        <v>74</v>
      </c>
      <c r="P640" t="s">
        <v>74</v>
      </c>
      <c r="Q640" t="s">
        <v>74</v>
      </c>
      <c r="R640" t="s">
        <v>74</v>
      </c>
      <c r="S640" t="s">
        <v>74</v>
      </c>
      <c r="T640" t="s">
        <v>11738</v>
      </c>
      <c r="U640" t="s">
        <v>11739</v>
      </c>
      <c r="V640" t="s">
        <v>11740</v>
      </c>
      <c r="W640" t="s">
        <v>11741</v>
      </c>
      <c r="X640" t="s">
        <v>11742</v>
      </c>
      <c r="Y640" t="s">
        <v>11743</v>
      </c>
      <c r="Z640" t="s">
        <v>11744</v>
      </c>
      <c r="AA640" t="s">
        <v>11745</v>
      </c>
      <c r="AB640" t="s">
        <v>11746</v>
      </c>
      <c r="AC640" t="s">
        <v>74</v>
      </c>
      <c r="AD640" t="s">
        <v>74</v>
      </c>
      <c r="AE640" t="s">
        <v>74</v>
      </c>
      <c r="AF640" t="s">
        <v>74</v>
      </c>
      <c r="AG640">
        <v>35</v>
      </c>
      <c r="AH640">
        <v>7</v>
      </c>
      <c r="AI640">
        <v>11</v>
      </c>
      <c r="AJ640">
        <v>1</v>
      </c>
      <c r="AK640">
        <v>16</v>
      </c>
      <c r="AL640" t="s">
        <v>4825</v>
      </c>
      <c r="AM640" t="s">
        <v>4826</v>
      </c>
      <c r="AN640" t="s">
        <v>4827</v>
      </c>
      <c r="AO640" t="s">
        <v>11747</v>
      </c>
      <c r="AP640" t="s">
        <v>74</v>
      </c>
      <c r="AQ640" t="s">
        <v>74</v>
      </c>
      <c r="AR640" t="s">
        <v>11748</v>
      </c>
      <c r="AS640" t="s">
        <v>11749</v>
      </c>
      <c r="AT640" t="s">
        <v>9557</v>
      </c>
      <c r="AU640">
        <v>2010</v>
      </c>
      <c r="AV640">
        <v>5</v>
      </c>
      <c r="AW640">
        <v>1</v>
      </c>
      <c r="AX640" t="s">
        <v>74</v>
      </c>
      <c r="AY640" t="s">
        <v>74</v>
      </c>
      <c r="AZ640" t="s">
        <v>74</v>
      </c>
      <c r="BA640" t="s">
        <v>74</v>
      </c>
      <c r="BB640" t="s">
        <v>74</v>
      </c>
      <c r="BC640" t="s">
        <v>74</v>
      </c>
      <c r="BD640">
        <v>14009</v>
      </c>
      <c r="BE640" t="s">
        <v>11750</v>
      </c>
      <c r="BF640" t="str">
        <f>HYPERLINK("http://dx.doi.org/10.1088/1748-9326/5/1/014009","http://dx.doi.org/10.1088/1748-9326/5/1/014009")</f>
        <v>http://dx.doi.org/10.1088/1748-9326/5/1/014009</v>
      </c>
      <c r="BG640" t="s">
        <v>74</v>
      </c>
      <c r="BH640" t="s">
        <v>74</v>
      </c>
      <c r="BI640">
        <v>7</v>
      </c>
      <c r="BJ640" t="s">
        <v>973</v>
      </c>
      <c r="BK640" t="s">
        <v>102</v>
      </c>
      <c r="BL640" t="s">
        <v>974</v>
      </c>
      <c r="BM640" t="s">
        <v>11751</v>
      </c>
      <c r="BN640" t="s">
        <v>74</v>
      </c>
      <c r="BO640" t="s">
        <v>1663</v>
      </c>
      <c r="BP640" t="s">
        <v>74</v>
      </c>
      <c r="BQ640" t="s">
        <v>74</v>
      </c>
      <c r="BR640" t="s">
        <v>105</v>
      </c>
      <c r="BS640" t="s">
        <v>11752</v>
      </c>
      <c r="BT640" t="str">
        <f>HYPERLINK("https%3A%2F%2Fwww.webofscience.com%2Fwos%2Fwoscc%2Ffull-record%2FWOS:000276097900010","View Full Record in Web of Science")</f>
        <v>View Full Record in Web of Science</v>
      </c>
    </row>
    <row r="641" spans="1:72" x14ac:dyDescent="0.15">
      <c r="A641" t="s">
        <v>72</v>
      </c>
      <c r="B641" t="s">
        <v>11753</v>
      </c>
      <c r="C641" t="s">
        <v>74</v>
      </c>
      <c r="D641" t="s">
        <v>74</v>
      </c>
      <c r="E641" t="s">
        <v>74</v>
      </c>
      <c r="F641" t="s">
        <v>11754</v>
      </c>
      <c r="G641" t="s">
        <v>74</v>
      </c>
      <c r="H641" t="s">
        <v>74</v>
      </c>
      <c r="I641" t="s">
        <v>11755</v>
      </c>
      <c r="J641" t="s">
        <v>11737</v>
      </c>
      <c r="K641" t="s">
        <v>74</v>
      </c>
      <c r="L641" t="s">
        <v>74</v>
      </c>
      <c r="M641" t="s">
        <v>78</v>
      </c>
      <c r="N641" t="s">
        <v>79</v>
      </c>
      <c r="O641" t="s">
        <v>74</v>
      </c>
      <c r="P641" t="s">
        <v>74</v>
      </c>
      <c r="Q641" t="s">
        <v>74</v>
      </c>
      <c r="R641" t="s">
        <v>74</v>
      </c>
      <c r="S641" t="s">
        <v>74</v>
      </c>
      <c r="T641" t="s">
        <v>11756</v>
      </c>
      <c r="U641" t="s">
        <v>74</v>
      </c>
      <c r="V641" t="s">
        <v>11757</v>
      </c>
      <c r="W641" t="s">
        <v>11758</v>
      </c>
      <c r="X641" t="s">
        <v>11759</v>
      </c>
      <c r="Y641" t="s">
        <v>11760</v>
      </c>
      <c r="Z641" t="s">
        <v>11761</v>
      </c>
      <c r="AA641" t="s">
        <v>11762</v>
      </c>
      <c r="AB641" t="s">
        <v>11763</v>
      </c>
      <c r="AC641" t="s">
        <v>11764</v>
      </c>
      <c r="AD641" t="s">
        <v>11765</v>
      </c>
      <c r="AE641" t="s">
        <v>11766</v>
      </c>
      <c r="AF641" t="s">
        <v>74</v>
      </c>
      <c r="AG641">
        <v>37</v>
      </c>
      <c r="AH641">
        <v>23</v>
      </c>
      <c r="AI641">
        <v>23</v>
      </c>
      <c r="AJ641">
        <v>1</v>
      </c>
      <c r="AK641">
        <v>18</v>
      </c>
      <c r="AL641" t="s">
        <v>4825</v>
      </c>
      <c r="AM641" t="s">
        <v>4826</v>
      </c>
      <c r="AN641" t="s">
        <v>4827</v>
      </c>
      <c r="AO641" t="s">
        <v>11747</v>
      </c>
      <c r="AP641" t="s">
        <v>74</v>
      </c>
      <c r="AQ641" t="s">
        <v>74</v>
      </c>
      <c r="AR641" t="s">
        <v>11748</v>
      </c>
      <c r="AS641" t="s">
        <v>11749</v>
      </c>
      <c r="AT641" t="s">
        <v>9557</v>
      </c>
      <c r="AU641">
        <v>2010</v>
      </c>
      <c r="AV641">
        <v>5</v>
      </c>
      <c r="AW641">
        <v>1</v>
      </c>
      <c r="AX641" t="s">
        <v>74</v>
      </c>
      <c r="AY641" t="s">
        <v>74</v>
      </c>
      <c r="AZ641" t="s">
        <v>74</v>
      </c>
      <c r="BA641" t="s">
        <v>74</v>
      </c>
      <c r="BB641" t="s">
        <v>74</v>
      </c>
      <c r="BC641" t="s">
        <v>74</v>
      </c>
      <c r="BD641">
        <v>15004</v>
      </c>
      <c r="BE641" t="s">
        <v>11767</v>
      </c>
      <c r="BF641" t="str">
        <f>HYPERLINK("http://dx.doi.org/10.1088/1748-9326/5/1/015004","http://dx.doi.org/10.1088/1748-9326/5/1/015004")</f>
        <v>http://dx.doi.org/10.1088/1748-9326/5/1/015004</v>
      </c>
      <c r="BG641" t="s">
        <v>74</v>
      </c>
      <c r="BH641" t="s">
        <v>74</v>
      </c>
      <c r="BI641">
        <v>10</v>
      </c>
      <c r="BJ641" t="s">
        <v>973</v>
      </c>
      <c r="BK641" t="s">
        <v>102</v>
      </c>
      <c r="BL641" t="s">
        <v>974</v>
      </c>
      <c r="BM641" t="s">
        <v>11751</v>
      </c>
      <c r="BN641" t="s">
        <v>74</v>
      </c>
      <c r="BO641" t="s">
        <v>1663</v>
      </c>
      <c r="BP641" t="s">
        <v>74</v>
      </c>
      <c r="BQ641" t="s">
        <v>74</v>
      </c>
      <c r="BR641" t="s">
        <v>105</v>
      </c>
      <c r="BS641" t="s">
        <v>11768</v>
      </c>
      <c r="BT641" t="str">
        <f>HYPERLINK("https%3A%2F%2Fwww.webofscience.com%2Fwos%2Fwoscc%2Ffull-record%2FWOS:000276097900027","View Full Record in Web of Science")</f>
        <v>View Full Record in Web of Science</v>
      </c>
    </row>
    <row r="642" spans="1:72" x14ac:dyDescent="0.15">
      <c r="A642" t="s">
        <v>72</v>
      </c>
      <c r="B642" t="s">
        <v>11769</v>
      </c>
      <c r="C642" t="s">
        <v>74</v>
      </c>
      <c r="D642" t="s">
        <v>74</v>
      </c>
      <c r="E642" t="s">
        <v>74</v>
      </c>
      <c r="F642" t="s">
        <v>11770</v>
      </c>
      <c r="G642" t="s">
        <v>74</v>
      </c>
      <c r="H642" t="s">
        <v>74</v>
      </c>
      <c r="I642" t="s">
        <v>11771</v>
      </c>
      <c r="J642" t="s">
        <v>11737</v>
      </c>
      <c r="K642" t="s">
        <v>74</v>
      </c>
      <c r="L642" t="s">
        <v>74</v>
      </c>
      <c r="M642" t="s">
        <v>78</v>
      </c>
      <c r="N642" t="s">
        <v>536</v>
      </c>
      <c r="O642" t="s">
        <v>74</v>
      </c>
      <c r="P642" t="s">
        <v>74</v>
      </c>
      <c r="Q642" t="s">
        <v>74</v>
      </c>
      <c r="R642" t="s">
        <v>74</v>
      </c>
      <c r="S642" t="s">
        <v>74</v>
      </c>
      <c r="T642" t="s">
        <v>74</v>
      </c>
      <c r="U642" t="s">
        <v>11772</v>
      </c>
      <c r="V642" t="s">
        <v>74</v>
      </c>
      <c r="W642" t="s">
        <v>11773</v>
      </c>
      <c r="X642" t="s">
        <v>11774</v>
      </c>
      <c r="Y642" t="s">
        <v>11775</v>
      </c>
      <c r="Z642" t="s">
        <v>11776</v>
      </c>
      <c r="AA642" t="s">
        <v>11777</v>
      </c>
      <c r="AB642" t="s">
        <v>74</v>
      </c>
      <c r="AC642" t="s">
        <v>74</v>
      </c>
      <c r="AD642" t="s">
        <v>74</v>
      </c>
      <c r="AE642" t="s">
        <v>74</v>
      </c>
      <c r="AF642" t="s">
        <v>74</v>
      </c>
      <c r="AG642">
        <v>18</v>
      </c>
      <c r="AH642">
        <v>2</v>
      </c>
      <c r="AI642">
        <v>2</v>
      </c>
      <c r="AJ642">
        <v>0</v>
      </c>
      <c r="AK642">
        <v>10</v>
      </c>
      <c r="AL642" t="s">
        <v>4825</v>
      </c>
      <c r="AM642" t="s">
        <v>4826</v>
      </c>
      <c r="AN642" t="s">
        <v>8275</v>
      </c>
      <c r="AO642" t="s">
        <v>11747</v>
      </c>
      <c r="AP642" t="s">
        <v>74</v>
      </c>
      <c r="AQ642" t="s">
        <v>74</v>
      </c>
      <c r="AR642" t="s">
        <v>11748</v>
      </c>
      <c r="AS642" t="s">
        <v>11749</v>
      </c>
      <c r="AT642" t="s">
        <v>9557</v>
      </c>
      <c r="AU642">
        <v>2010</v>
      </c>
      <c r="AV642">
        <v>5</v>
      </c>
      <c r="AW642">
        <v>1</v>
      </c>
      <c r="AX642" t="s">
        <v>74</v>
      </c>
      <c r="AY642" t="s">
        <v>74</v>
      </c>
      <c r="AZ642" t="s">
        <v>74</v>
      </c>
      <c r="BA642" t="s">
        <v>74</v>
      </c>
      <c r="BB642" t="s">
        <v>74</v>
      </c>
      <c r="BC642" t="s">
        <v>74</v>
      </c>
      <c r="BD642">
        <v>11001</v>
      </c>
      <c r="BE642" t="s">
        <v>11778</v>
      </c>
      <c r="BF642" t="str">
        <f>HYPERLINK("http://dx.doi.org/10.1088/1748-9326/5/1/011001","http://dx.doi.org/10.1088/1748-9326/5/1/011001")</f>
        <v>http://dx.doi.org/10.1088/1748-9326/5/1/011001</v>
      </c>
      <c r="BG642" t="s">
        <v>74</v>
      </c>
      <c r="BH642" t="s">
        <v>74</v>
      </c>
      <c r="BI642">
        <v>2</v>
      </c>
      <c r="BJ642" t="s">
        <v>973</v>
      </c>
      <c r="BK642" t="s">
        <v>102</v>
      </c>
      <c r="BL642" t="s">
        <v>974</v>
      </c>
      <c r="BM642" t="s">
        <v>11751</v>
      </c>
      <c r="BN642" t="s">
        <v>74</v>
      </c>
      <c r="BO642" t="s">
        <v>1663</v>
      </c>
      <c r="BP642" t="s">
        <v>74</v>
      </c>
      <c r="BQ642" t="s">
        <v>74</v>
      </c>
      <c r="BR642" t="s">
        <v>105</v>
      </c>
      <c r="BS642" t="s">
        <v>11779</v>
      </c>
      <c r="BT642" t="str">
        <f>HYPERLINK("https%3A%2F%2Fwww.webofscience.com%2Fwos%2Fwoscc%2Ffull-record%2FWOS:000276097900001","View Full Record in Web of Science")</f>
        <v>View Full Record in Web of Science</v>
      </c>
    </row>
    <row r="643" spans="1:72" x14ac:dyDescent="0.15">
      <c r="A643" t="s">
        <v>72</v>
      </c>
      <c r="B643" t="s">
        <v>11780</v>
      </c>
      <c r="C643" t="s">
        <v>74</v>
      </c>
      <c r="D643" t="s">
        <v>74</v>
      </c>
      <c r="E643" t="s">
        <v>74</v>
      </c>
      <c r="F643" t="s">
        <v>11781</v>
      </c>
      <c r="G643" t="s">
        <v>74</v>
      </c>
      <c r="H643" t="s">
        <v>74</v>
      </c>
      <c r="I643" t="s">
        <v>11782</v>
      </c>
      <c r="J643" t="s">
        <v>11783</v>
      </c>
      <c r="K643" t="s">
        <v>74</v>
      </c>
      <c r="L643" t="s">
        <v>74</v>
      </c>
      <c r="M643" t="s">
        <v>78</v>
      </c>
      <c r="N643" t="s">
        <v>600</v>
      </c>
      <c r="O643" t="s">
        <v>74</v>
      </c>
      <c r="P643" t="s">
        <v>74</v>
      </c>
      <c r="Q643" t="s">
        <v>74</v>
      </c>
      <c r="R643" t="s">
        <v>74</v>
      </c>
      <c r="S643" t="s">
        <v>74</v>
      </c>
      <c r="T643" t="s">
        <v>11784</v>
      </c>
      <c r="U643" t="s">
        <v>11785</v>
      </c>
      <c r="V643" t="s">
        <v>11786</v>
      </c>
      <c r="W643" t="s">
        <v>11787</v>
      </c>
      <c r="X643" t="s">
        <v>11788</v>
      </c>
      <c r="Y643" t="s">
        <v>11789</v>
      </c>
      <c r="Z643" t="s">
        <v>11790</v>
      </c>
      <c r="AA643" t="s">
        <v>11791</v>
      </c>
      <c r="AB643" t="s">
        <v>11792</v>
      </c>
      <c r="AC643" t="s">
        <v>11793</v>
      </c>
      <c r="AD643" t="s">
        <v>11794</v>
      </c>
      <c r="AE643" t="s">
        <v>11795</v>
      </c>
      <c r="AF643" t="s">
        <v>74</v>
      </c>
      <c r="AG643">
        <v>329</v>
      </c>
      <c r="AH643">
        <v>11</v>
      </c>
      <c r="AI643">
        <v>13</v>
      </c>
      <c r="AJ643">
        <v>3</v>
      </c>
      <c r="AK643">
        <v>59</v>
      </c>
      <c r="AL643" t="s">
        <v>6504</v>
      </c>
      <c r="AM643" t="s">
        <v>884</v>
      </c>
      <c r="AN643" t="s">
        <v>885</v>
      </c>
      <c r="AO643" t="s">
        <v>11796</v>
      </c>
      <c r="AP643" t="s">
        <v>11797</v>
      </c>
      <c r="AQ643" t="s">
        <v>74</v>
      </c>
      <c r="AR643" t="s">
        <v>11798</v>
      </c>
      <c r="AS643" t="s">
        <v>11799</v>
      </c>
      <c r="AT643" t="s">
        <v>74</v>
      </c>
      <c r="AU643">
        <v>2010</v>
      </c>
      <c r="AV643">
        <v>18</v>
      </c>
      <c r="AW643" t="s">
        <v>74</v>
      </c>
      <c r="AX643" t="s">
        <v>74</v>
      </c>
      <c r="AY643" t="s">
        <v>74</v>
      </c>
      <c r="AZ643" t="s">
        <v>74</v>
      </c>
      <c r="BA643" t="s">
        <v>74</v>
      </c>
      <c r="BB643">
        <v>87</v>
      </c>
      <c r="BC643">
        <v>114</v>
      </c>
      <c r="BD643" t="s">
        <v>74</v>
      </c>
      <c r="BE643" t="s">
        <v>11800</v>
      </c>
      <c r="BF643" t="str">
        <f>HYPERLINK("http://dx.doi.org/10.1139/A10-003","http://dx.doi.org/10.1139/A10-003")</f>
        <v>http://dx.doi.org/10.1139/A10-003</v>
      </c>
      <c r="BG643" t="s">
        <v>74</v>
      </c>
      <c r="BH643" t="s">
        <v>74</v>
      </c>
      <c r="BI643">
        <v>28</v>
      </c>
      <c r="BJ643" t="s">
        <v>4031</v>
      </c>
      <c r="BK643" t="s">
        <v>102</v>
      </c>
      <c r="BL643" t="s">
        <v>1348</v>
      </c>
      <c r="BM643" t="s">
        <v>11801</v>
      </c>
      <c r="BN643" t="s">
        <v>74</v>
      </c>
      <c r="BO643" t="s">
        <v>74</v>
      </c>
      <c r="BP643" t="s">
        <v>74</v>
      </c>
      <c r="BQ643" t="s">
        <v>74</v>
      </c>
      <c r="BR643" t="s">
        <v>105</v>
      </c>
      <c r="BS643" t="s">
        <v>11802</v>
      </c>
      <c r="BT643" t="str">
        <f>HYPERLINK("https%3A%2F%2Fwww.webofscience.com%2Fwos%2Fwoscc%2Ffull-record%2FWOS:000285680400005","View Full Record in Web of Science")</f>
        <v>View Full Record in Web of Science</v>
      </c>
    </row>
    <row r="644" spans="1:72" x14ac:dyDescent="0.15">
      <c r="A644" t="s">
        <v>8257</v>
      </c>
      <c r="B644" t="s">
        <v>11803</v>
      </c>
      <c r="C644" t="s">
        <v>74</v>
      </c>
      <c r="D644" t="s">
        <v>11804</v>
      </c>
      <c r="E644" t="s">
        <v>74</v>
      </c>
      <c r="F644" t="s">
        <v>11805</v>
      </c>
      <c r="G644" t="s">
        <v>74</v>
      </c>
      <c r="H644" t="s">
        <v>74</v>
      </c>
      <c r="I644" t="s">
        <v>11806</v>
      </c>
      <c r="J644" t="s">
        <v>11807</v>
      </c>
      <c r="K644" t="s">
        <v>11808</v>
      </c>
      <c r="L644" t="s">
        <v>74</v>
      </c>
      <c r="M644" t="s">
        <v>78</v>
      </c>
      <c r="N644" t="s">
        <v>8264</v>
      </c>
      <c r="O644" t="s">
        <v>11809</v>
      </c>
      <c r="P644" t="s">
        <v>11810</v>
      </c>
      <c r="Q644" t="s">
        <v>11811</v>
      </c>
      <c r="R644" t="s">
        <v>74</v>
      </c>
      <c r="S644" t="s">
        <v>11812</v>
      </c>
      <c r="T644" t="s">
        <v>11813</v>
      </c>
      <c r="U644" t="s">
        <v>11814</v>
      </c>
      <c r="V644" t="s">
        <v>11815</v>
      </c>
      <c r="W644" t="s">
        <v>11816</v>
      </c>
      <c r="X644" t="s">
        <v>11817</v>
      </c>
      <c r="Y644" t="s">
        <v>11818</v>
      </c>
      <c r="Z644" t="s">
        <v>74</v>
      </c>
      <c r="AA644" t="s">
        <v>74</v>
      </c>
      <c r="AB644" t="s">
        <v>74</v>
      </c>
      <c r="AC644" t="s">
        <v>11819</v>
      </c>
      <c r="AD644" t="s">
        <v>11820</v>
      </c>
      <c r="AE644" t="s">
        <v>11821</v>
      </c>
      <c r="AF644" t="s">
        <v>74</v>
      </c>
      <c r="AG644">
        <v>14</v>
      </c>
      <c r="AH644">
        <v>0</v>
      </c>
      <c r="AI644">
        <v>0</v>
      </c>
      <c r="AJ644">
        <v>0</v>
      </c>
      <c r="AK644">
        <v>14</v>
      </c>
      <c r="AL644" t="s">
        <v>11822</v>
      </c>
      <c r="AM644" t="s">
        <v>407</v>
      </c>
      <c r="AN644" t="s">
        <v>11823</v>
      </c>
      <c r="AO644" t="s">
        <v>11824</v>
      </c>
      <c r="AP644" t="s">
        <v>74</v>
      </c>
      <c r="AQ644" t="s">
        <v>11825</v>
      </c>
      <c r="AR644" t="s">
        <v>11826</v>
      </c>
      <c r="AS644" t="s">
        <v>74</v>
      </c>
      <c r="AT644" t="s">
        <v>74</v>
      </c>
      <c r="AU644">
        <v>2010</v>
      </c>
      <c r="AV644">
        <v>1</v>
      </c>
      <c r="AW644" t="s">
        <v>74</v>
      </c>
      <c r="AX644" t="s">
        <v>74</v>
      </c>
      <c r="AY644" t="s">
        <v>74</v>
      </c>
      <c r="AZ644" t="s">
        <v>74</v>
      </c>
      <c r="BA644" t="s">
        <v>74</v>
      </c>
      <c r="BB644">
        <v>53</v>
      </c>
      <c r="BC644" t="s">
        <v>1802</v>
      </c>
      <c r="BD644" t="s">
        <v>74</v>
      </c>
      <c r="BE644" t="s">
        <v>74</v>
      </c>
      <c r="BF644" t="s">
        <v>74</v>
      </c>
      <c r="BG644" t="s">
        <v>74</v>
      </c>
      <c r="BH644" t="s">
        <v>74</v>
      </c>
      <c r="BI644">
        <v>2</v>
      </c>
      <c r="BJ644" t="s">
        <v>1389</v>
      </c>
      <c r="BK644" t="s">
        <v>8281</v>
      </c>
      <c r="BL644" t="s">
        <v>1390</v>
      </c>
      <c r="BM644" t="s">
        <v>11827</v>
      </c>
      <c r="BN644" t="s">
        <v>74</v>
      </c>
      <c r="BO644" t="s">
        <v>74</v>
      </c>
      <c r="BP644" t="s">
        <v>74</v>
      </c>
      <c r="BQ644" t="s">
        <v>74</v>
      </c>
      <c r="BR644" t="s">
        <v>105</v>
      </c>
      <c r="BS644" t="s">
        <v>11828</v>
      </c>
      <c r="BT644" t="str">
        <f>HYPERLINK("https%3A%2F%2Fwww.webofscience.com%2Fwos%2Fwoscc%2Ffull-record%2FWOS:000292709700007","View Full Record in Web of Science")</f>
        <v>View Full Record in Web of Science</v>
      </c>
    </row>
    <row r="645" spans="1:72" x14ac:dyDescent="0.15">
      <c r="A645" t="s">
        <v>72</v>
      </c>
      <c r="B645" t="s">
        <v>11829</v>
      </c>
      <c r="C645" t="s">
        <v>74</v>
      </c>
      <c r="D645" t="s">
        <v>74</v>
      </c>
      <c r="E645" t="s">
        <v>74</v>
      </c>
      <c r="F645" t="s">
        <v>11830</v>
      </c>
      <c r="G645" t="s">
        <v>74</v>
      </c>
      <c r="H645" t="s">
        <v>74</v>
      </c>
      <c r="I645" t="s">
        <v>11831</v>
      </c>
      <c r="J645" t="s">
        <v>11832</v>
      </c>
      <c r="K645" t="s">
        <v>74</v>
      </c>
      <c r="L645" t="s">
        <v>74</v>
      </c>
      <c r="M645" t="s">
        <v>78</v>
      </c>
      <c r="N645" t="s">
        <v>79</v>
      </c>
      <c r="O645" t="s">
        <v>74</v>
      </c>
      <c r="P645" t="s">
        <v>74</v>
      </c>
      <c r="Q645" t="s">
        <v>74</v>
      </c>
      <c r="R645" t="s">
        <v>74</v>
      </c>
      <c r="S645" t="s">
        <v>74</v>
      </c>
      <c r="T645" t="s">
        <v>11833</v>
      </c>
      <c r="U645" t="s">
        <v>11834</v>
      </c>
      <c r="V645" t="s">
        <v>11835</v>
      </c>
      <c r="W645" t="s">
        <v>11836</v>
      </c>
      <c r="X645" t="s">
        <v>10720</v>
      </c>
      <c r="Y645" t="s">
        <v>11837</v>
      </c>
      <c r="Z645" t="s">
        <v>10722</v>
      </c>
      <c r="AA645" t="s">
        <v>11838</v>
      </c>
      <c r="AB645" t="s">
        <v>11839</v>
      </c>
      <c r="AC645" t="s">
        <v>74</v>
      </c>
      <c r="AD645" t="s">
        <v>74</v>
      </c>
      <c r="AE645" t="s">
        <v>74</v>
      </c>
      <c r="AF645" t="s">
        <v>74</v>
      </c>
      <c r="AG645">
        <v>44</v>
      </c>
      <c r="AH645">
        <v>29</v>
      </c>
      <c r="AI645">
        <v>31</v>
      </c>
      <c r="AJ645">
        <v>1</v>
      </c>
      <c r="AK645">
        <v>23</v>
      </c>
      <c r="AL645" t="s">
        <v>524</v>
      </c>
      <c r="AM645" t="s">
        <v>525</v>
      </c>
      <c r="AN645" t="s">
        <v>526</v>
      </c>
      <c r="AO645" t="s">
        <v>11840</v>
      </c>
      <c r="AP645" t="s">
        <v>11841</v>
      </c>
      <c r="AQ645" t="s">
        <v>74</v>
      </c>
      <c r="AR645" t="s">
        <v>11842</v>
      </c>
      <c r="AS645" t="s">
        <v>11843</v>
      </c>
      <c r="AT645" t="s">
        <v>8958</v>
      </c>
      <c r="AU645">
        <v>2010</v>
      </c>
      <c r="AV645">
        <v>17</v>
      </c>
      <c r="AW645">
        <v>1</v>
      </c>
      <c r="AX645" t="s">
        <v>74</v>
      </c>
      <c r="AY645" t="s">
        <v>74</v>
      </c>
      <c r="AZ645" t="s">
        <v>74</v>
      </c>
      <c r="BA645" t="s">
        <v>74</v>
      </c>
      <c r="BB645">
        <v>220</v>
      </c>
      <c r="BC645">
        <v>228</v>
      </c>
      <c r="BD645" t="s">
        <v>74</v>
      </c>
      <c r="BE645" t="s">
        <v>11844</v>
      </c>
      <c r="BF645" t="str">
        <f>HYPERLINK("http://dx.doi.org/10.1007/s11356-009-0243-0","http://dx.doi.org/10.1007/s11356-009-0243-0")</f>
        <v>http://dx.doi.org/10.1007/s11356-009-0243-0</v>
      </c>
      <c r="BG645" t="s">
        <v>74</v>
      </c>
      <c r="BH645" t="s">
        <v>74</v>
      </c>
      <c r="BI645">
        <v>9</v>
      </c>
      <c r="BJ645" t="s">
        <v>4031</v>
      </c>
      <c r="BK645" t="s">
        <v>102</v>
      </c>
      <c r="BL645" t="s">
        <v>1348</v>
      </c>
      <c r="BM645" t="s">
        <v>11845</v>
      </c>
      <c r="BN645">
        <v>19820975</v>
      </c>
      <c r="BO645" t="s">
        <v>74</v>
      </c>
      <c r="BP645" t="s">
        <v>74</v>
      </c>
      <c r="BQ645" t="s">
        <v>74</v>
      </c>
      <c r="BR645" t="s">
        <v>105</v>
      </c>
      <c r="BS645" t="s">
        <v>11846</v>
      </c>
      <c r="BT645" t="str">
        <f>HYPERLINK("https%3A%2F%2Fwww.webofscience.com%2Fwos%2Fwoscc%2Ffull-record%2FWOS:000273311100023","View Full Record in Web of Science")</f>
        <v>View Full Record in Web of Science</v>
      </c>
    </row>
    <row r="646" spans="1:72" x14ac:dyDescent="0.15">
      <c r="A646" t="s">
        <v>72</v>
      </c>
      <c r="B646" t="s">
        <v>11847</v>
      </c>
      <c r="C646" t="s">
        <v>74</v>
      </c>
      <c r="D646" t="s">
        <v>74</v>
      </c>
      <c r="E646" t="s">
        <v>74</v>
      </c>
      <c r="F646" t="s">
        <v>11848</v>
      </c>
      <c r="G646" t="s">
        <v>74</v>
      </c>
      <c r="H646" t="s">
        <v>74</v>
      </c>
      <c r="I646" t="s">
        <v>11849</v>
      </c>
      <c r="J646" t="s">
        <v>1372</v>
      </c>
      <c r="K646" t="s">
        <v>74</v>
      </c>
      <c r="L646" t="s">
        <v>74</v>
      </c>
      <c r="M646" t="s">
        <v>78</v>
      </c>
      <c r="N646" t="s">
        <v>79</v>
      </c>
      <c r="O646" t="s">
        <v>74</v>
      </c>
      <c r="P646" t="s">
        <v>74</v>
      </c>
      <c r="Q646" t="s">
        <v>74</v>
      </c>
      <c r="R646" t="s">
        <v>74</v>
      </c>
      <c r="S646" t="s">
        <v>74</v>
      </c>
      <c r="T646" t="s">
        <v>74</v>
      </c>
      <c r="U646" t="s">
        <v>11850</v>
      </c>
      <c r="V646" t="s">
        <v>11851</v>
      </c>
      <c r="W646" t="s">
        <v>11852</v>
      </c>
      <c r="X646" t="s">
        <v>11853</v>
      </c>
      <c r="Y646" t="s">
        <v>11854</v>
      </c>
      <c r="Z646" t="s">
        <v>11855</v>
      </c>
      <c r="AA646" t="s">
        <v>11856</v>
      </c>
      <c r="AB646" t="s">
        <v>11857</v>
      </c>
      <c r="AC646" t="s">
        <v>11858</v>
      </c>
      <c r="AD646" t="s">
        <v>8953</v>
      </c>
      <c r="AE646" t="s">
        <v>11859</v>
      </c>
      <c r="AF646" t="s">
        <v>74</v>
      </c>
      <c r="AG646">
        <v>46</v>
      </c>
      <c r="AH646">
        <v>75</v>
      </c>
      <c r="AI646">
        <v>82</v>
      </c>
      <c r="AJ646">
        <v>1</v>
      </c>
      <c r="AK646">
        <v>50</v>
      </c>
      <c r="AL646" t="s">
        <v>121</v>
      </c>
      <c r="AM646" t="s">
        <v>92</v>
      </c>
      <c r="AN646" t="s">
        <v>122</v>
      </c>
      <c r="AO646" t="s">
        <v>1384</v>
      </c>
      <c r="AP646" t="s">
        <v>74</v>
      </c>
      <c r="AQ646" t="s">
        <v>74</v>
      </c>
      <c r="AR646" t="s">
        <v>1386</v>
      </c>
      <c r="AS646" t="s">
        <v>1387</v>
      </c>
      <c r="AT646" t="s">
        <v>11860</v>
      </c>
      <c r="AU646">
        <v>2010</v>
      </c>
      <c r="AV646">
        <v>44</v>
      </c>
      <c r="AW646">
        <v>1</v>
      </c>
      <c r="AX646" t="s">
        <v>74</v>
      </c>
      <c r="AY646" t="s">
        <v>74</v>
      </c>
      <c r="AZ646" t="s">
        <v>74</v>
      </c>
      <c r="BA646" t="s">
        <v>74</v>
      </c>
      <c r="BB646">
        <v>191</v>
      </c>
      <c r="BC646">
        <v>196</v>
      </c>
      <c r="BD646" t="s">
        <v>74</v>
      </c>
      <c r="BE646" t="s">
        <v>11861</v>
      </c>
      <c r="BF646" t="str">
        <f>HYPERLINK("http://dx.doi.org/10.1021/es901766r","http://dx.doi.org/10.1021/es901766r")</f>
        <v>http://dx.doi.org/10.1021/es901766r</v>
      </c>
      <c r="BG646" t="s">
        <v>74</v>
      </c>
      <c r="BH646" t="s">
        <v>74</v>
      </c>
      <c r="BI646">
        <v>6</v>
      </c>
      <c r="BJ646" t="s">
        <v>1389</v>
      </c>
      <c r="BK646" t="s">
        <v>102</v>
      </c>
      <c r="BL646" t="s">
        <v>1390</v>
      </c>
      <c r="BM646" t="s">
        <v>11862</v>
      </c>
      <c r="BN646">
        <v>20039749</v>
      </c>
      <c r="BO646" t="s">
        <v>74</v>
      </c>
      <c r="BP646" t="s">
        <v>74</v>
      </c>
      <c r="BQ646" t="s">
        <v>74</v>
      </c>
      <c r="BR646" t="s">
        <v>105</v>
      </c>
      <c r="BS646" t="s">
        <v>11863</v>
      </c>
      <c r="BT646" t="str">
        <f>HYPERLINK("https%3A%2F%2Fwww.webofscience.com%2Fwos%2Fwoscc%2Ffull-record%2FWOS:000273267000034","View Full Record in Web of Science")</f>
        <v>View Full Record in Web of Science</v>
      </c>
    </row>
    <row r="647" spans="1:72" x14ac:dyDescent="0.15">
      <c r="A647" t="s">
        <v>72</v>
      </c>
      <c r="B647" t="s">
        <v>11864</v>
      </c>
      <c r="C647" t="s">
        <v>74</v>
      </c>
      <c r="D647" t="s">
        <v>74</v>
      </c>
      <c r="E647" t="s">
        <v>74</v>
      </c>
      <c r="F647" t="s">
        <v>11865</v>
      </c>
      <c r="G647" t="s">
        <v>74</v>
      </c>
      <c r="H647" t="s">
        <v>74</v>
      </c>
      <c r="I647" t="s">
        <v>11866</v>
      </c>
      <c r="J647" t="s">
        <v>11867</v>
      </c>
      <c r="K647" t="s">
        <v>74</v>
      </c>
      <c r="L647" t="s">
        <v>74</v>
      </c>
      <c r="M647" t="s">
        <v>78</v>
      </c>
      <c r="N647" t="s">
        <v>79</v>
      </c>
      <c r="O647" t="s">
        <v>74</v>
      </c>
      <c r="P647" t="s">
        <v>74</v>
      </c>
      <c r="Q647" t="s">
        <v>74</v>
      </c>
      <c r="R647" t="s">
        <v>74</v>
      </c>
      <c r="S647" t="s">
        <v>74</v>
      </c>
      <c r="T647" t="s">
        <v>11868</v>
      </c>
      <c r="U647" t="s">
        <v>11869</v>
      </c>
      <c r="V647" t="s">
        <v>11870</v>
      </c>
      <c r="W647" t="s">
        <v>11871</v>
      </c>
      <c r="X647" t="s">
        <v>11872</v>
      </c>
      <c r="Y647" t="s">
        <v>2386</v>
      </c>
      <c r="Z647" t="s">
        <v>2387</v>
      </c>
      <c r="AA647" t="s">
        <v>74</v>
      </c>
      <c r="AB647" t="s">
        <v>74</v>
      </c>
      <c r="AC647" t="s">
        <v>11873</v>
      </c>
      <c r="AD647" t="s">
        <v>11874</v>
      </c>
      <c r="AE647" t="s">
        <v>11875</v>
      </c>
      <c r="AF647" t="s">
        <v>74</v>
      </c>
      <c r="AG647">
        <v>73</v>
      </c>
      <c r="AH647">
        <v>101</v>
      </c>
      <c r="AI647">
        <v>112</v>
      </c>
      <c r="AJ647">
        <v>2</v>
      </c>
      <c r="AK647">
        <v>92</v>
      </c>
      <c r="AL647" t="s">
        <v>546</v>
      </c>
      <c r="AM647" t="s">
        <v>547</v>
      </c>
      <c r="AN647" t="s">
        <v>548</v>
      </c>
      <c r="AO647" t="s">
        <v>11876</v>
      </c>
      <c r="AP647" t="s">
        <v>11877</v>
      </c>
      <c r="AQ647" t="s">
        <v>74</v>
      </c>
      <c r="AR647" t="s">
        <v>11878</v>
      </c>
      <c r="AS647" t="s">
        <v>11879</v>
      </c>
      <c r="AT647" t="s">
        <v>74</v>
      </c>
      <c r="AU647">
        <v>2010</v>
      </c>
      <c r="AV647">
        <v>31</v>
      </c>
      <c r="AW647" t="s">
        <v>11880</v>
      </c>
      <c r="AX647" t="s">
        <v>74</v>
      </c>
      <c r="AY647" t="s">
        <v>74</v>
      </c>
      <c r="AZ647" t="s">
        <v>74</v>
      </c>
      <c r="BA647" t="s">
        <v>74</v>
      </c>
      <c r="BB647">
        <v>835</v>
      </c>
      <c r="BC647">
        <v>844</v>
      </c>
      <c r="BD647" t="s">
        <v>11881</v>
      </c>
      <c r="BE647" t="s">
        <v>11882</v>
      </c>
      <c r="BF647" t="str">
        <f>HYPERLINK("http://dx.doi.org/10.1080/09593331003663328","http://dx.doi.org/10.1080/09593331003663328")</f>
        <v>http://dx.doi.org/10.1080/09593331003663328</v>
      </c>
      <c r="BG647" t="s">
        <v>74</v>
      </c>
      <c r="BH647" t="s">
        <v>74</v>
      </c>
      <c r="BI647">
        <v>10</v>
      </c>
      <c r="BJ647" t="s">
        <v>4031</v>
      </c>
      <c r="BK647" t="s">
        <v>102</v>
      </c>
      <c r="BL647" t="s">
        <v>1348</v>
      </c>
      <c r="BM647" t="s">
        <v>11883</v>
      </c>
      <c r="BN647">
        <v>20662375</v>
      </c>
      <c r="BO647" t="s">
        <v>74</v>
      </c>
      <c r="BP647" t="s">
        <v>74</v>
      </c>
      <c r="BQ647" t="s">
        <v>74</v>
      </c>
      <c r="BR647" t="s">
        <v>105</v>
      </c>
      <c r="BS647" t="s">
        <v>11884</v>
      </c>
      <c r="BT647" t="str">
        <f>HYPERLINK("https%3A%2F%2Fwww.webofscience.com%2Fwos%2Fwoscc%2Ffull-record%2FWOS:000278781700003","View Full Record in Web of Science")</f>
        <v>View Full Record in Web of Science</v>
      </c>
    </row>
    <row r="648" spans="1:72" x14ac:dyDescent="0.15">
      <c r="A648" t="s">
        <v>72</v>
      </c>
      <c r="B648" t="s">
        <v>11885</v>
      </c>
      <c r="C648" t="s">
        <v>74</v>
      </c>
      <c r="D648" t="s">
        <v>74</v>
      </c>
      <c r="E648" t="s">
        <v>74</v>
      </c>
      <c r="F648" t="s">
        <v>11886</v>
      </c>
      <c r="G648" t="s">
        <v>74</v>
      </c>
      <c r="H648" t="s">
        <v>74</v>
      </c>
      <c r="I648" t="s">
        <v>11887</v>
      </c>
      <c r="J648" t="s">
        <v>11867</v>
      </c>
      <c r="K648" t="s">
        <v>74</v>
      </c>
      <c r="L648" t="s">
        <v>74</v>
      </c>
      <c r="M648" t="s">
        <v>78</v>
      </c>
      <c r="N648" t="s">
        <v>79</v>
      </c>
      <c r="O648" t="s">
        <v>74</v>
      </c>
      <c r="P648" t="s">
        <v>74</v>
      </c>
      <c r="Q648" t="s">
        <v>74</v>
      </c>
      <c r="R648" t="s">
        <v>74</v>
      </c>
      <c r="S648" t="s">
        <v>74</v>
      </c>
      <c r="T648" t="s">
        <v>11888</v>
      </c>
      <c r="U648" t="s">
        <v>11889</v>
      </c>
      <c r="V648" t="s">
        <v>11890</v>
      </c>
      <c r="W648" t="s">
        <v>11891</v>
      </c>
      <c r="X648" t="s">
        <v>11892</v>
      </c>
      <c r="Y648" t="s">
        <v>11893</v>
      </c>
      <c r="Z648" t="s">
        <v>11894</v>
      </c>
      <c r="AA648" t="s">
        <v>74</v>
      </c>
      <c r="AB648" t="s">
        <v>74</v>
      </c>
      <c r="AC648" t="s">
        <v>11895</v>
      </c>
      <c r="AD648" t="s">
        <v>11896</v>
      </c>
      <c r="AE648" t="s">
        <v>11897</v>
      </c>
      <c r="AF648" t="s">
        <v>74</v>
      </c>
      <c r="AG648">
        <v>107</v>
      </c>
      <c r="AH648">
        <v>21</v>
      </c>
      <c r="AI648">
        <v>27</v>
      </c>
      <c r="AJ648">
        <v>1</v>
      </c>
      <c r="AK648">
        <v>54</v>
      </c>
      <c r="AL648" t="s">
        <v>546</v>
      </c>
      <c r="AM648" t="s">
        <v>547</v>
      </c>
      <c r="AN648" t="s">
        <v>548</v>
      </c>
      <c r="AO648" t="s">
        <v>11876</v>
      </c>
      <c r="AP648" t="s">
        <v>11877</v>
      </c>
      <c r="AQ648" t="s">
        <v>74</v>
      </c>
      <c r="AR648" t="s">
        <v>11878</v>
      </c>
      <c r="AS648" t="s">
        <v>11879</v>
      </c>
      <c r="AT648" t="s">
        <v>74</v>
      </c>
      <c r="AU648">
        <v>2010</v>
      </c>
      <c r="AV648">
        <v>31</v>
      </c>
      <c r="AW648" t="s">
        <v>11880</v>
      </c>
      <c r="AX648" t="s">
        <v>74</v>
      </c>
      <c r="AY648" t="s">
        <v>74</v>
      </c>
      <c r="AZ648" t="s">
        <v>74</v>
      </c>
      <c r="BA648" t="s">
        <v>74</v>
      </c>
      <c r="BB648">
        <v>943</v>
      </c>
      <c r="BC648">
        <v>956</v>
      </c>
      <c r="BD648" t="s">
        <v>11898</v>
      </c>
      <c r="BE648" t="s">
        <v>11899</v>
      </c>
      <c r="BF648" t="str">
        <f>HYPERLINK("http://dx.doi.org/10.1080/09593331003782417","http://dx.doi.org/10.1080/09593331003782417")</f>
        <v>http://dx.doi.org/10.1080/09593331003782417</v>
      </c>
      <c r="BG648" t="s">
        <v>74</v>
      </c>
      <c r="BH648" t="s">
        <v>74</v>
      </c>
      <c r="BI648">
        <v>14</v>
      </c>
      <c r="BJ648" t="s">
        <v>4031</v>
      </c>
      <c r="BK648" t="s">
        <v>102</v>
      </c>
      <c r="BL648" t="s">
        <v>1348</v>
      </c>
      <c r="BM648" t="s">
        <v>11883</v>
      </c>
      <c r="BN648">
        <v>20662383</v>
      </c>
      <c r="BO648" t="s">
        <v>74</v>
      </c>
      <c r="BP648" t="s">
        <v>74</v>
      </c>
      <c r="BQ648" t="s">
        <v>74</v>
      </c>
      <c r="BR648" t="s">
        <v>105</v>
      </c>
      <c r="BS648" t="s">
        <v>11900</v>
      </c>
      <c r="BT648" t="str">
        <f>HYPERLINK("https%3A%2F%2Fwww.webofscience.com%2Fwos%2Fwoscc%2Ffull-record%2FWOS:000278781700011","View Full Record in Web of Science")</f>
        <v>View Full Record in Web of Science</v>
      </c>
    </row>
    <row r="649" spans="1:72" x14ac:dyDescent="0.15">
      <c r="A649" t="s">
        <v>72</v>
      </c>
      <c r="B649" t="s">
        <v>11901</v>
      </c>
      <c r="C649" t="s">
        <v>74</v>
      </c>
      <c r="D649" t="s">
        <v>74</v>
      </c>
      <c r="E649" t="s">
        <v>74</v>
      </c>
      <c r="F649" t="s">
        <v>11902</v>
      </c>
      <c r="G649" t="s">
        <v>74</v>
      </c>
      <c r="H649" t="s">
        <v>74</v>
      </c>
      <c r="I649" t="s">
        <v>11903</v>
      </c>
      <c r="J649" t="s">
        <v>11867</v>
      </c>
      <c r="K649" t="s">
        <v>74</v>
      </c>
      <c r="L649" t="s">
        <v>74</v>
      </c>
      <c r="M649" t="s">
        <v>78</v>
      </c>
      <c r="N649" t="s">
        <v>79</v>
      </c>
      <c r="O649" t="s">
        <v>74</v>
      </c>
      <c r="P649" t="s">
        <v>74</v>
      </c>
      <c r="Q649" t="s">
        <v>74</v>
      </c>
      <c r="R649" t="s">
        <v>74</v>
      </c>
      <c r="S649" t="s">
        <v>74</v>
      </c>
      <c r="T649" t="s">
        <v>11904</v>
      </c>
      <c r="U649" t="s">
        <v>11905</v>
      </c>
      <c r="V649" t="s">
        <v>11906</v>
      </c>
      <c r="W649" t="s">
        <v>11907</v>
      </c>
      <c r="X649" t="s">
        <v>11908</v>
      </c>
      <c r="Y649" t="s">
        <v>11909</v>
      </c>
      <c r="Z649" t="s">
        <v>11910</v>
      </c>
      <c r="AA649" t="s">
        <v>11911</v>
      </c>
      <c r="AB649" t="s">
        <v>11912</v>
      </c>
      <c r="AC649" t="s">
        <v>11913</v>
      </c>
      <c r="AD649" t="s">
        <v>11914</v>
      </c>
      <c r="AE649" t="s">
        <v>11915</v>
      </c>
      <c r="AF649" t="s">
        <v>74</v>
      </c>
      <c r="AG649">
        <v>96</v>
      </c>
      <c r="AH649">
        <v>176</v>
      </c>
      <c r="AI649">
        <v>193</v>
      </c>
      <c r="AJ649">
        <v>2</v>
      </c>
      <c r="AK649">
        <v>141</v>
      </c>
      <c r="AL649" t="s">
        <v>546</v>
      </c>
      <c r="AM649" t="s">
        <v>547</v>
      </c>
      <c r="AN649" t="s">
        <v>548</v>
      </c>
      <c r="AO649" t="s">
        <v>11876</v>
      </c>
      <c r="AP649" t="s">
        <v>11877</v>
      </c>
      <c r="AQ649" t="s">
        <v>74</v>
      </c>
      <c r="AR649" t="s">
        <v>11878</v>
      </c>
      <c r="AS649" t="s">
        <v>11879</v>
      </c>
      <c r="AT649" t="s">
        <v>74</v>
      </c>
      <c r="AU649">
        <v>2010</v>
      </c>
      <c r="AV649">
        <v>31</v>
      </c>
      <c r="AW649">
        <v>10</v>
      </c>
      <c r="AX649" t="s">
        <v>74</v>
      </c>
      <c r="AY649" t="s">
        <v>74</v>
      </c>
      <c r="AZ649" t="s">
        <v>74</v>
      </c>
      <c r="BA649" t="s">
        <v>74</v>
      </c>
      <c r="BB649">
        <v>1145</v>
      </c>
      <c r="BC649">
        <v>1158</v>
      </c>
      <c r="BD649" t="s">
        <v>11916</v>
      </c>
      <c r="BE649" t="s">
        <v>11917</v>
      </c>
      <c r="BF649" t="str">
        <f>HYPERLINK("http://dx.doi.org/10.1080/09593330903552094","http://dx.doi.org/10.1080/09593330903552094")</f>
        <v>http://dx.doi.org/10.1080/09593330903552094</v>
      </c>
      <c r="BG649" t="s">
        <v>74</v>
      </c>
      <c r="BH649" t="s">
        <v>74</v>
      </c>
      <c r="BI649">
        <v>14</v>
      </c>
      <c r="BJ649" t="s">
        <v>4031</v>
      </c>
      <c r="BK649" t="s">
        <v>102</v>
      </c>
      <c r="BL649" t="s">
        <v>1348</v>
      </c>
      <c r="BM649" t="s">
        <v>11918</v>
      </c>
      <c r="BN649">
        <v>20718297</v>
      </c>
      <c r="BO649" t="s">
        <v>74</v>
      </c>
      <c r="BP649" t="s">
        <v>74</v>
      </c>
      <c r="BQ649" t="s">
        <v>74</v>
      </c>
      <c r="BR649" t="s">
        <v>105</v>
      </c>
      <c r="BS649" t="s">
        <v>11919</v>
      </c>
      <c r="BT649" t="str">
        <f>HYPERLINK("https%3A%2F%2Fwww.webofscience.com%2Fwos%2Fwoscc%2Ffull-record%2FWOS:000278856500010","View Full Record in Web of Science")</f>
        <v>View Full Record in Web of Science</v>
      </c>
    </row>
    <row r="650" spans="1:72" x14ac:dyDescent="0.15">
      <c r="A650" t="s">
        <v>8257</v>
      </c>
      <c r="B650" t="s">
        <v>11920</v>
      </c>
      <c r="C650" t="s">
        <v>74</v>
      </c>
      <c r="D650" t="s">
        <v>11921</v>
      </c>
      <c r="E650" t="s">
        <v>74</v>
      </c>
      <c r="F650" t="s">
        <v>11922</v>
      </c>
      <c r="G650" t="s">
        <v>74</v>
      </c>
      <c r="H650" t="s">
        <v>74</v>
      </c>
      <c r="I650" t="s">
        <v>11923</v>
      </c>
      <c r="J650" t="s">
        <v>11924</v>
      </c>
      <c r="K650" t="s">
        <v>11925</v>
      </c>
      <c r="L650" t="s">
        <v>74</v>
      </c>
      <c r="M650" t="s">
        <v>78</v>
      </c>
      <c r="N650" t="s">
        <v>8264</v>
      </c>
      <c r="O650" t="s">
        <v>11926</v>
      </c>
      <c r="P650" t="s">
        <v>11927</v>
      </c>
      <c r="Q650" t="s">
        <v>11928</v>
      </c>
      <c r="R650" t="s">
        <v>74</v>
      </c>
      <c r="S650" t="s">
        <v>74</v>
      </c>
      <c r="T650" t="s">
        <v>74</v>
      </c>
      <c r="U650" t="s">
        <v>11929</v>
      </c>
      <c r="V650" t="s">
        <v>11930</v>
      </c>
      <c r="W650" t="s">
        <v>11931</v>
      </c>
      <c r="X650" t="s">
        <v>2278</v>
      </c>
      <c r="Y650" t="s">
        <v>11932</v>
      </c>
      <c r="Z650" t="s">
        <v>74</v>
      </c>
      <c r="AA650" t="s">
        <v>11933</v>
      </c>
      <c r="AB650" t="s">
        <v>11934</v>
      </c>
      <c r="AC650" t="s">
        <v>74</v>
      </c>
      <c r="AD650" t="s">
        <v>74</v>
      </c>
      <c r="AE650" t="s">
        <v>74</v>
      </c>
      <c r="AF650" t="s">
        <v>74</v>
      </c>
      <c r="AG650">
        <v>45</v>
      </c>
      <c r="AH650">
        <v>2</v>
      </c>
      <c r="AI650">
        <v>4</v>
      </c>
      <c r="AJ650">
        <v>3</v>
      </c>
      <c r="AK650">
        <v>10</v>
      </c>
      <c r="AL650" t="s">
        <v>11935</v>
      </c>
      <c r="AM650" t="s">
        <v>11936</v>
      </c>
      <c r="AN650" t="s">
        <v>11937</v>
      </c>
      <c r="AO650" t="s">
        <v>11938</v>
      </c>
      <c r="AP650" t="s">
        <v>74</v>
      </c>
      <c r="AQ650" t="s">
        <v>11939</v>
      </c>
      <c r="AR650" t="s">
        <v>11940</v>
      </c>
      <c r="AS650" t="s">
        <v>74</v>
      </c>
      <c r="AT650" t="s">
        <v>74</v>
      </c>
      <c r="AU650">
        <v>2010</v>
      </c>
      <c r="AV650">
        <v>9</v>
      </c>
      <c r="AW650" t="s">
        <v>74</v>
      </c>
      <c r="AX650" t="s">
        <v>74</v>
      </c>
      <c r="AY650" t="s">
        <v>74</v>
      </c>
      <c r="AZ650" t="s">
        <v>74</v>
      </c>
      <c r="BA650" t="s">
        <v>74</v>
      </c>
      <c r="BB650">
        <v>73</v>
      </c>
      <c r="BC650">
        <v>82</v>
      </c>
      <c r="BD650" t="s">
        <v>74</v>
      </c>
      <c r="BE650" t="s">
        <v>11941</v>
      </c>
      <c r="BF650" t="str">
        <f>HYPERLINK("http://dx.doi.org/10.1051/epjconf/201009005","http://dx.doi.org/10.1051/epjconf/201009005")</f>
        <v>http://dx.doi.org/10.1051/epjconf/201009005</v>
      </c>
      <c r="BG650" t="s">
        <v>74</v>
      </c>
      <c r="BH650" t="s">
        <v>74</v>
      </c>
      <c r="BI650">
        <v>10</v>
      </c>
      <c r="BJ650" t="s">
        <v>11942</v>
      </c>
      <c r="BK650" t="s">
        <v>8281</v>
      </c>
      <c r="BL650" t="s">
        <v>4834</v>
      </c>
      <c r="BM650" t="s">
        <v>11943</v>
      </c>
      <c r="BN650" t="s">
        <v>74</v>
      </c>
      <c r="BO650" t="s">
        <v>11944</v>
      </c>
      <c r="BP650" t="s">
        <v>74</v>
      </c>
      <c r="BQ650" t="s">
        <v>74</v>
      </c>
      <c r="BR650" t="s">
        <v>105</v>
      </c>
      <c r="BS650" t="s">
        <v>11945</v>
      </c>
      <c r="BT650" t="str">
        <f>HYPERLINK("https%3A%2F%2Fwww.webofscience.com%2Fwos%2Fwoscc%2Ffull-record%2FWOS:000290751000005","View Full Record in Web of Science")</f>
        <v>View Full Record in Web of Science</v>
      </c>
    </row>
    <row r="651" spans="1:72" x14ac:dyDescent="0.15">
      <c r="A651" t="s">
        <v>8257</v>
      </c>
      <c r="B651" t="s">
        <v>11946</v>
      </c>
      <c r="C651" t="s">
        <v>74</v>
      </c>
      <c r="D651" t="s">
        <v>11921</v>
      </c>
      <c r="E651" t="s">
        <v>74</v>
      </c>
      <c r="F651" t="s">
        <v>11947</v>
      </c>
      <c r="G651" t="s">
        <v>74</v>
      </c>
      <c r="H651" t="s">
        <v>74</v>
      </c>
      <c r="I651" t="s">
        <v>11948</v>
      </c>
      <c r="J651" t="s">
        <v>11924</v>
      </c>
      <c r="K651" t="s">
        <v>11925</v>
      </c>
      <c r="L651" t="s">
        <v>74</v>
      </c>
      <c r="M651" t="s">
        <v>78</v>
      </c>
      <c r="N651" t="s">
        <v>8264</v>
      </c>
      <c r="O651" t="s">
        <v>11926</v>
      </c>
      <c r="P651" t="s">
        <v>11927</v>
      </c>
      <c r="Q651" t="s">
        <v>11928</v>
      </c>
      <c r="R651" t="s">
        <v>74</v>
      </c>
      <c r="S651" t="s">
        <v>74</v>
      </c>
      <c r="T651" t="s">
        <v>74</v>
      </c>
      <c r="U651" t="s">
        <v>11949</v>
      </c>
      <c r="V651" t="s">
        <v>11950</v>
      </c>
      <c r="W651" t="s">
        <v>11951</v>
      </c>
      <c r="X651" t="s">
        <v>11952</v>
      </c>
      <c r="Y651" t="s">
        <v>11953</v>
      </c>
      <c r="Z651" t="s">
        <v>74</v>
      </c>
      <c r="AA651" t="s">
        <v>11954</v>
      </c>
      <c r="AB651" t="s">
        <v>11955</v>
      </c>
      <c r="AC651" t="s">
        <v>74</v>
      </c>
      <c r="AD651" t="s">
        <v>74</v>
      </c>
      <c r="AE651" t="s">
        <v>74</v>
      </c>
      <c r="AF651" t="s">
        <v>74</v>
      </c>
      <c r="AG651">
        <v>58</v>
      </c>
      <c r="AH651">
        <v>5</v>
      </c>
      <c r="AI651">
        <v>8</v>
      </c>
      <c r="AJ651">
        <v>1</v>
      </c>
      <c r="AK651">
        <v>28</v>
      </c>
      <c r="AL651" t="s">
        <v>11935</v>
      </c>
      <c r="AM651" t="s">
        <v>11936</v>
      </c>
      <c r="AN651" t="s">
        <v>11937</v>
      </c>
      <c r="AO651" t="s">
        <v>11938</v>
      </c>
      <c r="AP651" t="s">
        <v>74</v>
      </c>
      <c r="AQ651" t="s">
        <v>11939</v>
      </c>
      <c r="AR651" t="s">
        <v>11940</v>
      </c>
      <c r="AS651" t="s">
        <v>74</v>
      </c>
      <c r="AT651" t="s">
        <v>74</v>
      </c>
      <c r="AU651">
        <v>2010</v>
      </c>
      <c r="AV651">
        <v>9</v>
      </c>
      <c r="AW651" t="s">
        <v>74</v>
      </c>
      <c r="AX651" t="s">
        <v>74</v>
      </c>
      <c r="AY651" t="s">
        <v>74</v>
      </c>
      <c r="AZ651" t="s">
        <v>74</v>
      </c>
      <c r="BA651" t="s">
        <v>74</v>
      </c>
      <c r="BB651">
        <v>105</v>
      </c>
      <c r="BC651">
        <v>114</v>
      </c>
      <c r="BD651" t="s">
        <v>74</v>
      </c>
      <c r="BE651" t="s">
        <v>11956</v>
      </c>
      <c r="BF651" t="str">
        <f>HYPERLINK("http://dx.doi.org/10.1051/epjconf/201009008","http://dx.doi.org/10.1051/epjconf/201009008")</f>
        <v>http://dx.doi.org/10.1051/epjconf/201009008</v>
      </c>
      <c r="BG651" t="s">
        <v>74</v>
      </c>
      <c r="BH651" t="s">
        <v>74</v>
      </c>
      <c r="BI651">
        <v>10</v>
      </c>
      <c r="BJ651" t="s">
        <v>11942</v>
      </c>
      <c r="BK651" t="s">
        <v>8281</v>
      </c>
      <c r="BL651" t="s">
        <v>4834</v>
      </c>
      <c r="BM651" t="s">
        <v>11943</v>
      </c>
      <c r="BN651" t="s">
        <v>74</v>
      </c>
      <c r="BO651" t="s">
        <v>11178</v>
      </c>
      <c r="BP651" t="s">
        <v>74</v>
      </c>
      <c r="BQ651" t="s">
        <v>74</v>
      </c>
      <c r="BR651" t="s">
        <v>105</v>
      </c>
      <c r="BS651" t="s">
        <v>11957</v>
      </c>
      <c r="BT651" t="str">
        <f>HYPERLINK("https%3A%2F%2Fwww.webofscience.com%2Fwos%2Fwoscc%2Ffull-record%2FWOS:000290751000008","View Full Record in Web of Science")</f>
        <v>View Full Record in Web of Science</v>
      </c>
    </row>
    <row r="652" spans="1:72" x14ac:dyDescent="0.15">
      <c r="A652" t="s">
        <v>8257</v>
      </c>
      <c r="B652" t="s">
        <v>11958</v>
      </c>
      <c r="C652" t="s">
        <v>74</v>
      </c>
      <c r="D652" t="s">
        <v>11921</v>
      </c>
      <c r="E652" t="s">
        <v>74</v>
      </c>
      <c r="F652" t="s">
        <v>11959</v>
      </c>
      <c r="G652" t="s">
        <v>74</v>
      </c>
      <c r="H652" t="s">
        <v>74</v>
      </c>
      <c r="I652" t="s">
        <v>11960</v>
      </c>
      <c r="J652" t="s">
        <v>11924</v>
      </c>
      <c r="K652" t="s">
        <v>11925</v>
      </c>
      <c r="L652" t="s">
        <v>74</v>
      </c>
      <c r="M652" t="s">
        <v>78</v>
      </c>
      <c r="N652" t="s">
        <v>8264</v>
      </c>
      <c r="O652" t="s">
        <v>11926</v>
      </c>
      <c r="P652" t="s">
        <v>11927</v>
      </c>
      <c r="Q652" t="s">
        <v>11928</v>
      </c>
      <c r="R652" t="s">
        <v>74</v>
      </c>
      <c r="S652" t="s">
        <v>74</v>
      </c>
      <c r="T652" t="s">
        <v>74</v>
      </c>
      <c r="U652" t="s">
        <v>11961</v>
      </c>
      <c r="V652" t="s">
        <v>11962</v>
      </c>
      <c r="W652" t="s">
        <v>11963</v>
      </c>
      <c r="X652" t="s">
        <v>11964</v>
      </c>
      <c r="Y652" t="s">
        <v>11965</v>
      </c>
      <c r="Z652" t="s">
        <v>74</v>
      </c>
      <c r="AA652" t="s">
        <v>11966</v>
      </c>
      <c r="AB652" t="s">
        <v>11967</v>
      </c>
      <c r="AC652" t="s">
        <v>74</v>
      </c>
      <c r="AD652" t="s">
        <v>74</v>
      </c>
      <c r="AE652" t="s">
        <v>74</v>
      </c>
      <c r="AF652" t="s">
        <v>74</v>
      </c>
      <c r="AG652">
        <v>22</v>
      </c>
      <c r="AH652">
        <v>0</v>
      </c>
      <c r="AI652">
        <v>0</v>
      </c>
      <c r="AJ652">
        <v>0</v>
      </c>
      <c r="AK652">
        <v>4</v>
      </c>
      <c r="AL652" t="s">
        <v>11935</v>
      </c>
      <c r="AM652" t="s">
        <v>11936</v>
      </c>
      <c r="AN652" t="s">
        <v>11937</v>
      </c>
      <c r="AO652" t="s">
        <v>11938</v>
      </c>
      <c r="AP652" t="s">
        <v>74</v>
      </c>
      <c r="AQ652" t="s">
        <v>11939</v>
      </c>
      <c r="AR652" t="s">
        <v>11940</v>
      </c>
      <c r="AS652" t="s">
        <v>74</v>
      </c>
      <c r="AT652" t="s">
        <v>74</v>
      </c>
      <c r="AU652">
        <v>2010</v>
      </c>
      <c r="AV652">
        <v>9</v>
      </c>
      <c r="AW652" t="s">
        <v>74</v>
      </c>
      <c r="AX652" t="s">
        <v>74</v>
      </c>
      <c r="AY652" t="s">
        <v>74</v>
      </c>
      <c r="AZ652" t="s">
        <v>74</v>
      </c>
      <c r="BA652" t="s">
        <v>74</v>
      </c>
      <c r="BB652">
        <v>137</v>
      </c>
      <c r="BC652">
        <v>142</v>
      </c>
      <c r="BD652" t="s">
        <v>74</v>
      </c>
      <c r="BE652" t="s">
        <v>11968</v>
      </c>
      <c r="BF652" t="str">
        <f>HYPERLINK("http://dx.doi.org/10.1051/epjconf/201009011","http://dx.doi.org/10.1051/epjconf/201009011")</f>
        <v>http://dx.doi.org/10.1051/epjconf/201009011</v>
      </c>
      <c r="BG652" t="s">
        <v>74</v>
      </c>
      <c r="BH652" t="s">
        <v>74</v>
      </c>
      <c r="BI652">
        <v>6</v>
      </c>
      <c r="BJ652" t="s">
        <v>11942</v>
      </c>
      <c r="BK652" t="s">
        <v>8281</v>
      </c>
      <c r="BL652" t="s">
        <v>4834</v>
      </c>
      <c r="BM652" t="s">
        <v>11943</v>
      </c>
      <c r="BN652" t="s">
        <v>74</v>
      </c>
      <c r="BO652" t="s">
        <v>1663</v>
      </c>
      <c r="BP652" t="s">
        <v>74</v>
      </c>
      <c r="BQ652" t="s">
        <v>74</v>
      </c>
      <c r="BR652" t="s">
        <v>105</v>
      </c>
      <c r="BS652" t="s">
        <v>11969</v>
      </c>
      <c r="BT652" t="str">
        <f>HYPERLINK("https%3A%2F%2Fwww.webofscience.com%2Fwos%2Fwoscc%2Ffull-record%2FWOS:000290751000011","View Full Record in Web of Science")</f>
        <v>View Full Record in Web of Science</v>
      </c>
    </row>
    <row r="653" spans="1:72" x14ac:dyDescent="0.15">
      <c r="A653" t="s">
        <v>72</v>
      </c>
      <c r="B653" t="s">
        <v>11970</v>
      </c>
      <c r="C653" t="s">
        <v>74</v>
      </c>
      <c r="D653" t="s">
        <v>74</v>
      </c>
      <c r="E653" t="s">
        <v>74</v>
      </c>
      <c r="F653" t="s">
        <v>11971</v>
      </c>
      <c r="G653" t="s">
        <v>74</v>
      </c>
      <c r="H653" t="s">
        <v>74</v>
      </c>
      <c r="I653" t="s">
        <v>11972</v>
      </c>
      <c r="J653" t="s">
        <v>11973</v>
      </c>
      <c r="K653" t="s">
        <v>74</v>
      </c>
      <c r="L653" t="s">
        <v>74</v>
      </c>
      <c r="M653" t="s">
        <v>78</v>
      </c>
      <c r="N653" t="s">
        <v>79</v>
      </c>
      <c r="O653" t="s">
        <v>74</v>
      </c>
      <c r="P653" t="s">
        <v>74</v>
      </c>
      <c r="Q653" t="s">
        <v>74</v>
      </c>
      <c r="R653" t="s">
        <v>74</v>
      </c>
      <c r="S653" t="s">
        <v>74</v>
      </c>
      <c r="T653" t="s">
        <v>11974</v>
      </c>
      <c r="U653" t="s">
        <v>11975</v>
      </c>
      <c r="V653" t="s">
        <v>11976</v>
      </c>
      <c r="W653" t="s">
        <v>11977</v>
      </c>
      <c r="X653" t="s">
        <v>11978</v>
      </c>
      <c r="Y653" t="s">
        <v>11979</v>
      </c>
      <c r="Z653" t="s">
        <v>11980</v>
      </c>
      <c r="AA653" t="s">
        <v>11981</v>
      </c>
      <c r="AB653" t="s">
        <v>74</v>
      </c>
      <c r="AC653" t="s">
        <v>11982</v>
      </c>
      <c r="AD653" t="s">
        <v>11983</v>
      </c>
      <c r="AE653" t="s">
        <v>11984</v>
      </c>
      <c r="AF653" t="s">
        <v>74</v>
      </c>
      <c r="AG653">
        <v>62</v>
      </c>
      <c r="AH653">
        <v>26</v>
      </c>
      <c r="AI653">
        <v>29</v>
      </c>
      <c r="AJ653">
        <v>0</v>
      </c>
      <c r="AK653">
        <v>1</v>
      </c>
      <c r="AL653" t="s">
        <v>11985</v>
      </c>
      <c r="AM653" t="s">
        <v>11986</v>
      </c>
      <c r="AN653" t="s">
        <v>11987</v>
      </c>
      <c r="AO653" t="s">
        <v>11988</v>
      </c>
      <c r="AP653" t="s">
        <v>74</v>
      </c>
      <c r="AQ653" t="s">
        <v>74</v>
      </c>
      <c r="AR653" t="s">
        <v>11989</v>
      </c>
      <c r="AS653" t="s">
        <v>11990</v>
      </c>
      <c r="AT653" t="s">
        <v>74</v>
      </c>
      <c r="AU653">
        <v>2010</v>
      </c>
      <c r="AV653">
        <v>59</v>
      </c>
      <c r="AW653">
        <v>1</v>
      </c>
      <c r="AX653" t="s">
        <v>74</v>
      </c>
      <c r="AY653" t="s">
        <v>74</v>
      </c>
      <c r="AZ653" t="s">
        <v>74</v>
      </c>
      <c r="BA653" t="s">
        <v>74</v>
      </c>
      <c r="BB653">
        <v>49</v>
      </c>
      <c r="BC653">
        <v>62</v>
      </c>
      <c r="BD653" t="s">
        <v>74</v>
      </c>
      <c r="BE653" t="s">
        <v>11991</v>
      </c>
      <c r="BF653" t="str">
        <f>HYPERLINK("http://dx.doi.org/10.3176/earth.2010.1.04","http://dx.doi.org/10.3176/earth.2010.1.04")</f>
        <v>http://dx.doi.org/10.3176/earth.2010.1.04</v>
      </c>
      <c r="BG653" t="s">
        <v>74</v>
      </c>
      <c r="BH653" t="s">
        <v>74</v>
      </c>
      <c r="BI653">
        <v>14</v>
      </c>
      <c r="BJ653" t="s">
        <v>11568</v>
      </c>
      <c r="BK653" t="s">
        <v>102</v>
      </c>
      <c r="BL653" t="s">
        <v>914</v>
      </c>
      <c r="BM653" t="s">
        <v>11992</v>
      </c>
      <c r="BN653" t="s">
        <v>74</v>
      </c>
      <c r="BO653" t="s">
        <v>8695</v>
      </c>
      <c r="BP653" t="s">
        <v>74</v>
      </c>
      <c r="BQ653" t="s">
        <v>74</v>
      </c>
      <c r="BR653" t="s">
        <v>105</v>
      </c>
      <c r="BS653" t="s">
        <v>11993</v>
      </c>
      <c r="BT653" t="str">
        <f>HYPERLINK("https%3A%2F%2Fwww.webofscience.com%2Fwos%2Fwoscc%2Ffull-record%2FWOS:000275191600004","View Full Record in Web of Science")</f>
        <v>View Full Record in Web of Science</v>
      </c>
    </row>
    <row r="654" spans="1:72" x14ac:dyDescent="0.15">
      <c r="A654" t="s">
        <v>72</v>
      </c>
      <c r="B654" t="s">
        <v>11994</v>
      </c>
      <c r="C654" t="s">
        <v>74</v>
      </c>
      <c r="D654" t="s">
        <v>74</v>
      </c>
      <c r="E654" t="s">
        <v>74</v>
      </c>
      <c r="F654" t="s">
        <v>11995</v>
      </c>
      <c r="G654" t="s">
        <v>74</v>
      </c>
      <c r="H654" t="s">
        <v>74</v>
      </c>
      <c r="I654" t="s">
        <v>11996</v>
      </c>
      <c r="J654" t="s">
        <v>11997</v>
      </c>
      <c r="K654" t="s">
        <v>74</v>
      </c>
      <c r="L654" t="s">
        <v>74</v>
      </c>
      <c r="M654" t="s">
        <v>78</v>
      </c>
      <c r="N654" t="s">
        <v>79</v>
      </c>
      <c r="O654" t="s">
        <v>74</v>
      </c>
      <c r="P654" t="s">
        <v>74</v>
      </c>
      <c r="Q654" t="s">
        <v>74</v>
      </c>
      <c r="R654" t="s">
        <v>74</v>
      </c>
      <c r="S654" t="s">
        <v>74</v>
      </c>
      <c r="T654" t="s">
        <v>11998</v>
      </c>
      <c r="U654" t="s">
        <v>11999</v>
      </c>
      <c r="V654" t="s">
        <v>12000</v>
      </c>
      <c r="W654" t="s">
        <v>12001</v>
      </c>
      <c r="X654" t="s">
        <v>12002</v>
      </c>
      <c r="Y654" t="s">
        <v>12003</v>
      </c>
      <c r="Z654" t="s">
        <v>12004</v>
      </c>
      <c r="AA654" t="s">
        <v>4405</v>
      </c>
      <c r="AB654" t="s">
        <v>4406</v>
      </c>
      <c r="AC654" t="s">
        <v>12005</v>
      </c>
      <c r="AD654" t="s">
        <v>989</v>
      </c>
      <c r="AE654" t="s">
        <v>12006</v>
      </c>
      <c r="AF654" t="s">
        <v>74</v>
      </c>
      <c r="AG654">
        <v>38</v>
      </c>
      <c r="AH654">
        <v>32</v>
      </c>
      <c r="AI654">
        <v>37</v>
      </c>
      <c r="AJ654">
        <v>0</v>
      </c>
      <c r="AK654">
        <v>22</v>
      </c>
      <c r="AL654" t="s">
        <v>546</v>
      </c>
      <c r="AM654" t="s">
        <v>547</v>
      </c>
      <c r="AN654" t="s">
        <v>8932</v>
      </c>
      <c r="AO654" t="s">
        <v>12007</v>
      </c>
      <c r="AP654" t="s">
        <v>74</v>
      </c>
      <c r="AQ654" t="s">
        <v>74</v>
      </c>
      <c r="AR654" t="s">
        <v>12008</v>
      </c>
      <c r="AS654" t="s">
        <v>12009</v>
      </c>
      <c r="AT654" t="s">
        <v>74</v>
      </c>
      <c r="AU654">
        <v>2010</v>
      </c>
      <c r="AV654">
        <v>45</v>
      </c>
      <c r="AW654">
        <v>1</v>
      </c>
      <c r="AX654" t="s">
        <v>74</v>
      </c>
      <c r="AY654" t="s">
        <v>74</v>
      </c>
      <c r="AZ654" t="s">
        <v>74</v>
      </c>
      <c r="BA654" t="s">
        <v>74</v>
      </c>
      <c r="BB654">
        <v>19</v>
      </c>
      <c r="BC654">
        <v>26</v>
      </c>
      <c r="BD654" t="s">
        <v>12010</v>
      </c>
      <c r="BE654" t="s">
        <v>12011</v>
      </c>
      <c r="BF654" t="str">
        <f>HYPERLINK("http://dx.doi.org/10.1080/09670260903171668","http://dx.doi.org/10.1080/09670260903171668")</f>
        <v>http://dx.doi.org/10.1080/09670260903171668</v>
      </c>
      <c r="BG654" t="s">
        <v>74</v>
      </c>
      <c r="BH654" t="s">
        <v>74</v>
      </c>
      <c r="BI654">
        <v>8</v>
      </c>
      <c r="BJ654" t="s">
        <v>2070</v>
      </c>
      <c r="BK654" t="s">
        <v>102</v>
      </c>
      <c r="BL654" t="s">
        <v>2070</v>
      </c>
      <c r="BM654" t="s">
        <v>12012</v>
      </c>
      <c r="BN654" t="s">
        <v>74</v>
      </c>
      <c r="BO654" t="s">
        <v>74</v>
      </c>
      <c r="BP654" t="s">
        <v>74</v>
      </c>
      <c r="BQ654" t="s">
        <v>74</v>
      </c>
      <c r="BR654" t="s">
        <v>105</v>
      </c>
      <c r="BS654" t="s">
        <v>12013</v>
      </c>
      <c r="BT654" t="str">
        <f>HYPERLINK("https%3A%2F%2Fwww.webofscience.com%2Fwos%2Fwoscc%2Ffull-record%2FWOS:000277506400003","View Full Record in Web of Science")</f>
        <v>View Full Record in Web of Science</v>
      </c>
    </row>
    <row r="655" spans="1:72" x14ac:dyDescent="0.15">
      <c r="A655" t="s">
        <v>8697</v>
      </c>
      <c r="B655" t="s">
        <v>12014</v>
      </c>
      <c r="C655" t="s">
        <v>74</v>
      </c>
      <c r="D655" t="s">
        <v>12015</v>
      </c>
      <c r="E655" t="s">
        <v>74</v>
      </c>
      <c r="F655" t="s">
        <v>12016</v>
      </c>
      <c r="G655" t="s">
        <v>74</v>
      </c>
      <c r="H655" t="s">
        <v>74</v>
      </c>
      <c r="I655" t="s">
        <v>12017</v>
      </c>
      <c r="J655" t="s">
        <v>12018</v>
      </c>
      <c r="K655" t="s">
        <v>12019</v>
      </c>
      <c r="L655" t="s">
        <v>74</v>
      </c>
      <c r="M655" t="s">
        <v>78</v>
      </c>
      <c r="N655" t="s">
        <v>8859</v>
      </c>
      <c r="O655" t="s">
        <v>74</v>
      </c>
      <c r="P655" t="s">
        <v>74</v>
      </c>
      <c r="Q655" t="s">
        <v>74</v>
      </c>
      <c r="R655" t="s">
        <v>74</v>
      </c>
      <c r="S655" t="s">
        <v>74</v>
      </c>
      <c r="T655" t="s">
        <v>12020</v>
      </c>
      <c r="U655" t="s">
        <v>12021</v>
      </c>
      <c r="V655" t="s">
        <v>12022</v>
      </c>
      <c r="W655" t="s">
        <v>12023</v>
      </c>
      <c r="X655" t="s">
        <v>12024</v>
      </c>
      <c r="Y655" t="s">
        <v>74</v>
      </c>
      <c r="Z655" t="s">
        <v>74</v>
      </c>
      <c r="AA655" t="s">
        <v>74</v>
      </c>
      <c r="AB655" t="s">
        <v>12025</v>
      </c>
      <c r="AC655" t="s">
        <v>74</v>
      </c>
      <c r="AD655" t="s">
        <v>74</v>
      </c>
      <c r="AE655" t="s">
        <v>74</v>
      </c>
      <c r="AF655" t="s">
        <v>74</v>
      </c>
      <c r="AG655">
        <v>89</v>
      </c>
      <c r="AH655">
        <v>2</v>
      </c>
      <c r="AI655">
        <v>2</v>
      </c>
      <c r="AJ655">
        <v>0</v>
      </c>
      <c r="AK655">
        <v>5</v>
      </c>
      <c r="AL655" t="s">
        <v>12026</v>
      </c>
      <c r="AM655" t="s">
        <v>12027</v>
      </c>
      <c r="AN655" t="s">
        <v>12028</v>
      </c>
      <c r="AO655" t="s">
        <v>12029</v>
      </c>
      <c r="AP655" t="s">
        <v>74</v>
      </c>
      <c r="AQ655" t="s">
        <v>12030</v>
      </c>
      <c r="AR655" t="s">
        <v>12031</v>
      </c>
      <c r="AS655" t="s">
        <v>12032</v>
      </c>
      <c r="AT655" t="s">
        <v>74</v>
      </c>
      <c r="AU655">
        <v>2010</v>
      </c>
      <c r="AV655" t="s">
        <v>74</v>
      </c>
      <c r="AW655">
        <v>84</v>
      </c>
      <c r="AX655" t="s">
        <v>74</v>
      </c>
      <c r="AY655" t="s">
        <v>74</v>
      </c>
      <c r="AZ655" t="s">
        <v>74</v>
      </c>
      <c r="BA655" t="s">
        <v>74</v>
      </c>
      <c r="BB655">
        <v>13</v>
      </c>
      <c r="BC655">
        <v>39</v>
      </c>
      <c r="BD655" t="s">
        <v>74</v>
      </c>
      <c r="BE655" t="s">
        <v>12033</v>
      </c>
      <c r="BF655" t="str">
        <f>HYPERLINK("http://dx.doi.org/10.1111/j.1475.4983.2010.00988.x","http://dx.doi.org/10.1111/j.1475.4983.2010.00988.x")</f>
        <v>http://dx.doi.org/10.1111/j.1475.4983.2010.00988.x</v>
      </c>
      <c r="BG655" t="s">
        <v>74</v>
      </c>
      <c r="BH655" t="s">
        <v>74</v>
      </c>
      <c r="BI655">
        <v>27</v>
      </c>
      <c r="BJ655" t="s">
        <v>1882</v>
      </c>
      <c r="BK655" t="s">
        <v>8720</v>
      </c>
      <c r="BL655" t="s">
        <v>1882</v>
      </c>
      <c r="BM655" t="s">
        <v>12034</v>
      </c>
      <c r="BN655" t="s">
        <v>74</v>
      </c>
      <c r="BO655" t="s">
        <v>74</v>
      </c>
      <c r="BP655" t="s">
        <v>74</v>
      </c>
      <c r="BQ655" t="s">
        <v>74</v>
      </c>
      <c r="BR655" t="s">
        <v>105</v>
      </c>
      <c r="BS655" t="s">
        <v>12035</v>
      </c>
      <c r="BT655" t="str">
        <f>HYPERLINK("https%3A%2F%2Fwww.webofscience.com%2Fwos%2Fwoscc%2Ffull-record%2FWOS:000284291100002","View Full Record in Web of Science")</f>
        <v>View Full Record in Web of Science</v>
      </c>
    </row>
    <row r="656" spans="1:72" x14ac:dyDescent="0.15">
      <c r="A656" t="s">
        <v>72</v>
      </c>
      <c r="B656" t="s">
        <v>12036</v>
      </c>
      <c r="C656" t="s">
        <v>74</v>
      </c>
      <c r="D656" t="s">
        <v>74</v>
      </c>
      <c r="E656" t="s">
        <v>74</v>
      </c>
      <c r="F656" t="s">
        <v>12037</v>
      </c>
      <c r="G656" t="s">
        <v>74</v>
      </c>
      <c r="H656" t="s">
        <v>74</v>
      </c>
      <c r="I656" t="s">
        <v>12038</v>
      </c>
      <c r="J656" t="s">
        <v>4058</v>
      </c>
      <c r="K656" t="s">
        <v>74</v>
      </c>
      <c r="L656" t="s">
        <v>74</v>
      </c>
      <c r="M656" t="s">
        <v>78</v>
      </c>
      <c r="N656" t="s">
        <v>79</v>
      </c>
      <c r="O656" t="s">
        <v>74</v>
      </c>
      <c r="P656" t="s">
        <v>74</v>
      </c>
      <c r="Q656" t="s">
        <v>74</v>
      </c>
      <c r="R656" t="s">
        <v>74</v>
      </c>
      <c r="S656" t="s">
        <v>74</v>
      </c>
      <c r="T656" t="s">
        <v>12039</v>
      </c>
      <c r="U656" t="s">
        <v>12040</v>
      </c>
      <c r="V656" t="s">
        <v>12041</v>
      </c>
      <c r="W656" t="s">
        <v>12042</v>
      </c>
      <c r="X656" t="s">
        <v>12043</v>
      </c>
      <c r="Y656" t="s">
        <v>12044</v>
      </c>
      <c r="Z656" t="s">
        <v>12045</v>
      </c>
      <c r="AA656" t="s">
        <v>12046</v>
      </c>
      <c r="AB656" t="s">
        <v>12047</v>
      </c>
      <c r="AC656" t="s">
        <v>12048</v>
      </c>
      <c r="AD656" t="s">
        <v>12049</v>
      </c>
      <c r="AE656" t="s">
        <v>12050</v>
      </c>
      <c r="AF656" t="s">
        <v>74</v>
      </c>
      <c r="AG656">
        <v>37</v>
      </c>
      <c r="AH656">
        <v>87</v>
      </c>
      <c r="AI656">
        <v>96</v>
      </c>
      <c r="AJ656">
        <v>0</v>
      </c>
      <c r="AK656">
        <v>18</v>
      </c>
      <c r="AL656" t="s">
        <v>4070</v>
      </c>
      <c r="AM656" t="s">
        <v>4071</v>
      </c>
      <c r="AN656" t="s">
        <v>4072</v>
      </c>
      <c r="AO656" t="s">
        <v>4073</v>
      </c>
      <c r="AP656" t="s">
        <v>4074</v>
      </c>
      <c r="AQ656" t="s">
        <v>74</v>
      </c>
      <c r="AR656" t="s">
        <v>4058</v>
      </c>
      <c r="AS656" t="s">
        <v>4075</v>
      </c>
      <c r="AT656" t="s">
        <v>8958</v>
      </c>
      <c r="AU656">
        <v>2010</v>
      </c>
      <c r="AV656">
        <v>14</v>
      </c>
      <c r="AW656">
        <v>1</v>
      </c>
      <c r="AX656" t="s">
        <v>74</v>
      </c>
      <c r="AY656" t="s">
        <v>74</v>
      </c>
      <c r="AZ656" t="s">
        <v>74</v>
      </c>
      <c r="BA656" t="s">
        <v>74</v>
      </c>
      <c r="BB656">
        <v>47</v>
      </c>
      <c r="BC656">
        <v>59</v>
      </c>
      <c r="BD656" t="s">
        <v>74</v>
      </c>
      <c r="BE656" t="s">
        <v>12051</v>
      </c>
      <c r="BF656" t="str">
        <f>HYPERLINK("http://dx.doi.org/10.1007/s00792-009-0286-7","http://dx.doi.org/10.1007/s00792-009-0286-7")</f>
        <v>http://dx.doi.org/10.1007/s00792-009-0286-7</v>
      </c>
      <c r="BG656" t="s">
        <v>74</v>
      </c>
      <c r="BH656" t="s">
        <v>74</v>
      </c>
      <c r="BI656">
        <v>13</v>
      </c>
      <c r="BJ656" t="s">
        <v>2398</v>
      </c>
      <c r="BK656" t="s">
        <v>102</v>
      </c>
      <c r="BL656" t="s">
        <v>2398</v>
      </c>
      <c r="BM656" t="s">
        <v>12052</v>
      </c>
      <c r="BN656">
        <v>19898737</v>
      </c>
      <c r="BO656" t="s">
        <v>2669</v>
      </c>
      <c r="BP656" t="s">
        <v>74</v>
      </c>
      <c r="BQ656" t="s">
        <v>74</v>
      </c>
      <c r="BR656" t="s">
        <v>105</v>
      </c>
      <c r="BS656" t="s">
        <v>12053</v>
      </c>
      <c r="BT656" t="str">
        <f>HYPERLINK("https%3A%2F%2Fwww.webofscience.com%2Fwos%2Fwoscc%2Ffull-record%2FWOS:000273032600006","View Full Record in Web of Science")</f>
        <v>View Full Record in Web of Science</v>
      </c>
    </row>
    <row r="657" spans="1:72" x14ac:dyDescent="0.15">
      <c r="A657" t="s">
        <v>72</v>
      </c>
      <c r="B657" t="s">
        <v>12054</v>
      </c>
      <c r="C657" t="s">
        <v>74</v>
      </c>
      <c r="D657" t="s">
        <v>74</v>
      </c>
      <c r="E657" t="s">
        <v>74</v>
      </c>
      <c r="F657" t="s">
        <v>12055</v>
      </c>
      <c r="G657" t="s">
        <v>74</v>
      </c>
      <c r="H657" t="s">
        <v>74</v>
      </c>
      <c r="I657" t="s">
        <v>12056</v>
      </c>
      <c r="J657" t="s">
        <v>12057</v>
      </c>
      <c r="K657" t="s">
        <v>74</v>
      </c>
      <c r="L657" t="s">
        <v>74</v>
      </c>
      <c r="M657" t="s">
        <v>78</v>
      </c>
      <c r="N657" t="s">
        <v>79</v>
      </c>
      <c r="O657" t="s">
        <v>74</v>
      </c>
      <c r="P657" t="s">
        <v>74</v>
      </c>
      <c r="Q657" t="s">
        <v>74</v>
      </c>
      <c r="R657" t="s">
        <v>74</v>
      </c>
      <c r="S657" t="s">
        <v>74</v>
      </c>
      <c r="T657" t="s">
        <v>12058</v>
      </c>
      <c r="U657" t="s">
        <v>12059</v>
      </c>
      <c r="V657" t="s">
        <v>12060</v>
      </c>
      <c r="W657" t="s">
        <v>12061</v>
      </c>
      <c r="X657" t="s">
        <v>12062</v>
      </c>
      <c r="Y657" t="s">
        <v>12063</v>
      </c>
      <c r="Z657" t="s">
        <v>12064</v>
      </c>
      <c r="AA657" t="s">
        <v>12065</v>
      </c>
      <c r="AB657" t="s">
        <v>12066</v>
      </c>
      <c r="AC657" t="s">
        <v>12067</v>
      </c>
      <c r="AD657" t="s">
        <v>12068</v>
      </c>
      <c r="AE657" t="s">
        <v>12069</v>
      </c>
      <c r="AF657" t="s">
        <v>74</v>
      </c>
      <c r="AG657">
        <v>38</v>
      </c>
      <c r="AH657">
        <v>16</v>
      </c>
      <c r="AI657">
        <v>16</v>
      </c>
      <c r="AJ657">
        <v>0</v>
      </c>
      <c r="AK657">
        <v>14</v>
      </c>
      <c r="AL657" t="s">
        <v>2312</v>
      </c>
      <c r="AM657" t="s">
        <v>992</v>
      </c>
      <c r="AN657" t="s">
        <v>993</v>
      </c>
      <c r="AO657" t="s">
        <v>12070</v>
      </c>
      <c r="AP657" t="s">
        <v>12071</v>
      </c>
      <c r="AQ657" t="s">
        <v>74</v>
      </c>
      <c r="AR657" t="s">
        <v>12072</v>
      </c>
      <c r="AS657" t="s">
        <v>12073</v>
      </c>
      <c r="AT657" t="s">
        <v>74</v>
      </c>
      <c r="AU657">
        <v>2010</v>
      </c>
      <c r="AV657">
        <v>19</v>
      </c>
      <c r="AW657">
        <v>3</v>
      </c>
      <c r="AX657" t="s">
        <v>74</v>
      </c>
      <c r="AY657" t="s">
        <v>74</v>
      </c>
      <c r="AZ657" t="s">
        <v>74</v>
      </c>
      <c r="BA657" t="s">
        <v>74</v>
      </c>
      <c r="BB657">
        <v>183</v>
      </c>
      <c r="BC657">
        <v>195</v>
      </c>
      <c r="BD657" t="s">
        <v>74</v>
      </c>
      <c r="BE657" t="s">
        <v>12074</v>
      </c>
      <c r="BF657" t="str">
        <f>HYPERLINK("http://dx.doi.org/10.1111/j.1365-2419.2010.00536.x","http://dx.doi.org/10.1111/j.1365-2419.2010.00536.x")</f>
        <v>http://dx.doi.org/10.1111/j.1365-2419.2010.00536.x</v>
      </c>
      <c r="BG657" t="s">
        <v>74</v>
      </c>
      <c r="BH657" t="s">
        <v>74</v>
      </c>
      <c r="BI657">
        <v>13</v>
      </c>
      <c r="BJ657" t="s">
        <v>12075</v>
      </c>
      <c r="BK657" t="s">
        <v>102</v>
      </c>
      <c r="BL657" t="s">
        <v>12075</v>
      </c>
      <c r="BM657" t="s">
        <v>12076</v>
      </c>
      <c r="BN657" t="s">
        <v>74</v>
      </c>
      <c r="BO657" t="s">
        <v>74</v>
      </c>
      <c r="BP657" t="s">
        <v>74</v>
      </c>
      <c r="BQ657" t="s">
        <v>74</v>
      </c>
      <c r="BR657" t="s">
        <v>105</v>
      </c>
      <c r="BS657" t="s">
        <v>12077</v>
      </c>
      <c r="BT657" t="str">
        <f>HYPERLINK("https%3A%2F%2Fwww.webofscience.com%2Fwos%2Fwoscc%2Ffull-record%2FWOS:000277913100001","View Full Record in Web of Science")</f>
        <v>View Full Record in Web of Science</v>
      </c>
    </row>
    <row r="658" spans="1:72" x14ac:dyDescent="0.15">
      <c r="A658" t="s">
        <v>8697</v>
      </c>
      <c r="B658" t="s">
        <v>12078</v>
      </c>
      <c r="C658" t="s">
        <v>74</v>
      </c>
      <c r="D658" t="s">
        <v>12079</v>
      </c>
      <c r="E658" t="s">
        <v>74</v>
      </c>
      <c r="F658" t="s">
        <v>12080</v>
      </c>
      <c r="G658" t="s">
        <v>74</v>
      </c>
      <c r="H658" t="s">
        <v>74</v>
      </c>
      <c r="I658" t="s">
        <v>12081</v>
      </c>
      <c r="J658" t="s">
        <v>12082</v>
      </c>
      <c r="K658" t="s">
        <v>11097</v>
      </c>
      <c r="L658" t="s">
        <v>74</v>
      </c>
      <c r="M658" t="s">
        <v>78</v>
      </c>
      <c r="N658" t="s">
        <v>8859</v>
      </c>
      <c r="O658" t="s">
        <v>74</v>
      </c>
      <c r="P658" t="s">
        <v>74</v>
      </c>
      <c r="Q658" t="s">
        <v>74</v>
      </c>
      <c r="R658" t="s">
        <v>74</v>
      </c>
      <c r="S658" t="s">
        <v>74</v>
      </c>
      <c r="T658" t="s">
        <v>74</v>
      </c>
      <c r="U658" t="s">
        <v>12083</v>
      </c>
      <c r="V658" t="s">
        <v>12084</v>
      </c>
      <c r="W658" t="s">
        <v>12085</v>
      </c>
      <c r="X658" t="s">
        <v>12086</v>
      </c>
      <c r="Y658" t="s">
        <v>12087</v>
      </c>
      <c r="Z658" t="s">
        <v>12088</v>
      </c>
      <c r="AA658" t="s">
        <v>12089</v>
      </c>
      <c r="AB658" t="s">
        <v>12090</v>
      </c>
      <c r="AC658" t="s">
        <v>74</v>
      </c>
      <c r="AD658" t="s">
        <v>74</v>
      </c>
      <c r="AE658" t="s">
        <v>74</v>
      </c>
      <c r="AF658" t="s">
        <v>74</v>
      </c>
      <c r="AG658">
        <v>95</v>
      </c>
      <c r="AH658">
        <v>32</v>
      </c>
      <c r="AI658">
        <v>33</v>
      </c>
      <c r="AJ658">
        <v>0</v>
      </c>
      <c r="AK658">
        <v>2</v>
      </c>
      <c r="AL658" t="s">
        <v>11105</v>
      </c>
      <c r="AM658" t="s">
        <v>4508</v>
      </c>
      <c r="AN658" t="s">
        <v>11106</v>
      </c>
      <c r="AO658" t="s">
        <v>11107</v>
      </c>
      <c r="AP658" t="s">
        <v>74</v>
      </c>
      <c r="AQ658" t="s">
        <v>12091</v>
      </c>
      <c r="AR658" t="s">
        <v>11109</v>
      </c>
      <c r="AS658" t="s">
        <v>11110</v>
      </c>
      <c r="AT658" t="s">
        <v>74</v>
      </c>
      <c r="AU658">
        <v>2010</v>
      </c>
      <c r="AV658">
        <v>344</v>
      </c>
      <c r="AW658" t="s">
        <v>74</v>
      </c>
      <c r="AX658" t="s">
        <v>74</v>
      </c>
      <c r="AY658" t="s">
        <v>74</v>
      </c>
      <c r="AZ658" t="s">
        <v>74</v>
      </c>
      <c r="BA658" t="s">
        <v>74</v>
      </c>
      <c r="BB658">
        <v>243</v>
      </c>
      <c r="BC658">
        <v>260</v>
      </c>
      <c r="BD658" t="s">
        <v>74</v>
      </c>
      <c r="BE658" t="s">
        <v>12092</v>
      </c>
      <c r="BF658" t="str">
        <f>HYPERLINK("http://dx.doi.org/10.1144/SP344.17","http://dx.doi.org/10.1144/SP344.17")</f>
        <v>http://dx.doi.org/10.1144/SP344.17</v>
      </c>
      <c r="BG658" t="s">
        <v>74</v>
      </c>
      <c r="BH658" t="s">
        <v>74</v>
      </c>
      <c r="BI658">
        <v>18</v>
      </c>
      <c r="BJ658" t="s">
        <v>11568</v>
      </c>
      <c r="BK658" t="s">
        <v>8579</v>
      </c>
      <c r="BL658" t="s">
        <v>914</v>
      </c>
      <c r="BM658" t="s">
        <v>12093</v>
      </c>
      <c r="BN658" t="s">
        <v>74</v>
      </c>
      <c r="BO658" t="s">
        <v>74</v>
      </c>
      <c r="BP658" t="s">
        <v>74</v>
      </c>
      <c r="BQ658" t="s">
        <v>74</v>
      </c>
      <c r="BR658" t="s">
        <v>105</v>
      </c>
      <c r="BS658" t="s">
        <v>12094</v>
      </c>
      <c r="BT658" t="str">
        <f>HYPERLINK("https%3A%2F%2Fwww.webofscience.com%2Fwos%2Fwoscc%2Ffull-record%2FWOS:000288751900018","View Full Record in Web of Science")</f>
        <v>View Full Record in Web of Science</v>
      </c>
    </row>
    <row r="659" spans="1:72" x14ac:dyDescent="0.15">
      <c r="A659" t="s">
        <v>8697</v>
      </c>
      <c r="B659" t="s">
        <v>12095</v>
      </c>
      <c r="C659" t="s">
        <v>74</v>
      </c>
      <c r="D659" t="s">
        <v>12096</v>
      </c>
      <c r="E659" t="s">
        <v>74</v>
      </c>
      <c r="F659" t="s">
        <v>12097</v>
      </c>
      <c r="G659" t="s">
        <v>74</v>
      </c>
      <c r="H659" t="s">
        <v>74</v>
      </c>
      <c r="I659" t="s">
        <v>12098</v>
      </c>
      <c r="J659" t="s">
        <v>12099</v>
      </c>
      <c r="K659" t="s">
        <v>12100</v>
      </c>
      <c r="L659" t="s">
        <v>74</v>
      </c>
      <c r="M659" t="s">
        <v>78</v>
      </c>
      <c r="N659" t="s">
        <v>8859</v>
      </c>
      <c r="O659" t="s">
        <v>74</v>
      </c>
      <c r="P659" t="s">
        <v>74</v>
      </c>
      <c r="Q659" t="s">
        <v>74</v>
      </c>
      <c r="R659" t="s">
        <v>74</v>
      </c>
      <c r="S659" t="s">
        <v>74</v>
      </c>
      <c r="T659" t="s">
        <v>12101</v>
      </c>
      <c r="U659" t="s">
        <v>12102</v>
      </c>
      <c r="V659" t="s">
        <v>12103</v>
      </c>
      <c r="W659" t="s">
        <v>4725</v>
      </c>
      <c r="X659" t="s">
        <v>656</v>
      </c>
      <c r="Y659" t="s">
        <v>12104</v>
      </c>
      <c r="Z659" t="s">
        <v>74</v>
      </c>
      <c r="AA659" t="s">
        <v>12105</v>
      </c>
      <c r="AB659" t="s">
        <v>12106</v>
      </c>
      <c r="AC659" t="s">
        <v>74</v>
      </c>
      <c r="AD659" t="s">
        <v>74</v>
      </c>
      <c r="AE659" t="s">
        <v>74</v>
      </c>
      <c r="AF659" t="s">
        <v>74</v>
      </c>
      <c r="AG659">
        <v>14</v>
      </c>
      <c r="AH659">
        <v>3</v>
      </c>
      <c r="AI659">
        <v>6</v>
      </c>
      <c r="AJ659">
        <v>0</v>
      </c>
      <c r="AK659">
        <v>11</v>
      </c>
      <c r="AL659" t="s">
        <v>12107</v>
      </c>
      <c r="AM659" t="s">
        <v>12108</v>
      </c>
      <c r="AN659" t="s">
        <v>12109</v>
      </c>
      <c r="AO659" t="s">
        <v>12110</v>
      </c>
      <c r="AP659" t="s">
        <v>74</v>
      </c>
      <c r="AQ659" t="s">
        <v>12111</v>
      </c>
      <c r="AR659" t="s">
        <v>12112</v>
      </c>
      <c r="AS659" t="s">
        <v>12113</v>
      </c>
      <c r="AT659" t="s">
        <v>74</v>
      </c>
      <c r="AU659">
        <v>2010</v>
      </c>
      <c r="AV659">
        <v>659</v>
      </c>
      <c r="AW659" t="s">
        <v>74</v>
      </c>
      <c r="AX659" t="s">
        <v>74</v>
      </c>
      <c r="AY659" t="s">
        <v>74</v>
      </c>
      <c r="AZ659" t="s">
        <v>74</v>
      </c>
      <c r="BA659" t="s">
        <v>74</v>
      </c>
      <c r="BB659">
        <v>349</v>
      </c>
      <c r="BC659">
        <v>362</v>
      </c>
      <c r="BD659" t="s">
        <v>74</v>
      </c>
      <c r="BE659" t="s">
        <v>12114</v>
      </c>
      <c r="BF659" t="str">
        <f>HYPERLINK("http://dx.doi.org/10.1007/978-1-60761-789-1_27","http://dx.doi.org/10.1007/978-1-60761-789-1_27")</f>
        <v>http://dx.doi.org/10.1007/978-1-60761-789-1_27</v>
      </c>
      <c r="BG659" t="s">
        <v>12115</v>
      </c>
      <c r="BH659" t="s">
        <v>74</v>
      </c>
      <c r="BI659">
        <v>14</v>
      </c>
      <c r="BJ659" t="s">
        <v>12116</v>
      </c>
      <c r="BK659" t="s">
        <v>8579</v>
      </c>
      <c r="BL659" t="s">
        <v>7136</v>
      </c>
      <c r="BM659" t="s">
        <v>12117</v>
      </c>
      <c r="BN659">
        <v>20809326</v>
      </c>
      <c r="BO659" t="s">
        <v>74</v>
      </c>
      <c r="BP659" t="s">
        <v>74</v>
      </c>
      <c r="BQ659" t="s">
        <v>74</v>
      </c>
      <c r="BR659" t="s">
        <v>105</v>
      </c>
      <c r="BS659" t="s">
        <v>12118</v>
      </c>
      <c r="BT659" t="str">
        <f>HYPERLINK("https%3A%2F%2Fwww.webofscience.com%2Fwos%2Fwoscc%2Ffull-record%2FWOS:000282335500027","View Full Record in Web of Science")</f>
        <v>View Full Record in Web of Science</v>
      </c>
    </row>
    <row r="660" spans="1:72" x14ac:dyDescent="0.15">
      <c r="A660" t="s">
        <v>72</v>
      </c>
      <c r="B660" t="s">
        <v>12119</v>
      </c>
      <c r="C660" t="s">
        <v>74</v>
      </c>
      <c r="D660" t="s">
        <v>74</v>
      </c>
      <c r="E660" t="s">
        <v>74</v>
      </c>
      <c r="F660" t="s">
        <v>12120</v>
      </c>
      <c r="G660" t="s">
        <v>74</v>
      </c>
      <c r="H660" t="s">
        <v>74</v>
      </c>
      <c r="I660" t="s">
        <v>12121</v>
      </c>
      <c r="J660" t="s">
        <v>12122</v>
      </c>
      <c r="K660" t="s">
        <v>74</v>
      </c>
      <c r="L660" t="s">
        <v>74</v>
      </c>
      <c r="M660" t="s">
        <v>78</v>
      </c>
      <c r="N660" t="s">
        <v>52</v>
      </c>
      <c r="O660" t="s">
        <v>12123</v>
      </c>
      <c r="P660" t="s">
        <v>12124</v>
      </c>
      <c r="Q660" t="s">
        <v>12125</v>
      </c>
      <c r="R660" t="s">
        <v>74</v>
      </c>
      <c r="S660" t="s">
        <v>74</v>
      </c>
      <c r="T660" t="s">
        <v>74</v>
      </c>
      <c r="U660" t="s">
        <v>74</v>
      </c>
      <c r="V660" t="s">
        <v>74</v>
      </c>
      <c r="W660" t="s">
        <v>12126</v>
      </c>
      <c r="X660" t="s">
        <v>12002</v>
      </c>
      <c r="Y660" t="s">
        <v>74</v>
      </c>
      <c r="Z660" t="s">
        <v>74</v>
      </c>
      <c r="AA660" t="s">
        <v>12127</v>
      </c>
      <c r="AB660" t="s">
        <v>74</v>
      </c>
      <c r="AC660" t="s">
        <v>74</v>
      </c>
      <c r="AD660" t="s">
        <v>74</v>
      </c>
      <c r="AE660" t="s">
        <v>74</v>
      </c>
      <c r="AF660" t="s">
        <v>74</v>
      </c>
      <c r="AG660">
        <v>0</v>
      </c>
      <c r="AH660">
        <v>0</v>
      </c>
      <c r="AI660">
        <v>0</v>
      </c>
      <c r="AJ660">
        <v>0</v>
      </c>
      <c r="AK660">
        <v>3</v>
      </c>
      <c r="AL660" t="s">
        <v>224</v>
      </c>
      <c r="AM660" t="s">
        <v>225</v>
      </c>
      <c r="AN660" t="s">
        <v>5755</v>
      </c>
      <c r="AO660" t="s">
        <v>12128</v>
      </c>
      <c r="AP660" t="s">
        <v>74</v>
      </c>
      <c r="AQ660" t="s">
        <v>74</v>
      </c>
      <c r="AR660" t="s">
        <v>12129</v>
      </c>
      <c r="AS660" t="s">
        <v>12130</v>
      </c>
      <c r="AT660" t="s">
        <v>74</v>
      </c>
      <c r="AU660">
        <v>2010</v>
      </c>
      <c r="AV660">
        <v>49</v>
      </c>
      <c r="AW660" t="s">
        <v>74</v>
      </c>
      <c r="AX660" t="s">
        <v>74</v>
      </c>
      <c r="AY660">
        <v>1</v>
      </c>
      <c r="AZ660" t="s">
        <v>74</v>
      </c>
      <c r="BA660" t="s">
        <v>74</v>
      </c>
      <c r="BB660" t="s">
        <v>12131</v>
      </c>
      <c r="BC660" t="s">
        <v>12131</v>
      </c>
      <c r="BD660" t="s">
        <v>74</v>
      </c>
      <c r="BE660" t="s">
        <v>12132</v>
      </c>
      <c r="BF660" t="str">
        <f>HYPERLINK("http://dx.doi.org/10.1016/j.freeradbiomed.2010.10.255","http://dx.doi.org/10.1016/j.freeradbiomed.2010.10.255")</f>
        <v>http://dx.doi.org/10.1016/j.freeradbiomed.2010.10.255</v>
      </c>
      <c r="BG660" t="s">
        <v>74</v>
      </c>
      <c r="BH660" t="s">
        <v>74</v>
      </c>
      <c r="BI660">
        <v>1</v>
      </c>
      <c r="BJ660" t="s">
        <v>12133</v>
      </c>
      <c r="BK660" t="s">
        <v>128</v>
      </c>
      <c r="BL660" t="s">
        <v>12133</v>
      </c>
      <c r="BM660" t="s">
        <v>12134</v>
      </c>
      <c r="BN660" t="s">
        <v>74</v>
      </c>
      <c r="BO660" t="s">
        <v>74</v>
      </c>
      <c r="BP660" t="s">
        <v>74</v>
      </c>
      <c r="BQ660" t="s">
        <v>74</v>
      </c>
      <c r="BR660" t="s">
        <v>105</v>
      </c>
      <c r="BS660" t="s">
        <v>12135</v>
      </c>
      <c r="BT660" t="str">
        <f>HYPERLINK("https%3A%2F%2Fwww.webofscience.com%2Fwos%2Fwoscc%2Ffull-record%2FWOS:000284348000270","View Full Record in Web of Science")</f>
        <v>View Full Record in Web of Science</v>
      </c>
    </row>
    <row r="661" spans="1:72" x14ac:dyDescent="0.15">
      <c r="A661" t="s">
        <v>72</v>
      </c>
      <c r="B661" t="s">
        <v>12136</v>
      </c>
      <c r="C661" t="s">
        <v>74</v>
      </c>
      <c r="D661" t="s">
        <v>74</v>
      </c>
      <c r="E661" t="s">
        <v>74</v>
      </c>
      <c r="F661" t="s">
        <v>12137</v>
      </c>
      <c r="G661" t="s">
        <v>74</v>
      </c>
      <c r="H661" t="s">
        <v>74</v>
      </c>
      <c r="I661" t="s">
        <v>12138</v>
      </c>
      <c r="J661" t="s">
        <v>12139</v>
      </c>
      <c r="K661" t="s">
        <v>74</v>
      </c>
      <c r="L661" t="s">
        <v>74</v>
      </c>
      <c r="M661" t="s">
        <v>78</v>
      </c>
      <c r="N661" t="s">
        <v>600</v>
      </c>
      <c r="O661" t="s">
        <v>74</v>
      </c>
      <c r="P661" t="s">
        <v>74</v>
      </c>
      <c r="Q661" t="s">
        <v>74</v>
      </c>
      <c r="R661" t="s">
        <v>74</v>
      </c>
      <c r="S661" t="s">
        <v>74</v>
      </c>
      <c r="T661" t="s">
        <v>12140</v>
      </c>
      <c r="U661" t="s">
        <v>12141</v>
      </c>
      <c r="V661" t="s">
        <v>12142</v>
      </c>
      <c r="W661" t="s">
        <v>12143</v>
      </c>
      <c r="X661" t="s">
        <v>12144</v>
      </c>
      <c r="Y661" t="s">
        <v>12145</v>
      </c>
      <c r="Z661" t="s">
        <v>12146</v>
      </c>
      <c r="AA661" t="s">
        <v>74</v>
      </c>
      <c r="AB661" t="s">
        <v>12147</v>
      </c>
      <c r="AC661" t="s">
        <v>12148</v>
      </c>
      <c r="AD661" t="s">
        <v>12149</v>
      </c>
      <c r="AE661" t="s">
        <v>12150</v>
      </c>
      <c r="AF661" t="s">
        <v>74</v>
      </c>
      <c r="AG661">
        <v>75</v>
      </c>
      <c r="AH661">
        <v>18</v>
      </c>
      <c r="AI661">
        <v>19</v>
      </c>
      <c r="AJ661">
        <v>1</v>
      </c>
      <c r="AK661">
        <v>18</v>
      </c>
      <c r="AL661" t="s">
        <v>12151</v>
      </c>
      <c r="AM661" t="s">
        <v>12152</v>
      </c>
      <c r="AN661" t="s">
        <v>12153</v>
      </c>
      <c r="AO661" t="s">
        <v>12154</v>
      </c>
      <c r="AP661" t="s">
        <v>74</v>
      </c>
      <c r="AQ661" t="s">
        <v>74</v>
      </c>
      <c r="AR661" t="s">
        <v>12155</v>
      </c>
      <c r="AS661" t="s">
        <v>12156</v>
      </c>
      <c r="AT661" t="s">
        <v>74</v>
      </c>
      <c r="AU661">
        <v>2010</v>
      </c>
      <c r="AV661">
        <v>1</v>
      </c>
      <c r="AW661" t="s">
        <v>74</v>
      </c>
      <c r="AX661" t="s">
        <v>74</v>
      </c>
      <c r="AY661" t="s">
        <v>74</v>
      </c>
      <c r="AZ661" t="s">
        <v>74</v>
      </c>
      <c r="BA661" t="s">
        <v>74</v>
      </c>
      <c r="BB661" t="s">
        <v>74</v>
      </c>
      <c r="BC661" t="s">
        <v>74</v>
      </c>
      <c r="BD661">
        <v>146</v>
      </c>
      <c r="BE661" t="s">
        <v>12157</v>
      </c>
      <c r="BF661" t="str">
        <f>HYPERLINK("http://dx.doi.org/10.3389/fphys.2010.00146","http://dx.doi.org/10.3389/fphys.2010.00146")</f>
        <v>http://dx.doi.org/10.3389/fphys.2010.00146</v>
      </c>
      <c r="BG661" t="s">
        <v>74</v>
      </c>
      <c r="BH661" t="s">
        <v>74</v>
      </c>
      <c r="BI661">
        <v>8</v>
      </c>
      <c r="BJ661" t="s">
        <v>12158</v>
      </c>
      <c r="BK661" t="s">
        <v>102</v>
      </c>
      <c r="BL661" t="s">
        <v>12158</v>
      </c>
      <c r="BM661" t="s">
        <v>12159</v>
      </c>
      <c r="BN661">
        <v>21423386</v>
      </c>
      <c r="BO661" t="s">
        <v>12160</v>
      </c>
      <c r="BP661" t="s">
        <v>74</v>
      </c>
      <c r="BQ661" t="s">
        <v>74</v>
      </c>
      <c r="BR661" t="s">
        <v>105</v>
      </c>
      <c r="BS661" t="s">
        <v>12161</v>
      </c>
      <c r="BT661" t="str">
        <f>HYPERLINK("https%3A%2F%2Fwww.webofscience.com%2Fwos%2Fwoscc%2Ffull-record%2FWOS:000209172400042","View Full Record in Web of Science")</f>
        <v>View Full Record in Web of Science</v>
      </c>
    </row>
    <row r="662" spans="1:72" x14ac:dyDescent="0.15">
      <c r="A662" t="s">
        <v>72</v>
      </c>
      <c r="B662" t="s">
        <v>12162</v>
      </c>
      <c r="C662" t="s">
        <v>74</v>
      </c>
      <c r="D662" t="s">
        <v>74</v>
      </c>
      <c r="E662" t="s">
        <v>74</v>
      </c>
      <c r="F662" t="s">
        <v>12163</v>
      </c>
      <c r="G662" t="s">
        <v>74</v>
      </c>
      <c r="H662" t="s">
        <v>74</v>
      </c>
      <c r="I662" t="s">
        <v>12164</v>
      </c>
      <c r="J662" t="s">
        <v>12165</v>
      </c>
      <c r="K662" t="s">
        <v>74</v>
      </c>
      <c r="L662" t="s">
        <v>74</v>
      </c>
      <c r="M662" t="s">
        <v>78</v>
      </c>
      <c r="N662" t="s">
        <v>79</v>
      </c>
      <c r="O662" t="s">
        <v>74</v>
      </c>
      <c r="P662" t="s">
        <v>74</v>
      </c>
      <c r="Q662" t="s">
        <v>74</v>
      </c>
      <c r="R662" t="s">
        <v>74</v>
      </c>
      <c r="S662" t="s">
        <v>74</v>
      </c>
      <c r="T662" t="s">
        <v>12166</v>
      </c>
      <c r="U662" t="s">
        <v>12167</v>
      </c>
      <c r="V662" t="s">
        <v>12168</v>
      </c>
      <c r="W662" t="s">
        <v>12169</v>
      </c>
      <c r="X662" t="s">
        <v>12170</v>
      </c>
      <c r="Y662" t="s">
        <v>12171</v>
      </c>
      <c r="Z662" t="s">
        <v>12172</v>
      </c>
      <c r="AA662" t="s">
        <v>12173</v>
      </c>
      <c r="AB662" t="s">
        <v>12174</v>
      </c>
      <c r="AC662" t="s">
        <v>12175</v>
      </c>
      <c r="AD662" t="s">
        <v>12176</v>
      </c>
      <c r="AE662" t="s">
        <v>12177</v>
      </c>
      <c r="AF662" t="s">
        <v>74</v>
      </c>
      <c r="AG662">
        <v>38</v>
      </c>
      <c r="AH662">
        <v>24</v>
      </c>
      <c r="AI662">
        <v>26</v>
      </c>
      <c r="AJ662">
        <v>0</v>
      </c>
      <c r="AK662">
        <v>7</v>
      </c>
      <c r="AL662" t="s">
        <v>12178</v>
      </c>
      <c r="AM662" t="s">
        <v>12179</v>
      </c>
      <c r="AN662" t="s">
        <v>12180</v>
      </c>
      <c r="AO662" t="s">
        <v>12181</v>
      </c>
      <c r="AP662" t="s">
        <v>74</v>
      </c>
      <c r="AQ662" t="s">
        <v>74</v>
      </c>
      <c r="AR662" t="s">
        <v>12165</v>
      </c>
      <c r="AS662" t="s">
        <v>12182</v>
      </c>
      <c r="AT662" t="s">
        <v>74</v>
      </c>
      <c r="AU662">
        <v>2010</v>
      </c>
      <c r="AV662">
        <v>74</v>
      </c>
      <c r="AW662">
        <v>1</v>
      </c>
      <c r="AX662" t="s">
        <v>74</v>
      </c>
      <c r="AY662" t="s">
        <v>74</v>
      </c>
      <c r="AZ662" t="s">
        <v>74</v>
      </c>
      <c r="BA662" t="s">
        <v>74</v>
      </c>
      <c r="BB662">
        <v>47</v>
      </c>
      <c r="BC662">
        <v>56</v>
      </c>
      <c r="BD662" t="s">
        <v>74</v>
      </c>
      <c r="BE662" t="s">
        <v>74</v>
      </c>
      <c r="BF662" t="s">
        <v>74</v>
      </c>
      <c r="BG662" t="s">
        <v>74</v>
      </c>
      <c r="BH662" t="s">
        <v>74</v>
      </c>
      <c r="BI662">
        <v>10</v>
      </c>
      <c r="BJ662" t="s">
        <v>12183</v>
      </c>
      <c r="BK662" t="s">
        <v>102</v>
      </c>
      <c r="BL662" t="s">
        <v>12183</v>
      </c>
      <c r="BM662" t="s">
        <v>12184</v>
      </c>
      <c r="BN662" t="s">
        <v>74</v>
      </c>
      <c r="BO662" t="s">
        <v>74</v>
      </c>
      <c r="BP662" t="s">
        <v>74</v>
      </c>
      <c r="BQ662" t="s">
        <v>74</v>
      </c>
      <c r="BR662" t="s">
        <v>105</v>
      </c>
      <c r="BS662" t="s">
        <v>12185</v>
      </c>
      <c r="BT662" t="str">
        <f>HYPERLINK("https%3A%2F%2Fwww.webofscience.com%2Fwos%2Fwoscc%2Ffull-record%2FWOS:000280422300008","View Full Record in Web of Science")</f>
        <v>View Full Record in Web of Science</v>
      </c>
    </row>
    <row r="663" spans="1:72" x14ac:dyDescent="0.15">
      <c r="A663" t="s">
        <v>72</v>
      </c>
      <c r="B663" t="s">
        <v>12186</v>
      </c>
      <c r="C663" t="s">
        <v>74</v>
      </c>
      <c r="D663" t="s">
        <v>74</v>
      </c>
      <c r="E663" t="s">
        <v>74</v>
      </c>
      <c r="F663" t="s">
        <v>12187</v>
      </c>
      <c r="G663" t="s">
        <v>74</v>
      </c>
      <c r="H663" t="s">
        <v>74</v>
      </c>
      <c r="I663" t="s">
        <v>12188</v>
      </c>
      <c r="J663" t="s">
        <v>12165</v>
      </c>
      <c r="K663" t="s">
        <v>74</v>
      </c>
      <c r="L663" t="s">
        <v>74</v>
      </c>
      <c r="M663" t="s">
        <v>12189</v>
      </c>
      <c r="N663" t="s">
        <v>79</v>
      </c>
      <c r="O663" t="s">
        <v>74</v>
      </c>
      <c r="P663" t="s">
        <v>74</v>
      </c>
      <c r="Q663" t="s">
        <v>74</v>
      </c>
      <c r="R663" t="s">
        <v>74</v>
      </c>
      <c r="S663" t="s">
        <v>74</v>
      </c>
      <c r="T663" t="s">
        <v>12190</v>
      </c>
      <c r="U663" t="s">
        <v>12191</v>
      </c>
      <c r="V663" t="s">
        <v>12192</v>
      </c>
      <c r="W663" t="s">
        <v>12193</v>
      </c>
      <c r="X663" t="s">
        <v>1236</v>
      </c>
      <c r="Y663" t="s">
        <v>12194</v>
      </c>
      <c r="Z663" t="s">
        <v>12195</v>
      </c>
      <c r="AA663" t="s">
        <v>74</v>
      </c>
      <c r="AB663" t="s">
        <v>74</v>
      </c>
      <c r="AC663" t="s">
        <v>74</v>
      </c>
      <c r="AD663" t="s">
        <v>74</v>
      </c>
      <c r="AE663" t="s">
        <v>74</v>
      </c>
      <c r="AF663" t="s">
        <v>74</v>
      </c>
      <c r="AG663">
        <v>46</v>
      </c>
      <c r="AH663">
        <v>6</v>
      </c>
      <c r="AI663">
        <v>9</v>
      </c>
      <c r="AJ663">
        <v>1</v>
      </c>
      <c r="AK663">
        <v>7</v>
      </c>
      <c r="AL663" t="s">
        <v>12178</v>
      </c>
      <c r="AM663" t="s">
        <v>12179</v>
      </c>
      <c r="AN663" t="s">
        <v>12180</v>
      </c>
      <c r="AO663" t="s">
        <v>12196</v>
      </c>
      <c r="AP663" t="s">
        <v>74</v>
      </c>
      <c r="AQ663" t="s">
        <v>74</v>
      </c>
      <c r="AR663" t="s">
        <v>12165</v>
      </c>
      <c r="AS663" t="s">
        <v>12182</v>
      </c>
      <c r="AT663" t="s">
        <v>74</v>
      </c>
      <c r="AU663">
        <v>2010</v>
      </c>
      <c r="AV663">
        <v>74</v>
      </c>
      <c r="AW663">
        <v>2</v>
      </c>
      <c r="AX663" t="s">
        <v>74</v>
      </c>
      <c r="AY663" t="s">
        <v>74</v>
      </c>
      <c r="AZ663" t="s">
        <v>74</v>
      </c>
      <c r="BA663" t="s">
        <v>74</v>
      </c>
      <c r="BB663">
        <v>83</v>
      </c>
      <c r="BC663">
        <v>93</v>
      </c>
      <c r="BD663" t="s">
        <v>74</v>
      </c>
      <c r="BE663" t="s">
        <v>74</v>
      </c>
      <c r="BF663" t="s">
        <v>74</v>
      </c>
      <c r="BG663" t="s">
        <v>74</v>
      </c>
      <c r="BH663" t="s">
        <v>74</v>
      </c>
      <c r="BI663">
        <v>11</v>
      </c>
      <c r="BJ663" t="s">
        <v>12183</v>
      </c>
      <c r="BK663" t="s">
        <v>102</v>
      </c>
      <c r="BL663" t="s">
        <v>12183</v>
      </c>
      <c r="BM663" t="s">
        <v>12197</v>
      </c>
      <c r="BN663" t="s">
        <v>74</v>
      </c>
      <c r="BO663" t="s">
        <v>74</v>
      </c>
      <c r="BP663" t="s">
        <v>74</v>
      </c>
      <c r="BQ663" t="s">
        <v>74</v>
      </c>
      <c r="BR663" t="s">
        <v>105</v>
      </c>
      <c r="BS663" t="s">
        <v>12198</v>
      </c>
      <c r="BT663" t="str">
        <f>HYPERLINK("https%3A%2F%2Fwww.webofscience.com%2Fwos%2Fwoscc%2Ffull-record%2FWOS:000286564700002","View Full Record in Web of Science")</f>
        <v>View Full Record in Web of Science</v>
      </c>
    </row>
    <row r="664" spans="1:72" x14ac:dyDescent="0.15">
      <c r="A664" t="s">
        <v>72</v>
      </c>
      <c r="B664" t="s">
        <v>12199</v>
      </c>
      <c r="C664" t="s">
        <v>74</v>
      </c>
      <c r="D664" t="s">
        <v>74</v>
      </c>
      <c r="E664" t="s">
        <v>74</v>
      </c>
      <c r="F664" t="s">
        <v>12200</v>
      </c>
      <c r="G664" t="s">
        <v>74</v>
      </c>
      <c r="H664" t="s">
        <v>74</v>
      </c>
      <c r="I664" t="s">
        <v>12201</v>
      </c>
      <c r="J664" t="s">
        <v>12202</v>
      </c>
      <c r="K664" t="s">
        <v>74</v>
      </c>
      <c r="L664" t="s">
        <v>74</v>
      </c>
      <c r="M664" t="s">
        <v>78</v>
      </c>
      <c r="N664" t="s">
        <v>79</v>
      </c>
      <c r="O664" t="s">
        <v>74</v>
      </c>
      <c r="P664" t="s">
        <v>74</v>
      </c>
      <c r="Q664" t="s">
        <v>74</v>
      </c>
      <c r="R664" t="s">
        <v>74</v>
      </c>
      <c r="S664" t="s">
        <v>74</v>
      </c>
      <c r="T664" t="s">
        <v>12203</v>
      </c>
      <c r="U664" t="s">
        <v>12204</v>
      </c>
      <c r="V664" t="s">
        <v>12205</v>
      </c>
      <c r="W664" t="s">
        <v>12206</v>
      </c>
      <c r="X664" t="s">
        <v>12207</v>
      </c>
      <c r="Y664" t="s">
        <v>12208</v>
      </c>
      <c r="Z664" t="s">
        <v>12209</v>
      </c>
      <c r="AA664" t="s">
        <v>12210</v>
      </c>
      <c r="AB664" t="s">
        <v>12211</v>
      </c>
      <c r="AC664" t="s">
        <v>12212</v>
      </c>
      <c r="AD664" t="s">
        <v>12213</v>
      </c>
      <c r="AE664" t="s">
        <v>12214</v>
      </c>
      <c r="AF664" t="s">
        <v>74</v>
      </c>
      <c r="AG664">
        <v>62</v>
      </c>
      <c r="AH664">
        <v>58</v>
      </c>
      <c r="AI664">
        <v>62</v>
      </c>
      <c r="AJ664">
        <v>1</v>
      </c>
      <c r="AK664">
        <v>20</v>
      </c>
      <c r="AL664" t="s">
        <v>144</v>
      </c>
      <c r="AM664" t="s">
        <v>145</v>
      </c>
      <c r="AN664" t="s">
        <v>146</v>
      </c>
      <c r="AO664" t="s">
        <v>12215</v>
      </c>
      <c r="AP664" t="s">
        <v>12216</v>
      </c>
      <c r="AQ664" t="s">
        <v>74</v>
      </c>
      <c r="AR664" t="s">
        <v>12202</v>
      </c>
      <c r="AS664" t="s">
        <v>12217</v>
      </c>
      <c r="AT664" t="s">
        <v>11860</v>
      </c>
      <c r="AU664">
        <v>2010</v>
      </c>
      <c r="AV664">
        <v>449</v>
      </c>
      <c r="AW664" t="s">
        <v>1854</v>
      </c>
      <c r="AX664" t="s">
        <v>74</v>
      </c>
      <c r="AY664" t="s">
        <v>74</v>
      </c>
      <c r="AZ664" t="s">
        <v>74</v>
      </c>
      <c r="BA664" t="s">
        <v>74</v>
      </c>
      <c r="BB664">
        <v>30</v>
      </c>
      <c r="BC664">
        <v>40</v>
      </c>
      <c r="BD664" t="s">
        <v>74</v>
      </c>
      <c r="BE664" t="s">
        <v>12218</v>
      </c>
      <c r="BF664" t="str">
        <f>HYPERLINK("http://dx.doi.org/10.1016/j.gene.2009.09.006","http://dx.doi.org/10.1016/j.gene.2009.09.006")</f>
        <v>http://dx.doi.org/10.1016/j.gene.2009.09.006</v>
      </c>
      <c r="BG664" t="s">
        <v>74</v>
      </c>
      <c r="BH664" t="s">
        <v>74</v>
      </c>
      <c r="BI664">
        <v>11</v>
      </c>
      <c r="BJ664" t="s">
        <v>12219</v>
      </c>
      <c r="BK664" t="s">
        <v>102</v>
      </c>
      <c r="BL664" t="s">
        <v>12219</v>
      </c>
      <c r="BM664" t="s">
        <v>12220</v>
      </c>
      <c r="BN664">
        <v>19782734</v>
      </c>
      <c r="BO664" t="s">
        <v>74</v>
      </c>
      <c r="BP664" t="s">
        <v>74</v>
      </c>
      <c r="BQ664" t="s">
        <v>74</v>
      </c>
      <c r="BR664" t="s">
        <v>105</v>
      </c>
      <c r="BS664" t="s">
        <v>12221</v>
      </c>
      <c r="BT664" t="str">
        <f>HYPERLINK("https%3A%2F%2Fwww.webofscience.com%2Fwos%2Fwoscc%2Ffull-record%2FWOS:000272067900004","View Full Record in Web of Science")</f>
        <v>View Full Record in Web of Science</v>
      </c>
    </row>
    <row r="665" spans="1:72" x14ac:dyDescent="0.15">
      <c r="A665" t="s">
        <v>72</v>
      </c>
      <c r="B665" t="s">
        <v>12222</v>
      </c>
      <c r="C665" t="s">
        <v>74</v>
      </c>
      <c r="D665" t="s">
        <v>74</v>
      </c>
      <c r="E665" t="s">
        <v>74</v>
      </c>
      <c r="F665" t="s">
        <v>12223</v>
      </c>
      <c r="G665" t="s">
        <v>74</v>
      </c>
      <c r="H665" t="s">
        <v>74</v>
      </c>
      <c r="I665" t="s">
        <v>12224</v>
      </c>
      <c r="J665" t="s">
        <v>12225</v>
      </c>
      <c r="K665" t="s">
        <v>74</v>
      </c>
      <c r="L665" t="s">
        <v>74</v>
      </c>
      <c r="M665" t="s">
        <v>78</v>
      </c>
      <c r="N665" t="s">
        <v>79</v>
      </c>
      <c r="O665" t="s">
        <v>74</v>
      </c>
      <c r="P665" t="s">
        <v>74</v>
      </c>
      <c r="Q665" t="s">
        <v>74</v>
      </c>
      <c r="R665" t="s">
        <v>74</v>
      </c>
      <c r="S665" t="s">
        <v>74</v>
      </c>
      <c r="T665" t="s">
        <v>74</v>
      </c>
      <c r="U665" t="s">
        <v>12226</v>
      </c>
      <c r="V665" t="s">
        <v>12227</v>
      </c>
      <c r="W665" t="s">
        <v>12228</v>
      </c>
      <c r="X665" t="s">
        <v>12229</v>
      </c>
      <c r="Y665" t="s">
        <v>12230</v>
      </c>
      <c r="Z665" t="s">
        <v>12231</v>
      </c>
      <c r="AA665" t="s">
        <v>74</v>
      </c>
      <c r="AB665" t="s">
        <v>74</v>
      </c>
      <c r="AC665" t="s">
        <v>12232</v>
      </c>
      <c r="AD665" t="s">
        <v>12233</v>
      </c>
      <c r="AE665" t="s">
        <v>12234</v>
      </c>
      <c r="AF665" t="s">
        <v>74</v>
      </c>
      <c r="AG665">
        <v>89</v>
      </c>
      <c r="AH665">
        <v>10</v>
      </c>
      <c r="AI665">
        <v>11</v>
      </c>
      <c r="AJ665">
        <v>0</v>
      </c>
      <c r="AK665">
        <v>8</v>
      </c>
      <c r="AL665" t="s">
        <v>12235</v>
      </c>
      <c r="AM665" t="s">
        <v>12236</v>
      </c>
      <c r="AN665" t="s">
        <v>12237</v>
      </c>
      <c r="AO665" t="s">
        <v>12238</v>
      </c>
      <c r="AP665" t="s">
        <v>74</v>
      </c>
      <c r="AQ665" t="s">
        <v>74</v>
      </c>
      <c r="AR665" t="s">
        <v>12225</v>
      </c>
      <c r="AS665" t="s">
        <v>12239</v>
      </c>
      <c r="AT665" t="s">
        <v>74</v>
      </c>
      <c r="AU665">
        <v>2010</v>
      </c>
      <c r="AV665">
        <v>15</v>
      </c>
      <c r="AW665">
        <v>2</v>
      </c>
      <c r="AX665" t="s">
        <v>74</v>
      </c>
      <c r="AY665" t="s">
        <v>74</v>
      </c>
      <c r="AZ665" t="s">
        <v>74</v>
      </c>
      <c r="BA665" t="s">
        <v>74</v>
      </c>
      <c r="BB665">
        <v>175</v>
      </c>
      <c r="BC665">
        <v>204</v>
      </c>
      <c r="BD665" t="s">
        <v>74</v>
      </c>
      <c r="BE665" t="s">
        <v>74</v>
      </c>
      <c r="BF665" t="s">
        <v>74</v>
      </c>
      <c r="BG665" t="s">
        <v>74</v>
      </c>
      <c r="BH665" t="s">
        <v>74</v>
      </c>
      <c r="BI665">
        <v>30</v>
      </c>
      <c r="BJ665" t="s">
        <v>913</v>
      </c>
      <c r="BK665" t="s">
        <v>102</v>
      </c>
      <c r="BL665" t="s">
        <v>914</v>
      </c>
      <c r="BM665" t="s">
        <v>12240</v>
      </c>
      <c r="BN665" t="s">
        <v>74</v>
      </c>
      <c r="BO665" t="s">
        <v>74</v>
      </c>
      <c r="BP665" t="s">
        <v>74</v>
      </c>
      <c r="BQ665" t="s">
        <v>74</v>
      </c>
      <c r="BR665" t="s">
        <v>105</v>
      </c>
      <c r="BS665" t="s">
        <v>12241</v>
      </c>
      <c r="BT665" t="str">
        <f>HYPERLINK("https%3A%2F%2Fwww.webofscience.com%2Fwos%2Fwoscc%2Ffull-record%2FWOS:000276639000006","View Full Record in Web of Science")</f>
        <v>View Full Record in Web of Science</v>
      </c>
    </row>
    <row r="666" spans="1:72" x14ac:dyDescent="0.15">
      <c r="A666" t="s">
        <v>72</v>
      </c>
      <c r="B666" t="s">
        <v>12242</v>
      </c>
      <c r="C666" t="s">
        <v>74</v>
      </c>
      <c r="D666" t="s">
        <v>74</v>
      </c>
      <c r="E666" t="s">
        <v>74</v>
      </c>
      <c r="F666" t="s">
        <v>12243</v>
      </c>
      <c r="G666" t="s">
        <v>74</v>
      </c>
      <c r="H666" t="s">
        <v>74</v>
      </c>
      <c r="I666" t="s">
        <v>12244</v>
      </c>
      <c r="J666" t="s">
        <v>12245</v>
      </c>
      <c r="K666" t="s">
        <v>74</v>
      </c>
      <c r="L666" t="s">
        <v>74</v>
      </c>
      <c r="M666" t="s">
        <v>7744</v>
      </c>
      <c r="N666" t="s">
        <v>79</v>
      </c>
      <c r="O666" t="s">
        <v>74</v>
      </c>
      <c r="P666" t="s">
        <v>74</v>
      </c>
      <c r="Q666" t="s">
        <v>74</v>
      </c>
      <c r="R666" t="s">
        <v>74</v>
      </c>
      <c r="S666" t="s">
        <v>74</v>
      </c>
      <c r="T666" t="s">
        <v>12246</v>
      </c>
      <c r="U666" t="s">
        <v>74</v>
      </c>
      <c r="V666" t="s">
        <v>12247</v>
      </c>
      <c r="W666" t="s">
        <v>12248</v>
      </c>
      <c r="X666" t="s">
        <v>12249</v>
      </c>
      <c r="Y666" t="s">
        <v>12250</v>
      </c>
      <c r="Z666" t="s">
        <v>74</v>
      </c>
      <c r="AA666" t="s">
        <v>12251</v>
      </c>
      <c r="AB666" t="s">
        <v>74</v>
      </c>
      <c r="AC666" t="s">
        <v>74</v>
      </c>
      <c r="AD666" t="s">
        <v>74</v>
      </c>
      <c r="AE666" t="s">
        <v>74</v>
      </c>
      <c r="AF666" t="s">
        <v>74</v>
      </c>
      <c r="AG666">
        <v>10</v>
      </c>
      <c r="AH666">
        <v>2</v>
      </c>
      <c r="AI666">
        <v>2</v>
      </c>
      <c r="AJ666">
        <v>0</v>
      </c>
      <c r="AK666">
        <v>0</v>
      </c>
      <c r="AL666" t="s">
        <v>12252</v>
      </c>
      <c r="AM666" t="s">
        <v>12253</v>
      </c>
      <c r="AN666" t="s">
        <v>12254</v>
      </c>
      <c r="AO666" t="s">
        <v>12255</v>
      </c>
      <c r="AP666" t="s">
        <v>12256</v>
      </c>
      <c r="AQ666" t="s">
        <v>74</v>
      </c>
      <c r="AR666" t="s">
        <v>12245</v>
      </c>
      <c r="AS666" t="s">
        <v>12257</v>
      </c>
      <c r="AT666" t="s">
        <v>74</v>
      </c>
      <c r="AU666">
        <v>2010</v>
      </c>
      <c r="AV666" t="s">
        <v>74</v>
      </c>
      <c r="AW666">
        <v>9</v>
      </c>
      <c r="AX666" t="s">
        <v>74</v>
      </c>
      <c r="AY666" t="s">
        <v>74</v>
      </c>
      <c r="AZ666" t="s">
        <v>74</v>
      </c>
      <c r="BA666" t="s">
        <v>74</v>
      </c>
      <c r="BB666">
        <v>5</v>
      </c>
      <c r="BC666">
        <v>9</v>
      </c>
      <c r="BD666" t="s">
        <v>74</v>
      </c>
      <c r="BE666" t="s">
        <v>74</v>
      </c>
      <c r="BF666" t="s">
        <v>74</v>
      </c>
      <c r="BG666" t="s">
        <v>74</v>
      </c>
      <c r="BH666" t="s">
        <v>74</v>
      </c>
      <c r="BI666">
        <v>5</v>
      </c>
      <c r="BJ666" t="s">
        <v>507</v>
      </c>
      <c r="BK666" t="s">
        <v>1408</v>
      </c>
      <c r="BL666" t="s">
        <v>507</v>
      </c>
      <c r="BM666" t="s">
        <v>12258</v>
      </c>
      <c r="BN666" t="s">
        <v>74</v>
      </c>
      <c r="BO666" t="s">
        <v>74</v>
      </c>
      <c r="BP666" t="s">
        <v>74</v>
      </c>
      <c r="BQ666" t="s">
        <v>74</v>
      </c>
      <c r="BR666" t="s">
        <v>105</v>
      </c>
      <c r="BS666" t="s">
        <v>12259</v>
      </c>
      <c r="BT666" t="str">
        <f>HYPERLINK("https%3A%2F%2Fwww.webofscience.com%2Fwos%2Fwoscc%2Ffull-record%2FWOS:000442182500001","View Full Record in Web of Science")</f>
        <v>View Full Record in Web of Science</v>
      </c>
    </row>
    <row r="667" spans="1:72" x14ac:dyDescent="0.15">
      <c r="A667" t="s">
        <v>72</v>
      </c>
      <c r="B667" t="s">
        <v>12260</v>
      </c>
      <c r="C667" t="s">
        <v>74</v>
      </c>
      <c r="D667" t="s">
        <v>74</v>
      </c>
      <c r="E667" t="s">
        <v>74</v>
      </c>
      <c r="F667" t="s">
        <v>12261</v>
      </c>
      <c r="G667" t="s">
        <v>74</v>
      </c>
      <c r="H667" t="s">
        <v>74</v>
      </c>
      <c r="I667" t="s">
        <v>12262</v>
      </c>
      <c r="J667" t="s">
        <v>12263</v>
      </c>
      <c r="K667" t="s">
        <v>74</v>
      </c>
      <c r="L667" t="s">
        <v>74</v>
      </c>
      <c r="M667" t="s">
        <v>78</v>
      </c>
      <c r="N667" t="s">
        <v>79</v>
      </c>
      <c r="O667" t="s">
        <v>74</v>
      </c>
      <c r="P667" t="s">
        <v>74</v>
      </c>
      <c r="Q667" t="s">
        <v>74</v>
      </c>
      <c r="R667" t="s">
        <v>74</v>
      </c>
      <c r="S667" t="s">
        <v>74</v>
      </c>
      <c r="T667" t="s">
        <v>74</v>
      </c>
      <c r="U667" t="s">
        <v>74</v>
      </c>
      <c r="V667" t="s">
        <v>74</v>
      </c>
      <c r="W667" t="s">
        <v>12264</v>
      </c>
      <c r="X667" t="s">
        <v>12265</v>
      </c>
      <c r="Y667" t="s">
        <v>12266</v>
      </c>
      <c r="Z667" t="s">
        <v>12267</v>
      </c>
      <c r="AA667" t="s">
        <v>12268</v>
      </c>
      <c r="AB667" t="s">
        <v>74</v>
      </c>
      <c r="AC667" t="s">
        <v>74</v>
      </c>
      <c r="AD667" t="s">
        <v>74</v>
      </c>
      <c r="AE667" t="s">
        <v>74</v>
      </c>
      <c r="AF667" t="s">
        <v>74</v>
      </c>
      <c r="AG667">
        <v>3</v>
      </c>
      <c r="AH667">
        <v>2</v>
      </c>
      <c r="AI667">
        <v>2</v>
      </c>
      <c r="AJ667">
        <v>0</v>
      </c>
      <c r="AK667">
        <v>0</v>
      </c>
      <c r="AL667" t="s">
        <v>12269</v>
      </c>
      <c r="AM667" t="s">
        <v>12270</v>
      </c>
      <c r="AN667" t="s">
        <v>12271</v>
      </c>
      <c r="AO667" t="s">
        <v>12272</v>
      </c>
      <c r="AP667" t="s">
        <v>12273</v>
      </c>
      <c r="AQ667" t="s">
        <v>74</v>
      </c>
      <c r="AR667" t="s">
        <v>12274</v>
      </c>
      <c r="AS667" t="s">
        <v>12275</v>
      </c>
      <c r="AT667" t="s">
        <v>74</v>
      </c>
      <c r="AU667">
        <v>2010</v>
      </c>
      <c r="AV667">
        <v>32</v>
      </c>
      <c r="AW667">
        <v>4</v>
      </c>
      <c r="AX667" t="s">
        <v>74</v>
      </c>
      <c r="AY667" t="s">
        <v>74</v>
      </c>
      <c r="AZ667" t="s">
        <v>74</v>
      </c>
      <c r="BA667" t="s">
        <v>74</v>
      </c>
      <c r="BB667">
        <v>12</v>
      </c>
      <c r="BC667">
        <v>15</v>
      </c>
      <c r="BD667" t="s">
        <v>74</v>
      </c>
      <c r="BE667" t="s">
        <v>74</v>
      </c>
      <c r="BF667" t="s">
        <v>74</v>
      </c>
      <c r="BG667" t="s">
        <v>74</v>
      </c>
      <c r="BH667" t="s">
        <v>74</v>
      </c>
      <c r="BI667">
        <v>4</v>
      </c>
      <c r="BJ667" t="s">
        <v>507</v>
      </c>
      <c r="BK667" t="s">
        <v>1408</v>
      </c>
      <c r="BL667" t="s">
        <v>507</v>
      </c>
      <c r="BM667" t="s">
        <v>12276</v>
      </c>
      <c r="BN667" t="s">
        <v>74</v>
      </c>
      <c r="BO667" t="s">
        <v>74</v>
      </c>
      <c r="BP667" t="s">
        <v>74</v>
      </c>
      <c r="BQ667" t="s">
        <v>74</v>
      </c>
      <c r="BR667" t="s">
        <v>105</v>
      </c>
      <c r="BS667" t="s">
        <v>12277</v>
      </c>
      <c r="BT667" t="str">
        <f>HYPERLINK("https%3A%2F%2Fwww.webofscience.com%2Fwos%2Fwoscc%2Ffull-record%2FWOS:000439596100005","View Full Record in Web of Science")</f>
        <v>View Full Record in Web of Science</v>
      </c>
    </row>
    <row r="668" spans="1:72" x14ac:dyDescent="0.15">
      <c r="A668" t="s">
        <v>72</v>
      </c>
      <c r="B668" t="s">
        <v>12278</v>
      </c>
      <c r="C668" t="s">
        <v>74</v>
      </c>
      <c r="D668" t="s">
        <v>74</v>
      </c>
      <c r="E668" t="s">
        <v>74</v>
      </c>
      <c r="F668" t="s">
        <v>12279</v>
      </c>
      <c r="G668" t="s">
        <v>74</v>
      </c>
      <c r="H668" t="s">
        <v>74</v>
      </c>
      <c r="I668" t="s">
        <v>12280</v>
      </c>
      <c r="J668" t="s">
        <v>12263</v>
      </c>
      <c r="K668" t="s">
        <v>74</v>
      </c>
      <c r="L668" t="s">
        <v>74</v>
      </c>
      <c r="M668" t="s">
        <v>7744</v>
      </c>
      <c r="N668" t="s">
        <v>79</v>
      </c>
      <c r="O668" t="s">
        <v>74</v>
      </c>
      <c r="P668" t="s">
        <v>74</v>
      </c>
      <c r="Q668" t="s">
        <v>74</v>
      </c>
      <c r="R668" t="s">
        <v>74</v>
      </c>
      <c r="S668" t="s">
        <v>74</v>
      </c>
      <c r="T668" t="s">
        <v>74</v>
      </c>
      <c r="U668" t="s">
        <v>74</v>
      </c>
      <c r="V668" t="s">
        <v>12281</v>
      </c>
      <c r="W668" t="s">
        <v>12282</v>
      </c>
      <c r="X668" t="s">
        <v>12283</v>
      </c>
      <c r="Y668" t="s">
        <v>12284</v>
      </c>
      <c r="Z668" t="s">
        <v>74</v>
      </c>
      <c r="AA668" t="s">
        <v>74</v>
      </c>
      <c r="AB668" t="s">
        <v>74</v>
      </c>
      <c r="AC668" t="s">
        <v>74</v>
      </c>
      <c r="AD668" t="s">
        <v>74</v>
      </c>
      <c r="AE668" t="s">
        <v>74</v>
      </c>
      <c r="AF668" t="s">
        <v>74</v>
      </c>
      <c r="AG668">
        <v>8</v>
      </c>
      <c r="AH668">
        <v>1</v>
      </c>
      <c r="AI668">
        <v>1</v>
      </c>
      <c r="AJ668">
        <v>0</v>
      </c>
      <c r="AK668">
        <v>0</v>
      </c>
      <c r="AL668" t="s">
        <v>12269</v>
      </c>
      <c r="AM668" t="s">
        <v>12270</v>
      </c>
      <c r="AN668" t="s">
        <v>12271</v>
      </c>
      <c r="AO668" t="s">
        <v>12272</v>
      </c>
      <c r="AP668" t="s">
        <v>12273</v>
      </c>
      <c r="AQ668" t="s">
        <v>74</v>
      </c>
      <c r="AR668" t="s">
        <v>12274</v>
      </c>
      <c r="AS668" t="s">
        <v>12275</v>
      </c>
      <c r="AT668" t="s">
        <v>74</v>
      </c>
      <c r="AU668">
        <v>2010</v>
      </c>
      <c r="AV668">
        <v>32</v>
      </c>
      <c r="AW668">
        <v>1</v>
      </c>
      <c r="AX668" t="s">
        <v>74</v>
      </c>
      <c r="AY668" t="s">
        <v>74</v>
      </c>
      <c r="AZ668" t="s">
        <v>74</v>
      </c>
      <c r="BA668" t="s">
        <v>74</v>
      </c>
      <c r="BB668">
        <v>92</v>
      </c>
      <c r="BC668">
        <v>106</v>
      </c>
      <c r="BD668" t="s">
        <v>74</v>
      </c>
      <c r="BE668" t="s">
        <v>74</v>
      </c>
      <c r="BF668" t="s">
        <v>74</v>
      </c>
      <c r="BG668" t="s">
        <v>74</v>
      </c>
      <c r="BH668" t="s">
        <v>74</v>
      </c>
      <c r="BI668">
        <v>15</v>
      </c>
      <c r="BJ668" t="s">
        <v>507</v>
      </c>
      <c r="BK668" t="s">
        <v>1408</v>
      </c>
      <c r="BL668" t="s">
        <v>507</v>
      </c>
      <c r="BM668" t="s">
        <v>12285</v>
      </c>
      <c r="BN668" t="s">
        <v>74</v>
      </c>
      <c r="BO668" t="s">
        <v>74</v>
      </c>
      <c r="BP668" t="s">
        <v>74</v>
      </c>
      <c r="BQ668" t="s">
        <v>74</v>
      </c>
      <c r="BR668" t="s">
        <v>105</v>
      </c>
      <c r="BS668" t="s">
        <v>12286</v>
      </c>
      <c r="BT668" t="str">
        <f>HYPERLINK("https%3A%2F%2Fwww.webofscience.com%2Fwos%2Fwoscc%2Ffull-record%2FWOS:000439581600006","View Full Record in Web of Science")</f>
        <v>View Full Record in Web of Science</v>
      </c>
    </row>
    <row r="669" spans="1:72" x14ac:dyDescent="0.15">
      <c r="A669" t="s">
        <v>72</v>
      </c>
      <c r="B669" t="s">
        <v>12287</v>
      </c>
      <c r="C669" t="s">
        <v>74</v>
      </c>
      <c r="D669" t="s">
        <v>74</v>
      </c>
      <c r="E669" t="s">
        <v>74</v>
      </c>
      <c r="F669" t="s">
        <v>12288</v>
      </c>
      <c r="G669" t="s">
        <v>74</v>
      </c>
      <c r="H669" t="s">
        <v>74</v>
      </c>
      <c r="I669" t="s">
        <v>12289</v>
      </c>
      <c r="J669" t="s">
        <v>12290</v>
      </c>
      <c r="K669" t="s">
        <v>74</v>
      </c>
      <c r="L669" t="s">
        <v>74</v>
      </c>
      <c r="M669" t="s">
        <v>78</v>
      </c>
      <c r="N669" t="s">
        <v>79</v>
      </c>
      <c r="O669" t="s">
        <v>74</v>
      </c>
      <c r="P669" t="s">
        <v>74</v>
      </c>
      <c r="Q669" t="s">
        <v>74</v>
      </c>
      <c r="R669" t="s">
        <v>74</v>
      </c>
      <c r="S669" t="s">
        <v>74</v>
      </c>
      <c r="T669" t="s">
        <v>12291</v>
      </c>
      <c r="U669" t="s">
        <v>12292</v>
      </c>
      <c r="V669" t="s">
        <v>12293</v>
      </c>
      <c r="W669" t="s">
        <v>12294</v>
      </c>
      <c r="X669" t="s">
        <v>12295</v>
      </c>
      <c r="Y669" t="s">
        <v>12296</v>
      </c>
      <c r="Z669" t="s">
        <v>12297</v>
      </c>
      <c r="AA669" t="s">
        <v>74</v>
      </c>
      <c r="AB669" t="s">
        <v>12298</v>
      </c>
      <c r="AC669" t="s">
        <v>403</v>
      </c>
      <c r="AD669" t="s">
        <v>404</v>
      </c>
      <c r="AE669" t="s">
        <v>12299</v>
      </c>
      <c r="AF669" t="s">
        <v>74</v>
      </c>
      <c r="AG669">
        <v>52</v>
      </c>
      <c r="AH669">
        <v>16</v>
      </c>
      <c r="AI669">
        <v>16</v>
      </c>
      <c r="AJ669">
        <v>0</v>
      </c>
      <c r="AK669">
        <v>9</v>
      </c>
      <c r="AL669" t="s">
        <v>546</v>
      </c>
      <c r="AM669" t="s">
        <v>547</v>
      </c>
      <c r="AN669" t="s">
        <v>548</v>
      </c>
      <c r="AO669" t="s">
        <v>12300</v>
      </c>
      <c r="AP669" t="s">
        <v>12301</v>
      </c>
      <c r="AQ669" t="s">
        <v>74</v>
      </c>
      <c r="AR669" t="s">
        <v>12302</v>
      </c>
      <c r="AS669" t="s">
        <v>12303</v>
      </c>
      <c r="AT669" t="s">
        <v>74</v>
      </c>
      <c r="AU669">
        <v>2010</v>
      </c>
      <c r="AV669" t="s">
        <v>12304</v>
      </c>
      <c r="AW669">
        <v>1</v>
      </c>
      <c r="AX669" t="s">
        <v>74</v>
      </c>
      <c r="AY669" t="s">
        <v>74</v>
      </c>
      <c r="AZ669" t="s">
        <v>74</v>
      </c>
      <c r="BA669" t="s">
        <v>74</v>
      </c>
      <c r="BB669">
        <v>111</v>
      </c>
      <c r="BC669">
        <v>124</v>
      </c>
      <c r="BD669" t="s">
        <v>74</v>
      </c>
      <c r="BE669" t="s">
        <v>12305</v>
      </c>
      <c r="BF669" t="str">
        <f>HYPERLINK("http://dx.doi.org/10.1111/j.1468-0459.2010.00381.x","http://dx.doi.org/10.1111/j.1468-0459.2010.00381.x")</f>
        <v>http://dx.doi.org/10.1111/j.1468-0459.2010.00381.x</v>
      </c>
      <c r="BG669" t="s">
        <v>74</v>
      </c>
      <c r="BH669" t="s">
        <v>74</v>
      </c>
      <c r="BI669">
        <v>14</v>
      </c>
      <c r="BJ669" t="s">
        <v>2627</v>
      </c>
      <c r="BK669" t="s">
        <v>102</v>
      </c>
      <c r="BL669" t="s">
        <v>2628</v>
      </c>
      <c r="BM669" t="s">
        <v>12306</v>
      </c>
      <c r="BN669" t="s">
        <v>74</v>
      </c>
      <c r="BO669" t="s">
        <v>480</v>
      </c>
      <c r="BP669" t="s">
        <v>74</v>
      </c>
      <c r="BQ669" t="s">
        <v>74</v>
      </c>
      <c r="BR669" t="s">
        <v>105</v>
      </c>
      <c r="BS669" t="s">
        <v>12307</v>
      </c>
      <c r="BT669" t="str">
        <f>HYPERLINK("https%3A%2F%2Fwww.webofscience.com%2Fwos%2Fwoscc%2Ffull-record%2FWOS:000275096800009","View Full Record in Web of Science")</f>
        <v>View Full Record in Web of Science</v>
      </c>
    </row>
    <row r="670" spans="1:72" x14ac:dyDescent="0.15">
      <c r="A670" t="s">
        <v>72</v>
      </c>
      <c r="B670" t="s">
        <v>12308</v>
      </c>
      <c r="C670" t="s">
        <v>74</v>
      </c>
      <c r="D670" t="s">
        <v>74</v>
      </c>
      <c r="E670" t="s">
        <v>74</v>
      </c>
      <c r="F670" t="s">
        <v>12309</v>
      </c>
      <c r="G670" t="s">
        <v>74</v>
      </c>
      <c r="H670" t="s">
        <v>74</v>
      </c>
      <c r="I670" t="s">
        <v>12310</v>
      </c>
      <c r="J670" t="s">
        <v>12290</v>
      </c>
      <c r="K670" t="s">
        <v>74</v>
      </c>
      <c r="L670" t="s">
        <v>74</v>
      </c>
      <c r="M670" t="s">
        <v>78</v>
      </c>
      <c r="N670" t="s">
        <v>79</v>
      </c>
      <c r="O670" t="s">
        <v>74</v>
      </c>
      <c r="P670" t="s">
        <v>74</v>
      </c>
      <c r="Q670" t="s">
        <v>74</v>
      </c>
      <c r="R670" t="s">
        <v>74</v>
      </c>
      <c r="S670" t="s">
        <v>74</v>
      </c>
      <c r="T670" t="s">
        <v>12311</v>
      </c>
      <c r="U670" t="s">
        <v>12312</v>
      </c>
      <c r="V670" t="s">
        <v>12313</v>
      </c>
      <c r="W670" t="s">
        <v>12314</v>
      </c>
      <c r="X670" t="s">
        <v>8444</v>
      </c>
      <c r="Y670" t="s">
        <v>12315</v>
      </c>
      <c r="Z670" t="s">
        <v>12316</v>
      </c>
      <c r="AA670" t="s">
        <v>12317</v>
      </c>
      <c r="AB670" t="s">
        <v>12318</v>
      </c>
      <c r="AC670" t="s">
        <v>12319</v>
      </c>
      <c r="AD670" t="s">
        <v>12320</v>
      </c>
      <c r="AE670" t="s">
        <v>12321</v>
      </c>
      <c r="AF670" t="s">
        <v>74</v>
      </c>
      <c r="AG670">
        <v>57</v>
      </c>
      <c r="AH670">
        <v>22</v>
      </c>
      <c r="AI670">
        <v>22</v>
      </c>
      <c r="AJ670">
        <v>0</v>
      </c>
      <c r="AK670">
        <v>13</v>
      </c>
      <c r="AL670" t="s">
        <v>2312</v>
      </c>
      <c r="AM670" t="s">
        <v>1655</v>
      </c>
      <c r="AN670" t="s">
        <v>1656</v>
      </c>
      <c r="AO670" t="s">
        <v>12300</v>
      </c>
      <c r="AP670" t="s">
        <v>74</v>
      </c>
      <c r="AQ670" t="s">
        <v>74</v>
      </c>
      <c r="AR670" t="s">
        <v>12302</v>
      </c>
      <c r="AS670" t="s">
        <v>12303</v>
      </c>
      <c r="AT670" t="s">
        <v>74</v>
      </c>
      <c r="AU670">
        <v>2010</v>
      </c>
      <c r="AV670" t="s">
        <v>12304</v>
      </c>
      <c r="AW670">
        <v>1</v>
      </c>
      <c r="AX670" t="s">
        <v>74</v>
      </c>
      <c r="AY670" t="s">
        <v>74</v>
      </c>
      <c r="AZ670" t="s">
        <v>74</v>
      </c>
      <c r="BA670" t="s">
        <v>74</v>
      </c>
      <c r="BB670">
        <v>125</v>
      </c>
      <c r="BC670">
        <v>139</v>
      </c>
      <c r="BD670" t="s">
        <v>74</v>
      </c>
      <c r="BE670" t="s">
        <v>12322</v>
      </c>
      <c r="BF670" t="str">
        <f>HYPERLINK("http://dx.doi.org/10.1111/j.1468-0459.2010.00382.x","http://dx.doi.org/10.1111/j.1468-0459.2010.00382.x")</f>
        <v>http://dx.doi.org/10.1111/j.1468-0459.2010.00382.x</v>
      </c>
      <c r="BG670" t="s">
        <v>74</v>
      </c>
      <c r="BH670" t="s">
        <v>74</v>
      </c>
      <c r="BI670">
        <v>15</v>
      </c>
      <c r="BJ670" t="s">
        <v>2627</v>
      </c>
      <c r="BK670" t="s">
        <v>102</v>
      </c>
      <c r="BL670" t="s">
        <v>2628</v>
      </c>
      <c r="BM670" t="s">
        <v>12306</v>
      </c>
      <c r="BN670" t="s">
        <v>74</v>
      </c>
      <c r="BO670" t="s">
        <v>74</v>
      </c>
      <c r="BP670" t="s">
        <v>74</v>
      </c>
      <c r="BQ670" t="s">
        <v>74</v>
      </c>
      <c r="BR670" t="s">
        <v>105</v>
      </c>
      <c r="BS670" t="s">
        <v>12323</v>
      </c>
      <c r="BT670" t="str">
        <f>HYPERLINK("https%3A%2F%2Fwww.webofscience.com%2Fwos%2Fwoscc%2Ffull-record%2FWOS:000275096800010","View Full Record in Web of Science")</f>
        <v>View Full Record in Web of Science</v>
      </c>
    </row>
    <row r="671" spans="1:72" x14ac:dyDescent="0.15">
      <c r="A671" t="s">
        <v>72</v>
      </c>
      <c r="B671" t="s">
        <v>12324</v>
      </c>
      <c r="C671" t="s">
        <v>74</v>
      </c>
      <c r="D671" t="s">
        <v>74</v>
      </c>
      <c r="E671" t="s">
        <v>74</v>
      </c>
      <c r="F671" t="s">
        <v>12325</v>
      </c>
      <c r="G671" t="s">
        <v>74</v>
      </c>
      <c r="H671" t="s">
        <v>74</v>
      </c>
      <c r="I671" t="s">
        <v>12326</v>
      </c>
      <c r="J671" t="s">
        <v>12327</v>
      </c>
      <c r="K671" t="s">
        <v>74</v>
      </c>
      <c r="L671" t="s">
        <v>74</v>
      </c>
      <c r="M671" t="s">
        <v>78</v>
      </c>
      <c r="N671" t="s">
        <v>79</v>
      </c>
      <c r="O671" t="s">
        <v>74</v>
      </c>
      <c r="P671" t="s">
        <v>74</v>
      </c>
      <c r="Q671" t="s">
        <v>74</v>
      </c>
      <c r="R671" t="s">
        <v>74</v>
      </c>
      <c r="S671" t="s">
        <v>74</v>
      </c>
      <c r="T671" t="s">
        <v>12328</v>
      </c>
      <c r="U671" t="s">
        <v>12329</v>
      </c>
      <c r="V671" t="s">
        <v>12330</v>
      </c>
      <c r="W671" t="s">
        <v>12331</v>
      </c>
      <c r="X671" t="s">
        <v>12332</v>
      </c>
      <c r="Y671" t="s">
        <v>12333</v>
      </c>
      <c r="Z671" t="s">
        <v>12334</v>
      </c>
      <c r="AA671" t="s">
        <v>12335</v>
      </c>
      <c r="AB671" t="s">
        <v>12336</v>
      </c>
      <c r="AC671" t="s">
        <v>12337</v>
      </c>
      <c r="AD671" t="s">
        <v>12338</v>
      </c>
      <c r="AE671" t="s">
        <v>12339</v>
      </c>
      <c r="AF671" t="s">
        <v>74</v>
      </c>
      <c r="AG671">
        <v>27</v>
      </c>
      <c r="AH671">
        <v>22</v>
      </c>
      <c r="AI671">
        <v>25</v>
      </c>
      <c r="AJ671">
        <v>8</v>
      </c>
      <c r="AK671">
        <v>57</v>
      </c>
      <c r="AL671" t="s">
        <v>10775</v>
      </c>
      <c r="AM671" t="s">
        <v>10776</v>
      </c>
      <c r="AN671" t="s">
        <v>12340</v>
      </c>
      <c r="AO671" t="s">
        <v>12341</v>
      </c>
      <c r="AP671" t="s">
        <v>74</v>
      </c>
      <c r="AQ671" t="s">
        <v>74</v>
      </c>
      <c r="AR671" t="s">
        <v>12342</v>
      </c>
      <c r="AS671" t="s">
        <v>12343</v>
      </c>
      <c r="AT671" t="s">
        <v>74</v>
      </c>
      <c r="AU671">
        <v>2010</v>
      </c>
      <c r="AV671">
        <v>27</v>
      </c>
      <c r="AW671">
        <v>5</v>
      </c>
      <c r="AX671" t="s">
        <v>74</v>
      </c>
      <c r="AY671" t="s">
        <v>74</v>
      </c>
      <c r="AZ671" t="s">
        <v>74</v>
      </c>
      <c r="BA671" t="s">
        <v>74</v>
      </c>
      <c r="BB671">
        <v>400</v>
      </c>
      <c r="BC671">
        <v>408</v>
      </c>
      <c r="BD671" t="s">
        <v>12344</v>
      </c>
      <c r="BE671" t="s">
        <v>12345</v>
      </c>
      <c r="BF671" t="str">
        <f>HYPERLINK("http://dx.doi.org/10.1080/01490450903480269","http://dx.doi.org/10.1080/01490450903480269")</f>
        <v>http://dx.doi.org/10.1080/01490450903480269</v>
      </c>
      <c r="BG671" t="s">
        <v>74</v>
      </c>
      <c r="BH671" t="s">
        <v>74</v>
      </c>
      <c r="BI671">
        <v>9</v>
      </c>
      <c r="BJ671" t="s">
        <v>820</v>
      </c>
      <c r="BK671" t="s">
        <v>102</v>
      </c>
      <c r="BL671" t="s">
        <v>821</v>
      </c>
      <c r="BM671" t="s">
        <v>12346</v>
      </c>
      <c r="BN671" t="s">
        <v>74</v>
      </c>
      <c r="BO671" t="s">
        <v>74</v>
      </c>
      <c r="BP671" t="s">
        <v>74</v>
      </c>
      <c r="BQ671" t="s">
        <v>74</v>
      </c>
      <c r="BR671" t="s">
        <v>105</v>
      </c>
      <c r="BS671" t="s">
        <v>12347</v>
      </c>
      <c r="BT671" t="str">
        <f>HYPERLINK("https%3A%2F%2Fwww.webofscience.com%2Fwos%2Fwoscc%2Ffull-record%2FWOS:000278663400004","View Full Record in Web of Science")</f>
        <v>View Full Record in Web of Science</v>
      </c>
    </row>
    <row r="672" spans="1:72" x14ac:dyDescent="0.15">
      <c r="A672" t="s">
        <v>8563</v>
      </c>
      <c r="B672" t="s">
        <v>12348</v>
      </c>
      <c r="C672" t="s">
        <v>74</v>
      </c>
      <c r="D672" t="s">
        <v>12349</v>
      </c>
      <c r="E672" t="s">
        <v>74</v>
      </c>
      <c r="F672" t="s">
        <v>12350</v>
      </c>
      <c r="G672" t="s">
        <v>74</v>
      </c>
      <c r="H672" t="s">
        <v>74</v>
      </c>
      <c r="I672" t="s">
        <v>12351</v>
      </c>
      <c r="J672" t="s">
        <v>12352</v>
      </c>
      <c r="K672" t="s">
        <v>74</v>
      </c>
      <c r="L672" t="s">
        <v>74</v>
      </c>
      <c r="M672" t="s">
        <v>78</v>
      </c>
      <c r="N672" t="s">
        <v>8859</v>
      </c>
      <c r="O672" t="s">
        <v>74</v>
      </c>
      <c r="P672" t="s">
        <v>74</v>
      </c>
      <c r="Q672" t="s">
        <v>74</v>
      </c>
      <c r="R672" t="s">
        <v>74</v>
      </c>
      <c r="S672" t="s">
        <v>74</v>
      </c>
      <c r="T672" t="s">
        <v>12353</v>
      </c>
      <c r="U672" t="s">
        <v>12354</v>
      </c>
      <c r="V672" t="s">
        <v>12355</v>
      </c>
      <c r="W672" t="s">
        <v>12356</v>
      </c>
      <c r="X672" t="s">
        <v>12357</v>
      </c>
      <c r="Y672" t="s">
        <v>12358</v>
      </c>
      <c r="Z672" t="s">
        <v>74</v>
      </c>
      <c r="AA672" t="s">
        <v>74</v>
      </c>
      <c r="AB672" t="s">
        <v>74</v>
      </c>
      <c r="AC672" t="s">
        <v>12359</v>
      </c>
      <c r="AD672" t="s">
        <v>11346</v>
      </c>
      <c r="AE672" t="s">
        <v>74</v>
      </c>
      <c r="AF672" t="s">
        <v>74</v>
      </c>
      <c r="AG672">
        <v>27</v>
      </c>
      <c r="AH672">
        <v>1</v>
      </c>
      <c r="AI672">
        <v>1</v>
      </c>
      <c r="AJ672">
        <v>0</v>
      </c>
      <c r="AK672">
        <v>1</v>
      </c>
      <c r="AL672" t="s">
        <v>8866</v>
      </c>
      <c r="AM672" t="s">
        <v>6462</v>
      </c>
      <c r="AN672" t="s">
        <v>8867</v>
      </c>
      <c r="AO672" t="s">
        <v>74</v>
      </c>
      <c r="AP672" t="s">
        <v>74</v>
      </c>
      <c r="AQ672" t="s">
        <v>12360</v>
      </c>
      <c r="AR672" t="s">
        <v>74</v>
      </c>
      <c r="AS672" t="s">
        <v>74</v>
      </c>
      <c r="AT672" t="s">
        <v>74</v>
      </c>
      <c r="AU672">
        <v>2010</v>
      </c>
      <c r="AV672" t="s">
        <v>74</v>
      </c>
      <c r="AW672" t="s">
        <v>74</v>
      </c>
      <c r="AX672" t="s">
        <v>74</v>
      </c>
      <c r="AY672" t="s">
        <v>74</v>
      </c>
      <c r="AZ672" t="s">
        <v>74</v>
      </c>
      <c r="BA672" t="s">
        <v>74</v>
      </c>
      <c r="BB672">
        <v>123</v>
      </c>
      <c r="BC672">
        <v>131</v>
      </c>
      <c r="BD672" t="s">
        <v>74</v>
      </c>
      <c r="BE672" t="s">
        <v>12361</v>
      </c>
      <c r="BF672" t="str">
        <f>HYPERLINK("http://dx.doi.org/10.1007/978-90-481-3055-9_13","http://dx.doi.org/10.1007/978-90-481-3055-9_13")</f>
        <v>http://dx.doi.org/10.1007/978-90-481-3055-9_13</v>
      </c>
      <c r="BG672" t="s">
        <v>12362</v>
      </c>
      <c r="BH672" t="s">
        <v>74</v>
      </c>
      <c r="BI672">
        <v>9</v>
      </c>
      <c r="BJ672" t="s">
        <v>2881</v>
      </c>
      <c r="BK672" t="s">
        <v>8579</v>
      </c>
      <c r="BL672" t="s">
        <v>2628</v>
      </c>
      <c r="BM672" t="s">
        <v>12363</v>
      </c>
      <c r="BN672" t="s">
        <v>74</v>
      </c>
      <c r="BO672" t="s">
        <v>74</v>
      </c>
      <c r="BP672" t="s">
        <v>74</v>
      </c>
      <c r="BQ672" t="s">
        <v>74</v>
      </c>
      <c r="BR672" t="s">
        <v>105</v>
      </c>
      <c r="BS672" t="s">
        <v>12364</v>
      </c>
      <c r="BT672" t="str">
        <f>HYPERLINK("https%3A%2F%2Fwww.webofscience.com%2Fwos%2Fwoscc%2Ffull-record%2FWOS:000278086500013","View Full Record in Web of Science")</f>
        <v>View Full Record in Web of Science</v>
      </c>
    </row>
    <row r="673" spans="1:72" x14ac:dyDescent="0.15">
      <c r="A673" t="s">
        <v>72</v>
      </c>
      <c r="B673" t="s">
        <v>12365</v>
      </c>
      <c r="C673" t="s">
        <v>74</v>
      </c>
      <c r="D673" t="s">
        <v>74</v>
      </c>
      <c r="E673" t="s">
        <v>74</v>
      </c>
      <c r="F673" t="s">
        <v>12366</v>
      </c>
      <c r="G673" t="s">
        <v>74</v>
      </c>
      <c r="H673" t="s">
        <v>74</v>
      </c>
      <c r="I673" t="s">
        <v>12367</v>
      </c>
      <c r="J673" t="s">
        <v>12368</v>
      </c>
      <c r="K673" t="s">
        <v>74</v>
      </c>
      <c r="L673" t="s">
        <v>74</v>
      </c>
      <c r="M673" t="s">
        <v>78</v>
      </c>
      <c r="N673" t="s">
        <v>79</v>
      </c>
      <c r="O673" t="s">
        <v>74</v>
      </c>
      <c r="P673" t="s">
        <v>74</v>
      </c>
      <c r="Q673" t="s">
        <v>74</v>
      </c>
      <c r="R673" t="s">
        <v>74</v>
      </c>
      <c r="S673" t="s">
        <v>74</v>
      </c>
      <c r="T673" t="s">
        <v>74</v>
      </c>
      <c r="U673" t="s">
        <v>12369</v>
      </c>
      <c r="V673" t="s">
        <v>12370</v>
      </c>
      <c r="W673" t="s">
        <v>12371</v>
      </c>
      <c r="X673" t="s">
        <v>12372</v>
      </c>
      <c r="Y673" t="s">
        <v>12373</v>
      </c>
      <c r="Z673" t="s">
        <v>12374</v>
      </c>
      <c r="AA673" t="s">
        <v>12375</v>
      </c>
      <c r="AB673" t="s">
        <v>12376</v>
      </c>
      <c r="AC673" t="s">
        <v>12377</v>
      </c>
      <c r="AD673" t="s">
        <v>12378</v>
      </c>
      <c r="AE673" t="s">
        <v>12379</v>
      </c>
      <c r="AF673" t="s">
        <v>74</v>
      </c>
      <c r="AG673">
        <v>78</v>
      </c>
      <c r="AH673">
        <v>142</v>
      </c>
      <c r="AI673">
        <v>152</v>
      </c>
      <c r="AJ673">
        <v>2</v>
      </c>
      <c r="AK673">
        <v>27</v>
      </c>
      <c r="AL673" t="s">
        <v>8999</v>
      </c>
      <c r="AM673" t="s">
        <v>9000</v>
      </c>
      <c r="AN673" t="s">
        <v>9001</v>
      </c>
      <c r="AO673" t="s">
        <v>12380</v>
      </c>
      <c r="AP673" t="s">
        <v>12381</v>
      </c>
      <c r="AQ673" t="s">
        <v>74</v>
      </c>
      <c r="AR673" t="s">
        <v>12382</v>
      </c>
      <c r="AS673" t="s">
        <v>12383</v>
      </c>
      <c r="AT673" t="s">
        <v>74</v>
      </c>
      <c r="AU673">
        <v>2010</v>
      </c>
      <c r="AV673">
        <v>3</v>
      </c>
      <c r="AW673">
        <v>1</v>
      </c>
      <c r="AX673" t="s">
        <v>74</v>
      </c>
      <c r="AY673" t="s">
        <v>74</v>
      </c>
      <c r="AZ673" t="s">
        <v>74</v>
      </c>
      <c r="BA673" t="s">
        <v>74</v>
      </c>
      <c r="BB673">
        <v>227</v>
      </c>
      <c r="BC673">
        <v>242</v>
      </c>
      <c r="BD673" t="s">
        <v>74</v>
      </c>
      <c r="BE673" t="s">
        <v>12384</v>
      </c>
      <c r="BF673" t="str">
        <f>HYPERLINK("http://dx.doi.org/10.5194/gmd-3-227-2010","http://dx.doi.org/10.5194/gmd-3-227-2010")</f>
        <v>http://dx.doi.org/10.5194/gmd-3-227-2010</v>
      </c>
      <c r="BG673" t="s">
        <v>74</v>
      </c>
      <c r="BH673" t="s">
        <v>74</v>
      </c>
      <c r="BI673">
        <v>16</v>
      </c>
      <c r="BJ673" t="s">
        <v>913</v>
      </c>
      <c r="BK673" t="s">
        <v>102</v>
      </c>
      <c r="BL673" t="s">
        <v>914</v>
      </c>
      <c r="BM673" t="s">
        <v>12385</v>
      </c>
      <c r="BN673" t="s">
        <v>74</v>
      </c>
      <c r="BO673" t="s">
        <v>10058</v>
      </c>
      <c r="BP673" t="s">
        <v>74</v>
      </c>
      <c r="BQ673" t="s">
        <v>74</v>
      </c>
      <c r="BR673" t="s">
        <v>105</v>
      </c>
      <c r="BS673" t="s">
        <v>12386</v>
      </c>
      <c r="BT673" t="str">
        <f>HYPERLINK("https%3A%2F%2Fwww.webofscience.com%2Fwos%2Fwoscc%2Ffull-record%2FWOS:000285964800012","View Full Record in Web of Science")</f>
        <v>View Full Record in Web of Science</v>
      </c>
    </row>
    <row r="674" spans="1:72" x14ac:dyDescent="0.15">
      <c r="A674" t="s">
        <v>72</v>
      </c>
      <c r="B674" t="s">
        <v>12387</v>
      </c>
      <c r="C674" t="s">
        <v>74</v>
      </c>
      <c r="D674" t="s">
        <v>74</v>
      </c>
      <c r="E674" t="s">
        <v>74</v>
      </c>
      <c r="F674" t="s">
        <v>12388</v>
      </c>
      <c r="G674" t="s">
        <v>74</v>
      </c>
      <c r="H674" t="s">
        <v>74</v>
      </c>
      <c r="I674" t="s">
        <v>12389</v>
      </c>
      <c r="J674" t="s">
        <v>12368</v>
      </c>
      <c r="K674" t="s">
        <v>74</v>
      </c>
      <c r="L674" t="s">
        <v>74</v>
      </c>
      <c r="M674" t="s">
        <v>78</v>
      </c>
      <c r="N674" t="s">
        <v>79</v>
      </c>
      <c r="O674" t="s">
        <v>74</v>
      </c>
      <c r="P674" t="s">
        <v>74</v>
      </c>
      <c r="Q674" t="s">
        <v>74</v>
      </c>
      <c r="R674" t="s">
        <v>74</v>
      </c>
      <c r="S674" t="s">
        <v>74</v>
      </c>
      <c r="T674" t="s">
        <v>74</v>
      </c>
      <c r="U674" t="s">
        <v>12390</v>
      </c>
      <c r="V674" t="s">
        <v>12391</v>
      </c>
      <c r="W674" t="s">
        <v>12392</v>
      </c>
      <c r="X674" t="s">
        <v>12393</v>
      </c>
      <c r="Y674" t="s">
        <v>12394</v>
      </c>
      <c r="Z674" t="s">
        <v>12395</v>
      </c>
      <c r="AA674" t="s">
        <v>12396</v>
      </c>
      <c r="AB674" t="s">
        <v>12397</v>
      </c>
      <c r="AC674" t="s">
        <v>12398</v>
      </c>
      <c r="AD674" t="s">
        <v>12399</v>
      </c>
      <c r="AE674" t="s">
        <v>12400</v>
      </c>
      <c r="AF674" t="s">
        <v>74</v>
      </c>
      <c r="AG674">
        <v>163</v>
      </c>
      <c r="AH674">
        <v>240</v>
      </c>
      <c r="AI674">
        <v>249</v>
      </c>
      <c r="AJ674">
        <v>2</v>
      </c>
      <c r="AK674">
        <v>39</v>
      </c>
      <c r="AL674" t="s">
        <v>8999</v>
      </c>
      <c r="AM674" t="s">
        <v>9000</v>
      </c>
      <c r="AN674" t="s">
        <v>9001</v>
      </c>
      <c r="AO674" t="s">
        <v>12380</v>
      </c>
      <c r="AP674" t="s">
        <v>12381</v>
      </c>
      <c r="AQ674" t="s">
        <v>74</v>
      </c>
      <c r="AR674" t="s">
        <v>12382</v>
      </c>
      <c r="AS674" t="s">
        <v>12383</v>
      </c>
      <c r="AT674" t="s">
        <v>74</v>
      </c>
      <c r="AU674">
        <v>2010</v>
      </c>
      <c r="AV674">
        <v>3</v>
      </c>
      <c r="AW674">
        <v>2</v>
      </c>
      <c r="AX674" t="s">
        <v>74</v>
      </c>
      <c r="AY674" t="s">
        <v>74</v>
      </c>
      <c r="AZ674" t="s">
        <v>74</v>
      </c>
      <c r="BA674" t="s">
        <v>74</v>
      </c>
      <c r="BB674">
        <v>603</v>
      </c>
      <c r="BC674">
        <v>633</v>
      </c>
      <c r="BD674" t="s">
        <v>74</v>
      </c>
      <c r="BE674" t="s">
        <v>12401</v>
      </c>
      <c r="BF674" t="str">
        <f>HYPERLINK("http://dx.doi.org/10.5194/gmd-3-603-2010","http://dx.doi.org/10.5194/gmd-3-603-2010")</f>
        <v>http://dx.doi.org/10.5194/gmd-3-603-2010</v>
      </c>
      <c r="BG674" t="s">
        <v>74</v>
      </c>
      <c r="BH674" t="s">
        <v>74</v>
      </c>
      <c r="BI674">
        <v>31</v>
      </c>
      <c r="BJ674" t="s">
        <v>913</v>
      </c>
      <c r="BK674" t="s">
        <v>102</v>
      </c>
      <c r="BL674" t="s">
        <v>914</v>
      </c>
      <c r="BM674" t="s">
        <v>12402</v>
      </c>
      <c r="BN674" t="s">
        <v>74</v>
      </c>
      <c r="BO674" t="s">
        <v>5253</v>
      </c>
      <c r="BP674" t="s">
        <v>74</v>
      </c>
      <c r="BQ674" t="s">
        <v>74</v>
      </c>
      <c r="BR674" t="s">
        <v>105</v>
      </c>
      <c r="BS674" t="s">
        <v>12403</v>
      </c>
      <c r="BT674" t="str">
        <f>HYPERLINK("https%3A%2F%2Fwww.webofscience.com%2Fwos%2Fwoscc%2Ffull-record%2FWOS:000285965100015","View Full Record in Web of Science")</f>
        <v>View Full Record in Web of Science</v>
      </c>
    </row>
    <row r="675" spans="1:72" x14ac:dyDescent="0.15">
      <c r="A675" t="s">
        <v>8257</v>
      </c>
      <c r="B675" t="s">
        <v>12404</v>
      </c>
      <c r="C675" t="s">
        <v>74</v>
      </c>
      <c r="D675" t="s">
        <v>74</v>
      </c>
      <c r="E675" t="s">
        <v>12405</v>
      </c>
      <c r="F675" t="s">
        <v>12406</v>
      </c>
      <c r="G675" t="s">
        <v>74</v>
      </c>
      <c r="H675" t="s">
        <v>74</v>
      </c>
      <c r="I675" t="s">
        <v>12407</v>
      </c>
      <c r="J675" t="s">
        <v>12408</v>
      </c>
      <c r="K675" t="s">
        <v>12409</v>
      </c>
      <c r="L675" t="s">
        <v>74</v>
      </c>
      <c r="M675" t="s">
        <v>78</v>
      </c>
      <c r="N675" t="s">
        <v>8264</v>
      </c>
      <c r="O675" t="s">
        <v>12410</v>
      </c>
      <c r="P675" t="s">
        <v>12411</v>
      </c>
      <c r="Q675" t="s">
        <v>12125</v>
      </c>
      <c r="R675" t="s">
        <v>74</v>
      </c>
      <c r="S675" t="s">
        <v>74</v>
      </c>
      <c r="T675" t="s">
        <v>12412</v>
      </c>
      <c r="U675" t="s">
        <v>12413</v>
      </c>
      <c r="V675" t="s">
        <v>12414</v>
      </c>
      <c r="W675" t="s">
        <v>12415</v>
      </c>
      <c r="X675" t="s">
        <v>12416</v>
      </c>
      <c r="Y675" t="s">
        <v>12417</v>
      </c>
      <c r="Z675" t="s">
        <v>12418</v>
      </c>
      <c r="AA675" t="s">
        <v>12419</v>
      </c>
      <c r="AB675" t="s">
        <v>12420</v>
      </c>
      <c r="AC675" t="s">
        <v>74</v>
      </c>
      <c r="AD675" t="s">
        <v>74</v>
      </c>
      <c r="AE675" t="s">
        <v>74</v>
      </c>
      <c r="AF675" t="s">
        <v>74</v>
      </c>
      <c r="AG675">
        <v>17</v>
      </c>
      <c r="AH675">
        <v>0</v>
      </c>
      <c r="AI675">
        <v>0</v>
      </c>
      <c r="AJ675">
        <v>1</v>
      </c>
      <c r="AK675">
        <v>1</v>
      </c>
      <c r="AL675" t="s">
        <v>8999</v>
      </c>
      <c r="AM675" t="s">
        <v>9000</v>
      </c>
      <c r="AN675" t="s">
        <v>12421</v>
      </c>
      <c r="AO675" t="s">
        <v>12422</v>
      </c>
      <c r="AP675" t="s">
        <v>74</v>
      </c>
      <c r="AQ675" t="s">
        <v>74</v>
      </c>
      <c r="AR675" t="s">
        <v>12423</v>
      </c>
      <c r="AS675" t="s">
        <v>74</v>
      </c>
      <c r="AT675" t="s">
        <v>74</v>
      </c>
      <c r="AU675">
        <v>2010</v>
      </c>
      <c r="AV675">
        <v>38</v>
      </c>
      <c r="AW675" t="s">
        <v>74</v>
      </c>
      <c r="AX675">
        <v>4</v>
      </c>
      <c r="AY675" t="s">
        <v>74</v>
      </c>
      <c r="AZ675" t="s">
        <v>74</v>
      </c>
      <c r="BA675" t="s">
        <v>74</v>
      </c>
      <c r="BB675" t="s">
        <v>74</v>
      </c>
      <c r="BC675" t="s">
        <v>74</v>
      </c>
      <c r="BD675" t="s">
        <v>74</v>
      </c>
      <c r="BE675" t="s">
        <v>74</v>
      </c>
      <c r="BF675" t="s">
        <v>74</v>
      </c>
      <c r="BG675" t="s">
        <v>74</v>
      </c>
      <c r="BH675" t="s">
        <v>74</v>
      </c>
      <c r="BI675">
        <v>7</v>
      </c>
      <c r="BJ675" t="s">
        <v>12424</v>
      </c>
      <c r="BK675" t="s">
        <v>8281</v>
      </c>
      <c r="BL675" t="s">
        <v>12425</v>
      </c>
      <c r="BM675" t="s">
        <v>12426</v>
      </c>
      <c r="BN675" t="s">
        <v>74</v>
      </c>
      <c r="BO675" t="s">
        <v>74</v>
      </c>
      <c r="BP675" t="s">
        <v>74</v>
      </c>
      <c r="BQ675" t="s">
        <v>74</v>
      </c>
      <c r="BR675" t="s">
        <v>105</v>
      </c>
      <c r="BS675" t="s">
        <v>12427</v>
      </c>
      <c r="BT675" t="str">
        <f>HYPERLINK("https%3A%2F%2Fwww.webofscience.com%2Fwos%2Fwoscc%2Ffull-record%2FWOS:000368436900044","View Full Record in Web of Science")</f>
        <v>View Full Record in Web of Science</v>
      </c>
    </row>
    <row r="676" spans="1:72" x14ac:dyDescent="0.15">
      <c r="A676" t="s">
        <v>8563</v>
      </c>
      <c r="B676" t="s">
        <v>12428</v>
      </c>
      <c r="C676" t="s">
        <v>74</v>
      </c>
      <c r="D676" t="s">
        <v>12429</v>
      </c>
      <c r="E676" t="s">
        <v>74</v>
      </c>
      <c r="F676" t="s">
        <v>12430</v>
      </c>
      <c r="G676" t="s">
        <v>74</v>
      </c>
      <c r="H676" t="s">
        <v>74</v>
      </c>
      <c r="I676" t="s">
        <v>12431</v>
      </c>
      <c r="J676" t="s">
        <v>12432</v>
      </c>
      <c r="K676" t="s">
        <v>74</v>
      </c>
      <c r="L676" t="s">
        <v>74</v>
      </c>
      <c r="M676" t="s">
        <v>78</v>
      </c>
      <c r="N676" t="s">
        <v>8859</v>
      </c>
      <c r="O676" t="s">
        <v>74</v>
      </c>
      <c r="P676" t="s">
        <v>74</v>
      </c>
      <c r="Q676" t="s">
        <v>74</v>
      </c>
      <c r="R676" t="s">
        <v>74</v>
      </c>
      <c r="S676" t="s">
        <v>74</v>
      </c>
      <c r="T676" t="s">
        <v>74</v>
      </c>
      <c r="U676" t="s">
        <v>12433</v>
      </c>
      <c r="V676" t="s">
        <v>74</v>
      </c>
      <c r="W676" t="s">
        <v>12434</v>
      </c>
      <c r="X676" t="s">
        <v>12435</v>
      </c>
      <c r="Y676" t="s">
        <v>12436</v>
      </c>
      <c r="Z676" t="s">
        <v>12437</v>
      </c>
      <c r="AA676" t="s">
        <v>12438</v>
      </c>
      <c r="AB676" t="s">
        <v>12439</v>
      </c>
      <c r="AC676" t="s">
        <v>74</v>
      </c>
      <c r="AD676" t="s">
        <v>74</v>
      </c>
      <c r="AE676" t="s">
        <v>74</v>
      </c>
      <c r="AF676" t="s">
        <v>74</v>
      </c>
      <c r="AG676">
        <v>215</v>
      </c>
      <c r="AH676">
        <v>17</v>
      </c>
      <c r="AI676">
        <v>18</v>
      </c>
      <c r="AJ676">
        <v>0</v>
      </c>
      <c r="AK676">
        <v>3</v>
      </c>
      <c r="AL676" t="s">
        <v>813</v>
      </c>
      <c r="AM676" t="s">
        <v>814</v>
      </c>
      <c r="AN676" t="s">
        <v>10693</v>
      </c>
      <c r="AO676" t="s">
        <v>74</v>
      </c>
      <c r="AP676" t="s">
        <v>74</v>
      </c>
      <c r="AQ676" t="s">
        <v>12440</v>
      </c>
      <c r="AR676" t="s">
        <v>74</v>
      </c>
      <c r="AS676" t="s">
        <v>74</v>
      </c>
      <c r="AT676" t="s">
        <v>74</v>
      </c>
      <c r="AU676">
        <v>2010</v>
      </c>
      <c r="AV676" t="s">
        <v>74</v>
      </c>
      <c r="AW676" t="s">
        <v>74</v>
      </c>
      <c r="AX676" t="s">
        <v>74</v>
      </c>
      <c r="AY676" t="s">
        <v>74</v>
      </c>
      <c r="AZ676" t="s">
        <v>74</v>
      </c>
      <c r="BA676" t="s">
        <v>74</v>
      </c>
      <c r="BB676">
        <v>54</v>
      </c>
      <c r="BC676">
        <v>124</v>
      </c>
      <c r="BD676" t="s">
        <v>74</v>
      </c>
      <c r="BE676" t="s">
        <v>74</v>
      </c>
      <c r="BF676" t="s">
        <v>74</v>
      </c>
      <c r="BG676" t="s">
        <v>12441</v>
      </c>
      <c r="BH676" t="s">
        <v>74</v>
      </c>
      <c r="BI676">
        <v>71</v>
      </c>
      <c r="BJ676" t="s">
        <v>973</v>
      </c>
      <c r="BK676" t="s">
        <v>8579</v>
      </c>
      <c r="BL676" t="s">
        <v>974</v>
      </c>
      <c r="BM676" t="s">
        <v>12442</v>
      </c>
      <c r="BN676" t="s">
        <v>74</v>
      </c>
      <c r="BO676" t="s">
        <v>74</v>
      </c>
      <c r="BP676" t="s">
        <v>74</v>
      </c>
      <c r="BQ676" t="s">
        <v>74</v>
      </c>
      <c r="BR676" t="s">
        <v>105</v>
      </c>
      <c r="BS676" t="s">
        <v>12443</v>
      </c>
      <c r="BT676" t="str">
        <f>HYPERLINK("https%3A%2F%2Fwww.webofscience.com%2Fwos%2Fwoscc%2Ffull-record%2FWOS:000274860400005","View Full Record in Web of Science")</f>
        <v>View Full Record in Web of Science</v>
      </c>
    </row>
    <row r="677" spans="1:72" x14ac:dyDescent="0.15">
      <c r="A677" t="s">
        <v>72</v>
      </c>
      <c r="B677" t="s">
        <v>12444</v>
      </c>
      <c r="C677" t="s">
        <v>74</v>
      </c>
      <c r="D677" t="s">
        <v>74</v>
      </c>
      <c r="E677" t="s">
        <v>74</v>
      </c>
      <c r="F677" t="s">
        <v>12445</v>
      </c>
      <c r="G677" t="s">
        <v>74</v>
      </c>
      <c r="H677" t="s">
        <v>74</v>
      </c>
      <c r="I677" t="s">
        <v>12446</v>
      </c>
      <c r="J677" t="s">
        <v>12447</v>
      </c>
      <c r="K677" t="s">
        <v>74</v>
      </c>
      <c r="L677" t="s">
        <v>74</v>
      </c>
      <c r="M677" t="s">
        <v>78</v>
      </c>
      <c r="N677" t="s">
        <v>79</v>
      </c>
      <c r="O677" t="s">
        <v>74</v>
      </c>
      <c r="P677" t="s">
        <v>74</v>
      </c>
      <c r="Q677" t="s">
        <v>74</v>
      </c>
      <c r="R677" t="s">
        <v>74</v>
      </c>
      <c r="S677" t="s">
        <v>74</v>
      </c>
      <c r="T677" t="s">
        <v>74</v>
      </c>
      <c r="U677" t="s">
        <v>12448</v>
      </c>
      <c r="V677" t="s">
        <v>12449</v>
      </c>
      <c r="W677" t="s">
        <v>12450</v>
      </c>
      <c r="X677" t="s">
        <v>12451</v>
      </c>
      <c r="Y677" t="s">
        <v>12452</v>
      </c>
      <c r="Z677" t="s">
        <v>74</v>
      </c>
      <c r="AA677" t="s">
        <v>74</v>
      </c>
      <c r="AB677" t="s">
        <v>74</v>
      </c>
      <c r="AC677" t="s">
        <v>74</v>
      </c>
      <c r="AD677" t="s">
        <v>74</v>
      </c>
      <c r="AE677" t="s">
        <v>74</v>
      </c>
      <c r="AF677" t="s">
        <v>74</v>
      </c>
      <c r="AG677">
        <v>16</v>
      </c>
      <c r="AH677">
        <v>33</v>
      </c>
      <c r="AI677">
        <v>39</v>
      </c>
      <c r="AJ677">
        <v>2</v>
      </c>
      <c r="AK677">
        <v>58</v>
      </c>
      <c r="AL677" t="s">
        <v>991</v>
      </c>
      <c r="AM677" t="s">
        <v>992</v>
      </c>
      <c r="AN677" t="s">
        <v>993</v>
      </c>
      <c r="AO677" t="s">
        <v>12453</v>
      </c>
      <c r="AP677" t="s">
        <v>12454</v>
      </c>
      <c r="AQ677" t="s">
        <v>74</v>
      </c>
      <c r="AR677" t="s">
        <v>12455</v>
      </c>
      <c r="AS677" t="s">
        <v>12456</v>
      </c>
      <c r="AT677" t="s">
        <v>8958</v>
      </c>
      <c r="AU677">
        <v>2010</v>
      </c>
      <c r="AV677">
        <v>1</v>
      </c>
      <c r="AW677">
        <v>1</v>
      </c>
      <c r="AX677" t="s">
        <v>74</v>
      </c>
      <c r="AY677" t="s">
        <v>74</v>
      </c>
      <c r="AZ677" t="s">
        <v>74</v>
      </c>
      <c r="BA677" t="s">
        <v>74</v>
      </c>
      <c r="BB677">
        <v>108</v>
      </c>
      <c r="BC677">
        <v>115</v>
      </c>
      <c r="BD677" t="s">
        <v>74</v>
      </c>
      <c r="BE677" t="s">
        <v>12457</v>
      </c>
      <c r="BF677" t="str">
        <f>HYPERLINK("http://dx.doi.org/10.1111/j.1758-5899.2009.00006.x","http://dx.doi.org/10.1111/j.1758-5899.2009.00006.x")</f>
        <v>http://dx.doi.org/10.1111/j.1758-5899.2009.00006.x</v>
      </c>
      <c r="BG677" t="s">
        <v>74</v>
      </c>
      <c r="BH677" t="s">
        <v>74</v>
      </c>
      <c r="BI677">
        <v>8</v>
      </c>
      <c r="BJ677" t="s">
        <v>12458</v>
      </c>
      <c r="BK677" t="s">
        <v>9388</v>
      </c>
      <c r="BL677" t="s">
        <v>12459</v>
      </c>
      <c r="BM677" t="s">
        <v>12460</v>
      </c>
      <c r="BN677" t="s">
        <v>74</v>
      </c>
      <c r="BO677" t="s">
        <v>104</v>
      </c>
      <c r="BP677" t="s">
        <v>74</v>
      </c>
      <c r="BQ677" t="s">
        <v>74</v>
      </c>
      <c r="BR677" t="s">
        <v>105</v>
      </c>
      <c r="BS677" t="s">
        <v>12461</v>
      </c>
      <c r="BT677" t="str">
        <f>HYPERLINK("https%3A%2F%2Fwww.webofscience.com%2Fwos%2Fwoscc%2Ffull-record%2FWOS:000208582500011","View Full Record in Web of Science")</f>
        <v>View Full Record in Web of Science</v>
      </c>
    </row>
    <row r="678" spans="1:72" x14ac:dyDescent="0.15">
      <c r="A678" t="s">
        <v>8563</v>
      </c>
      <c r="B678" t="s">
        <v>12462</v>
      </c>
      <c r="C678" t="s">
        <v>74</v>
      </c>
      <c r="D678" t="s">
        <v>12463</v>
      </c>
      <c r="E678" t="s">
        <v>74</v>
      </c>
      <c r="F678" t="s">
        <v>12464</v>
      </c>
      <c r="G678" t="s">
        <v>74</v>
      </c>
      <c r="H678" t="s">
        <v>74</v>
      </c>
      <c r="I678" t="s">
        <v>12465</v>
      </c>
      <c r="J678" t="s">
        <v>12466</v>
      </c>
      <c r="K678" t="s">
        <v>12467</v>
      </c>
      <c r="L678" t="s">
        <v>74</v>
      </c>
      <c r="M678" t="s">
        <v>78</v>
      </c>
      <c r="N678" t="s">
        <v>8859</v>
      </c>
      <c r="O678" t="s">
        <v>74</v>
      </c>
      <c r="P678" t="s">
        <v>74</v>
      </c>
      <c r="Q678" t="s">
        <v>74</v>
      </c>
      <c r="R678" t="s">
        <v>74</v>
      </c>
      <c r="S678" t="s">
        <v>74</v>
      </c>
      <c r="T678" t="s">
        <v>74</v>
      </c>
      <c r="U678" t="s">
        <v>74</v>
      </c>
      <c r="V678" t="s">
        <v>74</v>
      </c>
      <c r="W678" t="s">
        <v>12468</v>
      </c>
      <c r="X678" t="s">
        <v>12469</v>
      </c>
      <c r="Y678" t="s">
        <v>12470</v>
      </c>
      <c r="Z678" t="s">
        <v>74</v>
      </c>
      <c r="AA678" t="s">
        <v>74</v>
      </c>
      <c r="AB678" t="s">
        <v>74</v>
      </c>
      <c r="AC678" t="s">
        <v>74</v>
      </c>
      <c r="AD678" t="s">
        <v>74</v>
      </c>
      <c r="AE678" t="s">
        <v>74</v>
      </c>
      <c r="AF678" t="s">
        <v>74</v>
      </c>
      <c r="AG678">
        <v>41</v>
      </c>
      <c r="AH678">
        <v>6</v>
      </c>
      <c r="AI678">
        <v>8</v>
      </c>
      <c r="AJ678">
        <v>0</v>
      </c>
      <c r="AK678">
        <v>0</v>
      </c>
      <c r="AL678" t="s">
        <v>12471</v>
      </c>
      <c r="AM678" t="s">
        <v>12472</v>
      </c>
      <c r="AN678" t="s">
        <v>12473</v>
      </c>
      <c r="AO678" t="s">
        <v>74</v>
      </c>
      <c r="AP678" t="s">
        <v>74</v>
      </c>
      <c r="AQ678" t="s">
        <v>12474</v>
      </c>
      <c r="AR678" t="s">
        <v>12475</v>
      </c>
      <c r="AS678" t="s">
        <v>74</v>
      </c>
      <c r="AT678" t="s">
        <v>74</v>
      </c>
      <c r="AU678">
        <v>2010</v>
      </c>
      <c r="AV678" t="s">
        <v>74</v>
      </c>
      <c r="AW678" t="s">
        <v>74</v>
      </c>
      <c r="AX678" t="s">
        <v>74</v>
      </c>
      <c r="AY678" t="s">
        <v>74</v>
      </c>
      <c r="AZ678" t="s">
        <v>74</v>
      </c>
      <c r="BA678" t="s">
        <v>74</v>
      </c>
      <c r="BB678">
        <v>245</v>
      </c>
      <c r="BC678">
        <v>264</v>
      </c>
      <c r="BD678" t="s">
        <v>74</v>
      </c>
      <c r="BE678" t="s">
        <v>74</v>
      </c>
      <c r="BF678" t="s">
        <v>74</v>
      </c>
      <c r="BG678" t="s">
        <v>12476</v>
      </c>
      <c r="BH678" t="s">
        <v>74</v>
      </c>
      <c r="BI678">
        <v>20</v>
      </c>
      <c r="BJ678" t="s">
        <v>12477</v>
      </c>
      <c r="BK678" t="s">
        <v>12478</v>
      </c>
      <c r="BL678" t="s">
        <v>12479</v>
      </c>
      <c r="BM678" t="s">
        <v>12480</v>
      </c>
      <c r="BN678" t="s">
        <v>74</v>
      </c>
      <c r="BO678" t="s">
        <v>74</v>
      </c>
      <c r="BP678" t="s">
        <v>74</v>
      </c>
      <c r="BQ678" t="s">
        <v>74</v>
      </c>
      <c r="BR678" t="s">
        <v>105</v>
      </c>
      <c r="BS678" t="s">
        <v>12481</v>
      </c>
      <c r="BT678" t="str">
        <f>HYPERLINK("https%3A%2F%2Fwww.webofscience.com%2Fwos%2Fwoscc%2Ffull-record%2FWOS:000291858200014","View Full Record in Web of Science")</f>
        <v>View Full Record in Web of Science</v>
      </c>
    </row>
    <row r="679" spans="1:72" x14ac:dyDescent="0.15">
      <c r="A679" t="s">
        <v>72</v>
      </c>
      <c r="B679" t="s">
        <v>12482</v>
      </c>
      <c r="C679" t="s">
        <v>74</v>
      </c>
      <c r="D679" t="s">
        <v>74</v>
      </c>
      <c r="E679" t="s">
        <v>74</v>
      </c>
      <c r="F679" t="s">
        <v>12483</v>
      </c>
      <c r="G679" t="s">
        <v>74</v>
      </c>
      <c r="H679" t="s">
        <v>74</v>
      </c>
      <c r="I679" t="s">
        <v>12484</v>
      </c>
      <c r="J679" t="s">
        <v>12485</v>
      </c>
      <c r="K679" t="s">
        <v>74</v>
      </c>
      <c r="L679" t="s">
        <v>74</v>
      </c>
      <c r="M679" t="s">
        <v>78</v>
      </c>
      <c r="N679" t="s">
        <v>79</v>
      </c>
      <c r="O679" t="s">
        <v>74</v>
      </c>
      <c r="P679" t="s">
        <v>74</v>
      </c>
      <c r="Q679" t="s">
        <v>74</v>
      </c>
      <c r="R679" t="s">
        <v>74</v>
      </c>
      <c r="S679" t="s">
        <v>74</v>
      </c>
      <c r="T679" t="s">
        <v>12486</v>
      </c>
      <c r="U679" t="s">
        <v>12487</v>
      </c>
      <c r="V679" t="s">
        <v>12488</v>
      </c>
      <c r="W679" t="s">
        <v>12489</v>
      </c>
      <c r="X679" t="s">
        <v>12490</v>
      </c>
      <c r="Y679" t="s">
        <v>12491</v>
      </c>
      <c r="Z679" t="s">
        <v>12492</v>
      </c>
      <c r="AA679" t="s">
        <v>74</v>
      </c>
      <c r="AB679" t="s">
        <v>74</v>
      </c>
      <c r="AC679" t="s">
        <v>12493</v>
      </c>
      <c r="AD679" t="s">
        <v>12494</v>
      </c>
      <c r="AE679" t="s">
        <v>12495</v>
      </c>
      <c r="AF679" t="s">
        <v>74</v>
      </c>
      <c r="AG679">
        <v>61</v>
      </c>
      <c r="AH679">
        <v>13</v>
      </c>
      <c r="AI679">
        <v>15</v>
      </c>
      <c r="AJ679">
        <v>0</v>
      </c>
      <c r="AK679">
        <v>11</v>
      </c>
      <c r="AL679" t="s">
        <v>524</v>
      </c>
      <c r="AM679" t="s">
        <v>525</v>
      </c>
      <c r="AN679" t="s">
        <v>526</v>
      </c>
      <c r="AO679" t="s">
        <v>12496</v>
      </c>
      <c r="AP679" t="s">
        <v>12497</v>
      </c>
      <c r="AQ679" t="s">
        <v>74</v>
      </c>
      <c r="AR679" t="s">
        <v>12498</v>
      </c>
      <c r="AS679" t="s">
        <v>12499</v>
      </c>
      <c r="AT679" t="s">
        <v>8958</v>
      </c>
      <c r="AU679">
        <v>2010</v>
      </c>
      <c r="AV679">
        <v>14</v>
      </c>
      <c r="AW679">
        <v>1</v>
      </c>
      <c r="AX679" t="s">
        <v>74</v>
      </c>
      <c r="AY679" t="s">
        <v>74</v>
      </c>
      <c r="AZ679" t="s">
        <v>74</v>
      </c>
      <c r="BA679" t="s">
        <v>74</v>
      </c>
      <c r="BB679">
        <v>65</v>
      </c>
      <c r="BC679">
        <v>74</v>
      </c>
      <c r="BD679" t="s">
        <v>74</v>
      </c>
      <c r="BE679" t="s">
        <v>12500</v>
      </c>
      <c r="BF679" t="str">
        <f>HYPERLINK("http://dx.doi.org/10.1007/s10291-009-0146-z","http://dx.doi.org/10.1007/s10291-009-0146-z")</f>
        <v>http://dx.doi.org/10.1007/s10291-009-0146-z</v>
      </c>
      <c r="BG679" t="s">
        <v>74</v>
      </c>
      <c r="BH679" t="s">
        <v>74</v>
      </c>
      <c r="BI679">
        <v>10</v>
      </c>
      <c r="BJ679" t="s">
        <v>12501</v>
      </c>
      <c r="BK679" t="s">
        <v>102</v>
      </c>
      <c r="BL679" t="s">
        <v>12501</v>
      </c>
      <c r="BM679" t="s">
        <v>12502</v>
      </c>
      <c r="BN679" t="s">
        <v>74</v>
      </c>
      <c r="BO679" t="s">
        <v>74</v>
      </c>
      <c r="BP679" t="s">
        <v>74</v>
      </c>
      <c r="BQ679" t="s">
        <v>74</v>
      </c>
      <c r="BR679" t="s">
        <v>105</v>
      </c>
      <c r="BS679" t="s">
        <v>12503</v>
      </c>
      <c r="BT679" t="str">
        <f>HYPERLINK("https%3A%2F%2Fwww.webofscience.com%2Fwos%2Fwoscc%2Ffull-record%2FWOS:000272374700007","View Full Record in Web of Science")</f>
        <v>View Full Record in Web of Science</v>
      </c>
    </row>
    <row r="680" spans="1:72" x14ac:dyDescent="0.15">
      <c r="A680" t="s">
        <v>8257</v>
      </c>
      <c r="B680" t="s">
        <v>12504</v>
      </c>
      <c r="C680" t="s">
        <v>74</v>
      </c>
      <c r="D680" t="s">
        <v>12505</v>
      </c>
      <c r="E680" t="s">
        <v>74</v>
      </c>
      <c r="F680" t="s">
        <v>12506</v>
      </c>
      <c r="G680" t="s">
        <v>74</v>
      </c>
      <c r="H680" t="s">
        <v>74</v>
      </c>
      <c r="I680" t="s">
        <v>12507</v>
      </c>
      <c r="J680" t="s">
        <v>12508</v>
      </c>
      <c r="K680" t="s">
        <v>12509</v>
      </c>
      <c r="L680" t="s">
        <v>74</v>
      </c>
      <c r="M680" t="s">
        <v>78</v>
      </c>
      <c r="N680" t="s">
        <v>8264</v>
      </c>
      <c r="O680" t="s">
        <v>12510</v>
      </c>
      <c r="P680" t="s">
        <v>12511</v>
      </c>
      <c r="Q680" t="s">
        <v>12512</v>
      </c>
      <c r="R680" t="s">
        <v>74</v>
      </c>
      <c r="S680" t="s">
        <v>74</v>
      </c>
      <c r="T680" t="s">
        <v>74</v>
      </c>
      <c r="U680" t="s">
        <v>12513</v>
      </c>
      <c r="V680" t="s">
        <v>12514</v>
      </c>
      <c r="W680" t="s">
        <v>12515</v>
      </c>
      <c r="X680" t="s">
        <v>12516</v>
      </c>
      <c r="Y680" t="s">
        <v>12517</v>
      </c>
      <c r="Z680" t="s">
        <v>12518</v>
      </c>
      <c r="AA680" t="s">
        <v>74</v>
      </c>
      <c r="AB680" t="s">
        <v>74</v>
      </c>
      <c r="AC680" t="s">
        <v>12519</v>
      </c>
      <c r="AD680" t="s">
        <v>12520</v>
      </c>
      <c r="AE680" t="s">
        <v>12521</v>
      </c>
      <c r="AF680" t="s">
        <v>74</v>
      </c>
      <c r="AG680">
        <v>17</v>
      </c>
      <c r="AH680">
        <v>4</v>
      </c>
      <c r="AI680">
        <v>4</v>
      </c>
      <c r="AJ680">
        <v>0</v>
      </c>
      <c r="AK680">
        <v>4</v>
      </c>
      <c r="AL680" t="s">
        <v>8866</v>
      </c>
      <c r="AM680" t="s">
        <v>6462</v>
      </c>
      <c r="AN680" t="s">
        <v>8867</v>
      </c>
      <c r="AO680" t="s">
        <v>12522</v>
      </c>
      <c r="AP680" t="s">
        <v>74</v>
      </c>
      <c r="AQ680" t="s">
        <v>12523</v>
      </c>
      <c r="AR680" t="s">
        <v>12524</v>
      </c>
      <c r="AS680" t="s">
        <v>74</v>
      </c>
      <c r="AT680" t="s">
        <v>74</v>
      </c>
      <c r="AU680">
        <v>2010</v>
      </c>
      <c r="AV680">
        <v>135</v>
      </c>
      <c r="AW680" t="s">
        <v>74</v>
      </c>
      <c r="AX680" t="s">
        <v>74</v>
      </c>
      <c r="AY680" t="s">
        <v>74</v>
      </c>
      <c r="AZ680" t="s">
        <v>74</v>
      </c>
      <c r="BA680" t="s">
        <v>74</v>
      </c>
      <c r="BB680">
        <v>557</v>
      </c>
      <c r="BC680">
        <v>562</v>
      </c>
      <c r="BD680" t="s">
        <v>74</v>
      </c>
      <c r="BE680" t="s">
        <v>12525</v>
      </c>
      <c r="BF680" t="str">
        <f>HYPERLINK("http://dx.doi.org/10.1007/978-3-642-10634-7_74","http://dx.doi.org/10.1007/978-3-642-10634-7_74")</f>
        <v>http://dx.doi.org/10.1007/978-3-642-10634-7_74</v>
      </c>
      <c r="BG680" t="s">
        <v>74</v>
      </c>
      <c r="BH680" t="s">
        <v>74</v>
      </c>
      <c r="BI680">
        <v>6</v>
      </c>
      <c r="BJ680" t="s">
        <v>12526</v>
      </c>
      <c r="BK680" t="s">
        <v>8281</v>
      </c>
      <c r="BL680" t="s">
        <v>12526</v>
      </c>
      <c r="BM680" t="s">
        <v>12527</v>
      </c>
      <c r="BN680" t="s">
        <v>74</v>
      </c>
      <c r="BO680" t="s">
        <v>74</v>
      </c>
      <c r="BP680" t="s">
        <v>74</v>
      </c>
      <c r="BQ680" t="s">
        <v>74</v>
      </c>
      <c r="BR680" t="s">
        <v>105</v>
      </c>
      <c r="BS680" t="s">
        <v>12528</v>
      </c>
      <c r="BT680" t="str">
        <f>HYPERLINK("https%3A%2F%2Fwww.webofscience.com%2Fwos%2Fwoscc%2Ffull-record%2FWOS:000290722800074","View Full Record in Web of Science")</f>
        <v>View Full Record in Web of Science</v>
      </c>
    </row>
    <row r="681" spans="1:72" x14ac:dyDescent="0.15">
      <c r="A681" t="s">
        <v>8257</v>
      </c>
      <c r="B681" t="s">
        <v>12529</v>
      </c>
      <c r="C681" t="s">
        <v>74</v>
      </c>
      <c r="D681" t="s">
        <v>12530</v>
      </c>
      <c r="E681" t="s">
        <v>74</v>
      </c>
      <c r="F681" t="s">
        <v>12531</v>
      </c>
      <c r="G681" t="s">
        <v>74</v>
      </c>
      <c r="H681" t="s">
        <v>74</v>
      </c>
      <c r="I681" t="s">
        <v>12532</v>
      </c>
      <c r="J681" t="s">
        <v>12533</v>
      </c>
      <c r="K681" t="s">
        <v>9704</v>
      </c>
      <c r="L681" t="s">
        <v>74</v>
      </c>
      <c r="M681" t="s">
        <v>78</v>
      </c>
      <c r="N681" t="s">
        <v>8264</v>
      </c>
      <c r="O681" t="s">
        <v>12534</v>
      </c>
      <c r="P681" t="s">
        <v>12535</v>
      </c>
      <c r="Q681" t="s">
        <v>9707</v>
      </c>
      <c r="R681" t="s">
        <v>74</v>
      </c>
      <c r="S681" t="s">
        <v>74</v>
      </c>
      <c r="T681" t="s">
        <v>12536</v>
      </c>
      <c r="U681" t="s">
        <v>12537</v>
      </c>
      <c r="V681" t="s">
        <v>12538</v>
      </c>
      <c r="W681" t="s">
        <v>12539</v>
      </c>
      <c r="X681" t="s">
        <v>12540</v>
      </c>
      <c r="Y681" t="s">
        <v>12541</v>
      </c>
      <c r="Z681" t="s">
        <v>12542</v>
      </c>
      <c r="AA681" t="s">
        <v>74</v>
      </c>
      <c r="AB681" t="s">
        <v>12543</v>
      </c>
      <c r="AC681" t="s">
        <v>12544</v>
      </c>
      <c r="AD681" t="s">
        <v>12545</v>
      </c>
      <c r="AE681" t="s">
        <v>12546</v>
      </c>
      <c r="AF681" t="s">
        <v>74</v>
      </c>
      <c r="AG681">
        <v>12</v>
      </c>
      <c r="AH681">
        <v>9</v>
      </c>
      <c r="AI681">
        <v>10</v>
      </c>
      <c r="AJ681">
        <v>0</v>
      </c>
      <c r="AK681">
        <v>4</v>
      </c>
      <c r="AL681" t="s">
        <v>8533</v>
      </c>
      <c r="AM681" t="s">
        <v>8534</v>
      </c>
      <c r="AN681" t="s">
        <v>8535</v>
      </c>
      <c r="AO681" t="s">
        <v>8536</v>
      </c>
      <c r="AP681" t="s">
        <v>9717</v>
      </c>
      <c r="AQ681" t="s">
        <v>12547</v>
      </c>
      <c r="AR681" t="s">
        <v>9719</v>
      </c>
      <c r="AS681" t="s">
        <v>74</v>
      </c>
      <c r="AT681" t="s">
        <v>74</v>
      </c>
      <c r="AU681">
        <v>2010</v>
      </c>
      <c r="AV681">
        <v>7735</v>
      </c>
      <c r="AW681" t="s">
        <v>74</v>
      </c>
      <c r="AX681" t="s">
        <v>74</v>
      </c>
      <c r="AY681" t="s">
        <v>74</v>
      </c>
      <c r="AZ681" t="s">
        <v>74</v>
      </c>
      <c r="BA681" t="s">
        <v>74</v>
      </c>
      <c r="BB681" t="s">
        <v>74</v>
      </c>
      <c r="BC681" t="s">
        <v>74</v>
      </c>
      <c r="BD681">
        <v>773540</v>
      </c>
      <c r="BE681" t="s">
        <v>12548</v>
      </c>
      <c r="BF681" t="str">
        <f>HYPERLINK("http://dx.doi.org/10.1117/12.857853","http://dx.doi.org/10.1117/12.857853")</f>
        <v>http://dx.doi.org/10.1117/12.857853</v>
      </c>
      <c r="BG681" t="s">
        <v>74</v>
      </c>
      <c r="BH681" t="s">
        <v>74</v>
      </c>
      <c r="BI681">
        <v>6</v>
      </c>
      <c r="BJ681" t="s">
        <v>12549</v>
      </c>
      <c r="BK681" t="s">
        <v>8281</v>
      </c>
      <c r="BL681" t="s">
        <v>12549</v>
      </c>
      <c r="BM681" t="s">
        <v>12550</v>
      </c>
      <c r="BN681" t="s">
        <v>74</v>
      </c>
      <c r="BO681" t="s">
        <v>555</v>
      </c>
      <c r="BP681" t="s">
        <v>74</v>
      </c>
      <c r="BQ681" t="s">
        <v>74</v>
      </c>
      <c r="BR681" t="s">
        <v>105</v>
      </c>
      <c r="BS681" t="s">
        <v>12551</v>
      </c>
      <c r="BT681" t="str">
        <f>HYPERLINK("https%3A%2F%2Fwww.webofscience.com%2Fwos%2Fwoscc%2Ffull-record%2FWOS:000285832400118","View Full Record in Web of Science")</f>
        <v>View Full Record in Web of Science</v>
      </c>
    </row>
    <row r="682" spans="1:72" x14ac:dyDescent="0.15">
      <c r="A682" t="s">
        <v>8257</v>
      </c>
      <c r="B682" t="s">
        <v>12552</v>
      </c>
      <c r="C682" t="s">
        <v>74</v>
      </c>
      <c r="D682" t="s">
        <v>12530</v>
      </c>
      <c r="E682" t="s">
        <v>74</v>
      </c>
      <c r="F682" t="s">
        <v>12553</v>
      </c>
      <c r="G682" t="s">
        <v>74</v>
      </c>
      <c r="H682" t="s">
        <v>74</v>
      </c>
      <c r="I682" t="s">
        <v>12554</v>
      </c>
      <c r="J682" t="s">
        <v>12533</v>
      </c>
      <c r="K682" t="s">
        <v>9704</v>
      </c>
      <c r="L682" t="s">
        <v>74</v>
      </c>
      <c r="M682" t="s">
        <v>78</v>
      </c>
      <c r="N682" t="s">
        <v>8264</v>
      </c>
      <c r="O682" t="s">
        <v>12534</v>
      </c>
      <c r="P682" t="s">
        <v>12535</v>
      </c>
      <c r="Q682" t="s">
        <v>9707</v>
      </c>
      <c r="R682" t="s">
        <v>74</v>
      </c>
      <c r="S682" t="s">
        <v>74</v>
      </c>
      <c r="T682" t="s">
        <v>12555</v>
      </c>
      <c r="U682" t="s">
        <v>12556</v>
      </c>
      <c r="V682" t="s">
        <v>12557</v>
      </c>
      <c r="W682" t="s">
        <v>12558</v>
      </c>
      <c r="X682" t="s">
        <v>12559</v>
      </c>
      <c r="Y682" t="s">
        <v>12560</v>
      </c>
      <c r="Z682" t="s">
        <v>12561</v>
      </c>
      <c r="AA682" t="s">
        <v>12562</v>
      </c>
      <c r="AB682" t="s">
        <v>12563</v>
      </c>
      <c r="AC682" t="s">
        <v>12564</v>
      </c>
      <c r="AD682" t="s">
        <v>12565</v>
      </c>
      <c r="AE682" t="s">
        <v>12566</v>
      </c>
      <c r="AF682" t="s">
        <v>74</v>
      </c>
      <c r="AG682">
        <v>44</v>
      </c>
      <c r="AH682">
        <v>1</v>
      </c>
      <c r="AI682">
        <v>2</v>
      </c>
      <c r="AJ682">
        <v>0</v>
      </c>
      <c r="AK682">
        <v>4</v>
      </c>
      <c r="AL682" t="s">
        <v>8533</v>
      </c>
      <c r="AM682" t="s">
        <v>8534</v>
      </c>
      <c r="AN682" t="s">
        <v>8535</v>
      </c>
      <c r="AO682" t="s">
        <v>8536</v>
      </c>
      <c r="AP682" t="s">
        <v>9717</v>
      </c>
      <c r="AQ682" t="s">
        <v>12547</v>
      </c>
      <c r="AR682" t="s">
        <v>9719</v>
      </c>
      <c r="AS682" t="s">
        <v>74</v>
      </c>
      <c r="AT682" t="s">
        <v>74</v>
      </c>
      <c r="AU682">
        <v>2010</v>
      </c>
      <c r="AV682">
        <v>7735</v>
      </c>
      <c r="AW682" t="s">
        <v>74</v>
      </c>
      <c r="AX682" t="s">
        <v>74</v>
      </c>
      <c r="AY682" t="s">
        <v>74</v>
      </c>
      <c r="AZ682" t="s">
        <v>74</v>
      </c>
      <c r="BA682" t="s">
        <v>74</v>
      </c>
      <c r="BB682" t="s">
        <v>74</v>
      </c>
      <c r="BC682" t="s">
        <v>74</v>
      </c>
      <c r="BD682" t="s">
        <v>12567</v>
      </c>
      <c r="BE682" t="s">
        <v>12568</v>
      </c>
      <c r="BF682" t="str">
        <f>HYPERLINK("http://dx.doi.org/10.1117/12.857192","http://dx.doi.org/10.1117/12.857192")</f>
        <v>http://dx.doi.org/10.1117/12.857192</v>
      </c>
      <c r="BG682" t="s">
        <v>74</v>
      </c>
      <c r="BH682" t="s">
        <v>74</v>
      </c>
      <c r="BI682">
        <v>12</v>
      </c>
      <c r="BJ682" t="s">
        <v>12549</v>
      </c>
      <c r="BK682" t="s">
        <v>8281</v>
      </c>
      <c r="BL682" t="s">
        <v>12549</v>
      </c>
      <c r="BM682" t="s">
        <v>12550</v>
      </c>
      <c r="BN682" t="s">
        <v>74</v>
      </c>
      <c r="BO682" t="s">
        <v>74</v>
      </c>
      <c r="BP682" t="s">
        <v>74</v>
      </c>
      <c r="BQ682" t="s">
        <v>74</v>
      </c>
      <c r="BR682" t="s">
        <v>105</v>
      </c>
      <c r="BS682" t="s">
        <v>12569</v>
      </c>
      <c r="BT682" t="str">
        <f>HYPERLINK("https%3A%2F%2Fwww.webofscience.com%2Fwos%2Fwoscc%2Ffull-record%2FWOS:000285832400167","View Full Record in Web of Science")</f>
        <v>View Full Record in Web of Science</v>
      </c>
    </row>
    <row r="683" spans="1:72" x14ac:dyDescent="0.15">
      <c r="A683" t="s">
        <v>8257</v>
      </c>
      <c r="B683" t="s">
        <v>12570</v>
      </c>
      <c r="C683" t="s">
        <v>74</v>
      </c>
      <c r="D683" t="s">
        <v>12571</v>
      </c>
      <c r="E683" t="s">
        <v>74</v>
      </c>
      <c r="F683" t="s">
        <v>12572</v>
      </c>
      <c r="G683" t="s">
        <v>74</v>
      </c>
      <c r="H683" t="s">
        <v>74</v>
      </c>
      <c r="I683" t="s">
        <v>12573</v>
      </c>
      <c r="J683" t="s">
        <v>12574</v>
      </c>
      <c r="K683" t="s">
        <v>9704</v>
      </c>
      <c r="L683" t="s">
        <v>74</v>
      </c>
      <c r="M683" t="s">
        <v>78</v>
      </c>
      <c r="N683" t="s">
        <v>8264</v>
      </c>
      <c r="O683" t="s">
        <v>12575</v>
      </c>
      <c r="P683" t="s">
        <v>12535</v>
      </c>
      <c r="Q683" t="s">
        <v>9707</v>
      </c>
      <c r="R683" t="s">
        <v>74</v>
      </c>
      <c r="S683" t="s">
        <v>74</v>
      </c>
      <c r="T683" t="s">
        <v>12576</v>
      </c>
      <c r="U683" t="s">
        <v>74</v>
      </c>
      <c r="V683" t="s">
        <v>12577</v>
      </c>
      <c r="W683" t="s">
        <v>12578</v>
      </c>
      <c r="X683" t="s">
        <v>12579</v>
      </c>
      <c r="Y683" t="s">
        <v>12580</v>
      </c>
      <c r="Z683" t="s">
        <v>12581</v>
      </c>
      <c r="AA683" t="s">
        <v>74</v>
      </c>
      <c r="AB683" t="s">
        <v>12582</v>
      </c>
      <c r="AC683" t="s">
        <v>12583</v>
      </c>
      <c r="AD683" t="s">
        <v>12584</v>
      </c>
      <c r="AE683" t="s">
        <v>12585</v>
      </c>
      <c r="AF683" t="s">
        <v>74</v>
      </c>
      <c r="AG683">
        <v>14</v>
      </c>
      <c r="AH683">
        <v>0</v>
      </c>
      <c r="AI683">
        <v>0</v>
      </c>
      <c r="AJ683">
        <v>0</v>
      </c>
      <c r="AK683">
        <v>4</v>
      </c>
      <c r="AL683" t="s">
        <v>8533</v>
      </c>
      <c r="AM683" t="s">
        <v>8534</v>
      </c>
      <c r="AN683" t="s">
        <v>8535</v>
      </c>
      <c r="AO683" t="s">
        <v>8536</v>
      </c>
      <c r="AP683" t="s">
        <v>9717</v>
      </c>
      <c r="AQ683" t="s">
        <v>12586</v>
      </c>
      <c r="AR683" t="s">
        <v>9719</v>
      </c>
      <c r="AS683" t="s">
        <v>74</v>
      </c>
      <c r="AT683" t="s">
        <v>74</v>
      </c>
      <c r="AU683">
        <v>2010</v>
      </c>
      <c r="AV683">
        <v>7733</v>
      </c>
      <c r="AW683" t="s">
        <v>74</v>
      </c>
      <c r="AX683" t="s">
        <v>74</v>
      </c>
      <c r="AY683" t="s">
        <v>74</v>
      </c>
      <c r="AZ683" t="s">
        <v>74</v>
      </c>
      <c r="BA683" t="s">
        <v>74</v>
      </c>
      <c r="BB683" t="s">
        <v>74</v>
      </c>
      <c r="BC683" t="s">
        <v>74</v>
      </c>
      <c r="BD683" t="s">
        <v>12587</v>
      </c>
      <c r="BE683" t="s">
        <v>12588</v>
      </c>
      <c r="BF683" t="str">
        <f>HYPERLINK("http://dx.doi.org/10.1117/12.856659","http://dx.doi.org/10.1117/12.856659")</f>
        <v>http://dx.doi.org/10.1117/12.856659</v>
      </c>
      <c r="BG683" t="s">
        <v>74</v>
      </c>
      <c r="BH683" t="s">
        <v>74</v>
      </c>
      <c r="BI683">
        <v>6</v>
      </c>
      <c r="BJ683" t="s">
        <v>12589</v>
      </c>
      <c r="BK683" t="s">
        <v>8281</v>
      </c>
      <c r="BL683" t="s">
        <v>12589</v>
      </c>
      <c r="BM683" t="s">
        <v>12590</v>
      </c>
      <c r="BN683" t="s">
        <v>74</v>
      </c>
      <c r="BO683" t="s">
        <v>74</v>
      </c>
      <c r="BP683" t="s">
        <v>74</v>
      </c>
      <c r="BQ683" t="s">
        <v>74</v>
      </c>
      <c r="BR683" t="s">
        <v>105</v>
      </c>
      <c r="BS683" t="s">
        <v>12591</v>
      </c>
      <c r="BT683" t="str">
        <f>HYPERLINK("https%3A%2F%2Fwww.webofscience.com%2Fwos%2Fwoscc%2Ffull-record%2FWOS:000285506700137","View Full Record in Web of Science")</f>
        <v>View Full Record in Web of Science</v>
      </c>
    </row>
    <row r="684" spans="1:72" x14ac:dyDescent="0.15">
      <c r="A684" t="s">
        <v>8257</v>
      </c>
      <c r="B684" t="s">
        <v>12592</v>
      </c>
      <c r="C684" t="s">
        <v>74</v>
      </c>
      <c r="D684" t="s">
        <v>12571</v>
      </c>
      <c r="E684" t="s">
        <v>74</v>
      </c>
      <c r="F684" t="s">
        <v>12593</v>
      </c>
      <c r="G684" t="s">
        <v>74</v>
      </c>
      <c r="H684" t="s">
        <v>74</v>
      </c>
      <c r="I684" t="s">
        <v>12594</v>
      </c>
      <c r="J684" t="s">
        <v>12574</v>
      </c>
      <c r="K684" t="s">
        <v>9704</v>
      </c>
      <c r="L684" t="s">
        <v>74</v>
      </c>
      <c r="M684" t="s">
        <v>78</v>
      </c>
      <c r="N684" t="s">
        <v>8264</v>
      </c>
      <c r="O684" t="s">
        <v>12575</v>
      </c>
      <c r="P684" t="s">
        <v>12535</v>
      </c>
      <c r="Q684" t="s">
        <v>9707</v>
      </c>
      <c r="R684" t="s">
        <v>74</v>
      </c>
      <c r="S684" t="s">
        <v>74</v>
      </c>
      <c r="T684" t="s">
        <v>12595</v>
      </c>
      <c r="U684" t="s">
        <v>74</v>
      </c>
      <c r="V684" t="s">
        <v>12596</v>
      </c>
      <c r="W684" t="s">
        <v>12597</v>
      </c>
      <c r="X684" t="s">
        <v>12598</v>
      </c>
      <c r="Y684" t="s">
        <v>12599</v>
      </c>
      <c r="Z684" t="s">
        <v>12600</v>
      </c>
      <c r="AA684" t="s">
        <v>12601</v>
      </c>
      <c r="AB684" t="s">
        <v>12602</v>
      </c>
      <c r="AC684" t="s">
        <v>12603</v>
      </c>
      <c r="AD684" t="s">
        <v>12604</v>
      </c>
      <c r="AE684" t="s">
        <v>12605</v>
      </c>
      <c r="AF684" t="s">
        <v>74</v>
      </c>
      <c r="AG684">
        <v>1</v>
      </c>
      <c r="AH684">
        <v>16</v>
      </c>
      <c r="AI684">
        <v>17</v>
      </c>
      <c r="AJ684">
        <v>0</v>
      </c>
      <c r="AK684">
        <v>5</v>
      </c>
      <c r="AL684" t="s">
        <v>8533</v>
      </c>
      <c r="AM684" t="s">
        <v>8534</v>
      </c>
      <c r="AN684" t="s">
        <v>8535</v>
      </c>
      <c r="AO684" t="s">
        <v>8536</v>
      </c>
      <c r="AP684" t="s">
        <v>9717</v>
      </c>
      <c r="AQ684" t="s">
        <v>12586</v>
      </c>
      <c r="AR684" t="s">
        <v>9719</v>
      </c>
      <c r="AS684" t="s">
        <v>74</v>
      </c>
      <c r="AT684" t="s">
        <v>74</v>
      </c>
      <c r="AU684">
        <v>2010</v>
      </c>
      <c r="AV684">
        <v>7733</v>
      </c>
      <c r="AW684" t="s">
        <v>74</v>
      </c>
      <c r="AX684" t="s">
        <v>74</v>
      </c>
      <c r="AY684" t="s">
        <v>74</v>
      </c>
      <c r="AZ684" t="s">
        <v>74</v>
      </c>
      <c r="BA684" t="s">
        <v>74</v>
      </c>
      <c r="BB684" t="s">
        <v>74</v>
      </c>
      <c r="BC684" t="s">
        <v>74</v>
      </c>
      <c r="BD684" t="s">
        <v>12606</v>
      </c>
      <c r="BE684" t="s">
        <v>12607</v>
      </c>
      <c r="BF684" t="str">
        <f>HYPERLINK("http://dx.doi.org/10.1117/12.854946","http://dx.doi.org/10.1117/12.854946")</f>
        <v>http://dx.doi.org/10.1117/12.854946</v>
      </c>
      <c r="BG684" t="s">
        <v>74</v>
      </c>
      <c r="BH684" t="s">
        <v>74</v>
      </c>
      <c r="BI684">
        <v>9</v>
      </c>
      <c r="BJ684" t="s">
        <v>12589</v>
      </c>
      <c r="BK684" t="s">
        <v>8281</v>
      </c>
      <c r="BL684" t="s">
        <v>12589</v>
      </c>
      <c r="BM684" t="s">
        <v>12590</v>
      </c>
      <c r="BN684" t="s">
        <v>74</v>
      </c>
      <c r="BO684" t="s">
        <v>74</v>
      </c>
      <c r="BP684" t="s">
        <v>74</v>
      </c>
      <c r="BQ684" t="s">
        <v>74</v>
      </c>
      <c r="BR684" t="s">
        <v>105</v>
      </c>
      <c r="BS684" t="s">
        <v>12608</v>
      </c>
      <c r="BT684" t="str">
        <f>HYPERLINK("https%3A%2F%2Fwww.webofscience.com%2Fwos%2Fwoscc%2Ffull-record%2FWOS:000285506700152","View Full Record in Web of Science")</f>
        <v>View Full Record in Web of Science</v>
      </c>
    </row>
    <row r="685" spans="1:72" x14ac:dyDescent="0.15">
      <c r="A685" t="s">
        <v>8257</v>
      </c>
      <c r="B685" t="s">
        <v>12609</v>
      </c>
      <c r="C685" t="s">
        <v>74</v>
      </c>
      <c r="D685" t="s">
        <v>12571</v>
      </c>
      <c r="E685" t="s">
        <v>74</v>
      </c>
      <c r="F685" t="s">
        <v>12610</v>
      </c>
      <c r="G685" t="s">
        <v>74</v>
      </c>
      <c r="H685" t="s">
        <v>74</v>
      </c>
      <c r="I685" t="s">
        <v>12611</v>
      </c>
      <c r="J685" t="s">
        <v>12574</v>
      </c>
      <c r="K685" t="s">
        <v>9704</v>
      </c>
      <c r="L685" t="s">
        <v>74</v>
      </c>
      <c r="M685" t="s">
        <v>78</v>
      </c>
      <c r="N685" t="s">
        <v>8264</v>
      </c>
      <c r="O685" t="s">
        <v>12575</v>
      </c>
      <c r="P685" t="s">
        <v>12535</v>
      </c>
      <c r="Q685" t="s">
        <v>9707</v>
      </c>
      <c r="R685" t="s">
        <v>74</v>
      </c>
      <c r="S685" t="s">
        <v>74</v>
      </c>
      <c r="T685" t="s">
        <v>12612</v>
      </c>
      <c r="U685" t="s">
        <v>12613</v>
      </c>
      <c r="V685" t="s">
        <v>12614</v>
      </c>
      <c r="W685" t="s">
        <v>12615</v>
      </c>
      <c r="X685" t="s">
        <v>12616</v>
      </c>
      <c r="Y685" t="s">
        <v>12617</v>
      </c>
      <c r="Z685" t="s">
        <v>12618</v>
      </c>
      <c r="AA685" t="s">
        <v>12619</v>
      </c>
      <c r="AB685" t="s">
        <v>12620</v>
      </c>
      <c r="AC685" t="s">
        <v>74</v>
      </c>
      <c r="AD685" t="s">
        <v>74</v>
      </c>
      <c r="AE685" t="s">
        <v>74</v>
      </c>
      <c r="AF685" t="s">
        <v>74</v>
      </c>
      <c r="AG685">
        <v>16</v>
      </c>
      <c r="AH685">
        <v>0</v>
      </c>
      <c r="AI685">
        <v>0</v>
      </c>
      <c r="AJ685">
        <v>0</v>
      </c>
      <c r="AK685">
        <v>4</v>
      </c>
      <c r="AL685" t="s">
        <v>8533</v>
      </c>
      <c r="AM685" t="s">
        <v>8534</v>
      </c>
      <c r="AN685" t="s">
        <v>8535</v>
      </c>
      <c r="AO685" t="s">
        <v>8536</v>
      </c>
      <c r="AP685" t="s">
        <v>9717</v>
      </c>
      <c r="AQ685" t="s">
        <v>12586</v>
      </c>
      <c r="AR685" t="s">
        <v>9719</v>
      </c>
      <c r="AS685" t="s">
        <v>74</v>
      </c>
      <c r="AT685" t="s">
        <v>74</v>
      </c>
      <c r="AU685">
        <v>2010</v>
      </c>
      <c r="AV685">
        <v>7733</v>
      </c>
      <c r="AW685" t="s">
        <v>74</v>
      </c>
      <c r="AX685" t="s">
        <v>74</v>
      </c>
      <c r="AY685" t="s">
        <v>74</v>
      </c>
      <c r="AZ685" t="s">
        <v>74</v>
      </c>
      <c r="BA685" t="s">
        <v>74</v>
      </c>
      <c r="BB685" t="s">
        <v>74</v>
      </c>
      <c r="BC685" t="s">
        <v>74</v>
      </c>
      <c r="BD685" t="s">
        <v>12621</v>
      </c>
      <c r="BE685" t="s">
        <v>12622</v>
      </c>
      <c r="BF685" t="str">
        <f>HYPERLINK("http://dx.doi.org/10.1117/12.856900","http://dx.doi.org/10.1117/12.856900")</f>
        <v>http://dx.doi.org/10.1117/12.856900</v>
      </c>
      <c r="BG685" t="s">
        <v>74</v>
      </c>
      <c r="BH685" t="s">
        <v>74</v>
      </c>
      <c r="BI685">
        <v>8</v>
      </c>
      <c r="BJ685" t="s">
        <v>12589</v>
      </c>
      <c r="BK685" t="s">
        <v>8281</v>
      </c>
      <c r="BL685" t="s">
        <v>12589</v>
      </c>
      <c r="BM685" t="s">
        <v>12590</v>
      </c>
      <c r="BN685" t="s">
        <v>74</v>
      </c>
      <c r="BO685" t="s">
        <v>555</v>
      </c>
      <c r="BP685" t="s">
        <v>74</v>
      </c>
      <c r="BQ685" t="s">
        <v>74</v>
      </c>
      <c r="BR685" t="s">
        <v>105</v>
      </c>
      <c r="BS685" t="s">
        <v>12623</v>
      </c>
      <c r="BT685" t="str">
        <f>HYPERLINK("https%3A%2F%2Fwww.webofscience.com%2Fwos%2Fwoscc%2Ffull-record%2FWOS:000285506700139","View Full Record in Web of Science")</f>
        <v>View Full Record in Web of Science</v>
      </c>
    </row>
    <row r="686" spans="1:72" x14ac:dyDescent="0.15">
      <c r="A686" t="s">
        <v>8257</v>
      </c>
      <c r="B686" t="s">
        <v>12624</v>
      </c>
      <c r="C686" t="s">
        <v>74</v>
      </c>
      <c r="D686" t="s">
        <v>12571</v>
      </c>
      <c r="E686" t="s">
        <v>74</v>
      </c>
      <c r="F686" t="s">
        <v>12625</v>
      </c>
      <c r="G686" t="s">
        <v>74</v>
      </c>
      <c r="H686" t="s">
        <v>74</v>
      </c>
      <c r="I686" t="s">
        <v>12626</v>
      </c>
      <c r="J686" t="s">
        <v>12574</v>
      </c>
      <c r="K686" t="s">
        <v>9704</v>
      </c>
      <c r="L686" t="s">
        <v>74</v>
      </c>
      <c r="M686" t="s">
        <v>78</v>
      </c>
      <c r="N686" t="s">
        <v>8264</v>
      </c>
      <c r="O686" t="s">
        <v>12575</v>
      </c>
      <c r="P686" t="s">
        <v>12535</v>
      </c>
      <c r="Q686" t="s">
        <v>9707</v>
      </c>
      <c r="R686" t="s">
        <v>74</v>
      </c>
      <c r="S686" t="s">
        <v>74</v>
      </c>
      <c r="T686" t="s">
        <v>12627</v>
      </c>
      <c r="U686" t="s">
        <v>12537</v>
      </c>
      <c r="V686" t="s">
        <v>12628</v>
      </c>
      <c r="W686" t="s">
        <v>12629</v>
      </c>
      <c r="X686" t="s">
        <v>12630</v>
      </c>
      <c r="Y686" t="s">
        <v>12631</v>
      </c>
      <c r="Z686" t="s">
        <v>12632</v>
      </c>
      <c r="AA686" t="s">
        <v>74</v>
      </c>
      <c r="AB686" t="s">
        <v>12543</v>
      </c>
      <c r="AC686" t="s">
        <v>12633</v>
      </c>
      <c r="AD686" t="s">
        <v>12634</v>
      </c>
      <c r="AE686" t="s">
        <v>12635</v>
      </c>
      <c r="AF686" t="s">
        <v>74</v>
      </c>
      <c r="AG686">
        <v>14</v>
      </c>
      <c r="AH686">
        <v>1</v>
      </c>
      <c r="AI686">
        <v>1</v>
      </c>
      <c r="AJ686">
        <v>0</v>
      </c>
      <c r="AK686">
        <v>6</v>
      </c>
      <c r="AL686" t="s">
        <v>8533</v>
      </c>
      <c r="AM686" t="s">
        <v>8534</v>
      </c>
      <c r="AN686" t="s">
        <v>8535</v>
      </c>
      <c r="AO686" t="s">
        <v>8536</v>
      </c>
      <c r="AP686" t="s">
        <v>9717</v>
      </c>
      <c r="AQ686" t="s">
        <v>12586</v>
      </c>
      <c r="AR686" t="s">
        <v>9719</v>
      </c>
      <c r="AS686" t="s">
        <v>74</v>
      </c>
      <c r="AT686" t="s">
        <v>74</v>
      </c>
      <c r="AU686">
        <v>2010</v>
      </c>
      <c r="AV686">
        <v>7733</v>
      </c>
      <c r="AW686" t="s">
        <v>74</v>
      </c>
      <c r="AX686" t="s">
        <v>74</v>
      </c>
      <c r="AY686" t="s">
        <v>74</v>
      </c>
      <c r="AZ686" t="s">
        <v>74</v>
      </c>
      <c r="BA686" t="s">
        <v>74</v>
      </c>
      <c r="BB686" t="s">
        <v>74</v>
      </c>
      <c r="BC686" t="s">
        <v>74</v>
      </c>
      <c r="BD686" t="s">
        <v>12636</v>
      </c>
      <c r="BE686" t="s">
        <v>12637</v>
      </c>
      <c r="BF686" t="str">
        <f>HYPERLINK("http://dx.doi.org/10.1117/12.857910","http://dx.doi.org/10.1117/12.857910")</f>
        <v>http://dx.doi.org/10.1117/12.857910</v>
      </c>
      <c r="BG686" t="s">
        <v>74</v>
      </c>
      <c r="BH686" t="s">
        <v>74</v>
      </c>
      <c r="BI686">
        <v>8</v>
      </c>
      <c r="BJ686" t="s">
        <v>12589</v>
      </c>
      <c r="BK686" t="s">
        <v>8281</v>
      </c>
      <c r="BL686" t="s">
        <v>12589</v>
      </c>
      <c r="BM686" t="s">
        <v>12590</v>
      </c>
      <c r="BN686" t="s">
        <v>74</v>
      </c>
      <c r="BO686" t="s">
        <v>555</v>
      </c>
      <c r="BP686" t="s">
        <v>74</v>
      </c>
      <c r="BQ686" t="s">
        <v>74</v>
      </c>
      <c r="BR686" t="s">
        <v>105</v>
      </c>
      <c r="BS686" t="s">
        <v>12638</v>
      </c>
      <c r="BT686" t="str">
        <f>HYPERLINK("https%3A%2F%2Fwww.webofscience.com%2Fwos%2Fwoscc%2Ffull-record%2FWOS:000285506700055","View Full Record in Web of Science")</f>
        <v>View Full Record in Web of Science</v>
      </c>
    </row>
    <row r="687" spans="1:72" x14ac:dyDescent="0.15">
      <c r="A687" t="s">
        <v>8257</v>
      </c>
      <c r="B687" t="s">
        <v>12639</v>
      </c>
      <c r="C687" t="s">
        <v>74</v>
      </c>
      <c r="D687" t="s">
        <v>12571</v>
      </c>
      <c r="E687" t="s">
        <v>74</v>
      </c>
      <c r="F687" t="s">
        <v>12640</v>
      </c>
      <c r="G687" t="s">
        <v>74</v>
      </c>
      <c r="H687" t="s">
        <v>74</v>
      </c>
      <c r="I687" t="s">
        <v>12641</v>
      </c>
      <c r="J687" t="s">
        <v>12574</v>
      </c>
      <c r="K687" t="s">
        <v>9704</v>
      </c>
      <c r="L687" t="s">
        <v>74</v>
      </c>
      <c r="M687" t="s">
        <v>78</v>
      </c>
      <c r="N687" t="s">
        <v>8264</v>
      </c>
      <c r="O687" t="s">
        <v>12575</v>
      </c>
      <c r="P687" t="s">
        <v>12535</v>
      </c>
      <c r="Q687" t="s">
        <v>9707</v>
      </c>
      <c r="R687" t="s">
        <v>74</v>
      </c>
      <c r="S687" t="s">
        <v>74</v>
      </c>
      <c r="T687" t="s">
        <v>12642</v>
      </c>
      <c r="U687" t="s">
        <v>74</v>
      </c>
      <c r="V687" t="s">
        <v>12643</v>
      </c>
      <c r="W687" t="s">
        <v>12644</v>
      </c>
      <c r="X687" t="s">
        <v>74</v>
      </c>
      <c r="Y687" t="s">
        <v>12645</v>
      </c>
      <c r="Z687" t="s">
        <v>74</v>
      </c>
      <c r="AA687" t="s">
        <v>74</v>
      </c>
      <c r="AB687" t="s">
        <v>74</v>
      </c>
      <c r="AC687" t="s">
        <v>74</v>
      </c>
      <c r="AD687" t="s">
        <v>74</v>
      </c>
      <c r="AE687" t="s">
        <v>74</v>
      </c>
      <c r="AF687" t="s">
        <v>74</v>
      </c>
      <c r="AG687">
        <v>1</v>
      </c>
      <c r="AH687">
        <v>0</v>
      </c>
      <c r="AI687">
        <v>0</v>
      </c>
      <c r="AJ687">
        <v>0</v>
      </c>
      <c r="AK687">
        <v>0</v>
      </c>
      <c r="AL687" t="s">
        <v>8533</v>
      </c>
      <c r="AM687" t="s">
        <v>8534</v>
      </c>
      <c r="AN687" t="s">
        <v>8535</v>
      </c>
      <c r="AO687" t="s">
        <v>8536</v>
      </c>
      <c r="AP687" t="s">
        <v>74</v>
      </c>
      <c r="AQ687" t="s">
        <v>12586</v>
      </c>
      <c r="AR687" t="s">
        <v>9719</v>
      </c>
      <c r="AS687" t="s">
        <v>74</v>
      </c>
      <c r="AT687" t="s">
        <v>74</v>
      </c>
      <c r="AU687">
        <v>2010</v>
      </c>
      <c r="AV687">
        <v>7733</v>
      </c>
      <c r="AW687" t="s">
        <v>74</v>
      </c>
      <c r="AX687" t="s">
        <v>74</v>
      </c>
      <c r="AY687" t="s">
        <v>74</v>
      </c>
      <c r="AZ687" t="s">
        <v>74</v>
      </c>
      <c r="BA687" t="s">
        <v>74</v>
      </c>
      <c r="BB687" t="s">
        <v>74</v>
      </c>
      <c r="BC687" t="s">
        <v>74</v>
      </c>
      <c r="BD687" t="s">
        <v>12646</v>
      </c>
      <c r="BE687" t="s">
        <v>12647</v>
      </c>
      <c r="BF687" t="str">
        <f>HYPERLINK("http://dx.doi.org/10.1117/12.858885","http://dx.doi.org/10.1117/12.858885")</f>
        <v>http://dx.doi.org/10.1117/12.858885</v>
      </c>
      <c r="BG687" t="s">
        <v>74</v>
      </c>
      <c r="BH687" t="s">
        <v>74</v>
      </c>
      <c r="BI687">
        <v>7</v>
      </c>
      <c r="BJ687" t="s">
        <v>12589</v>
      </c>
      <c r="BK687" t="s">
        <v>8281</v>
      </c>
      <c r="BL687" t="s">
        <v>12589</v>
      </c>
      <c r="BM687" t="s">
        <v>12590</v>
      </c>
      <c r="BN687" t="s">
        <v>74</v>
      </c>
      <c r="BO687" t="s">
        <v>74</v>
      </c>
      <c r="BP687" t="s">
        <v>74</v>
      </c>
      <c r="BQ687" t="s">
        <v>74</v>
      </c>
      <c r="BR687" t="s">
        <v>105</v>
      </c>
      <c r="BS687" t="s">
        <v>12648</v>
      </c>
      <c r="BT687" t="str">
        <f>HYPERLINK("https%3A%2F%2Fwww.webofscience.com%2Fwos%2Fwoscc%2Ffull-record%2FWOS:000285506700155","View Full Record in Web of Science")</f>
        <v>View Full Record in Web of Science</v>
      </c>
    </row>
    <row r="688" spans="1:72" x14ac:dyDescent="0.15">
      <c r="A688" t="s">
        <v>8257</v>
      </c>
      <c r="B688" t="s">
        <v>12649</v>
      </c>
      <c r="C688" t="s">
        <v>74</v>
      </c>
      <c r="D688" t="s">
        <v>12571</v>
      </c>
      <c r="E688" t="s">
        <v>74</v>
      </c>
      <c r="F688" t="s">
        <v>12650</v>
      </c>
      <c r="G688" t="s">
        <v>74</v>
      </c>
      <c r="H688" t="s">
        <v>74</v>
      </c>
      <c r="I688" t="s">
        <v>12651</v>
      </c>
      <c r="J688" t="s">
        <v>12574</v>
      </c>
      <c r="K688" t="s">
        <v>9704</v>
      </c>
      <c r="L688" t="s">
        <v>74</v>
      </c>
      <c r="M688" t="s">
        <v>78</v>
      </c>
      <c r="N688" t="s">
        <v>8264</v>
      </c>
      <c r="O688" t="s">
        <v>12575</v>
      </c>
      <c r="P688" t="s">
        <v>12535</v>
      </c>
      <c r="Q688" t="s">
        <v>9707</v>
      </c>
      <c r="R688" t="s">
        <v>74</v>
      </c>
      <c r="S688" t="s">
        <v>74</v>
      </c>
      <c r="T688" t="s">
        <v>12652</v>
      </c>
      <c r="U688" t="s">
        <v>12653</v>
      </c>
      <c r="V688" t="s">
        <v>12654</v>
      </c>
      <c r="W688" t="s">
        <v>12655</v>
      </c>
      <c r="X688" t="s">
        <v>12616</v>
      </c>
      <c r="Y688" t="s">
        <v>12656</v>
      </c>
      <c r="Z688" t="s">
        <v>12657</v>
      </c>
      <c r="AA688" t="s">
        <v>12658</v>
      </c>
      <c r="AB688" t="s">
        <v>12659</v>
      </c>
      <c r="AC688" t="s">
        <v>74</v>
      </c>
      <c r="AD688" t="s">
        <v>74</v>
      </c>
      <c r="AE688" t="s">
        <v>74</v>
      </c>
      <c r="AF688" t="s">
        <v>74</v>
      </c>
      <c r="AG688">
        <v>22</v>
      </c>
      <c r="AH688">
        <v>2</v>
      </c>
      <c r="AI688">
        <v>2</v>
      </c>
      <c r="AJ688">
        <v>0</v>
      </c>
      <c r="AK688">
        <v>4</v>
      </c>
      <c r="AL688" t="s">
        <v>8533</v>
      </c>
      <c r="AM688" t="s">
        <v>8534</v>
      </c>
      <c r="AN688" t="s">
        <v>8535</v>
      </c>
      <c r="AO688" t="s">
        <v>8536</v>
      </c>
      <c r="AP688" t="s">
        <v>74</v>
      </c>
      <c r="AQ688" t="s">
        <v>12586</v>
      </c>
      <c r="AR688" t="s">
        <v>9719</v>
      </c>
      <c r="AS688" t="s">
        <v>74</v>
      </c>
      <c r="AT688" t="s">
        <v>74</v>
      </c>
      <c r="AU688">
        <v>2010</v>
      </c>
      <c r="AV688">
        <v>7733</v>
      </c>
      <c r="AW688" t="s">
        <v>74</v>
      </c>
      <c r="AX688" t="s">
        <v>74</v>
      </c>
      <c r="AY688" t="s">
        <v>74</v>
      </c>
      <c r="AZ688" t="s">
        <v>74</v>
      </c>
      <c r="BA688" t="s">
        <v>74</v>
      </c>
      <c r="BB688" t="s">
        <v>74</v>
      </c>
      <c r="BC688" t="s">
        <v>74</v>
      </c>
      <c r="BD688" t="s">
        <v>12660</v>
      </c>
      <c r="BE688" t="s">
        <v>12661</v>
      </c>
      <c r="BF688" t="str">
        <f>HYPERLINK("http://dx.doi.org/10.1117/12.856915","http://dx.doi.org/10.1117/12.856915")</f>
        <v>http://dx.doi.org/10.1117/12.856915</v>
      </c>
      <c r="BG688" t="s">
        <v>74</v>
      </c>
      <c r="BH688" t="s">
        <v>74</v>
      </c>
      <c r="BI688">
        <v>12</v>
      </c>
      <c r="BJ688" t="s">
        <v>12589</v>
      </c>
      <c r="BK688" t="s">
        <v>8281</v>
      </c>
      <c r="BL688" t="s">
        <v>12589</v>
      </c>
      <c r="BM688" t="s">
        <v>12590</v>
      </c>
      <c r="BN688" t="s">
        <v>74</v>
      </c>
      <c r="BO688" t="s">
        <v>555</v>
      </c>
      <c r="BP688" t="s">
        <v>74</v>
      </c>
      <c r="BQ688" t="s">
        <v>74</v>
      </c>
      <c r="BR688" t="s">
        <v>105</v>
      </c>
      <c r="BS688" t="s">
        <v>12662</v>
      </c>
      <c r="BT688" t="str">
        <f>HYPERLINK("https%3A%2F%2Fwww.webofscience.com%2Fwos%2Fwoscc%2Ffull-record%2FWOS:000285506700140","View Full Record in Web of Science")</f>
        <v>View Full Record in Web of Science</v>
      </c>
    </row>
    <row r="689" spans="1:72" x14ac:dyDescent="0.15">
      <c r="A689" t="s">
        <v>8257</v>
      </c>
      <c r="B689" t="s">
        <v>12663</v>
      </c>
      <c r="C689" t="s">
        <v>74</v>
      </c>
      <c r="D689" t="s">
        <v>12571</v>
      </c>
      <c r="E689" t="s">
        <v>74</v>
      </c>
      <c r="F689" t="s">
        <v>12664</v>
      </c>
      <c r="G689" t="s">
        <v>74</v>
      </c>
      <c r="H689" t="s">
        <v>74</v>
      </c>
      <c r="I689" t="s">
        <v>12665</v>
      </c>
      <c r="J689" t="s">
        <v>12574</v>
      </c>
      <c r="K689" t="s">
        <v>9704</v>
      </c>
      <c r="L689" t="s">
        <v>74</v>
      </c>
      <c r="M689" t="s">
        <v>78</v>
      </c>
      <c r="N689" t="s">
        <v>8264</v>
      </c>
      <c r="O689" t="s">
        <v>12575</v>
      </c>
      <c r="P689" t="s">
        <v>12535</v>
      </c>
      <c r="Q689" t="s">
        <v>9707</v>
      </c>
      <c r="R689" t="s">
        <v>74</v>
      </c>
      <c r="S689" t="s">
        <v>74</v>
      </c>
      <c r="T689" t="s">
        <v>12666</v>
      </c>
      <c r="U689" t="s">
        <v>74</v>
      </c>
      <c r="V689" t="s">
        <v>12667</v>
      </c>
      <c r="W689" t="s">
        <v>12668</v>
      </c>
      <c r="X689" t="s">
        <v>12669</v>
      </c>
      <c r="Y689" t="s">
        <v>12670</v>
      </c>
      <c r="Z689" t="s">
        <v>12671</v>
      </c>
      <c r="AA689" t="s">
        <v>12672</v>
      </c>
      <c r="AB689" t="s">
        <v>12673</v>
      </c>
      <c r="AC689" t="s">
        <v>12674</v>
      </c>
      <c r="AD689" t="s">
        <v>12675</v>
      </c>
      <c r="AE689" t="s">
        <v>12676</v>
      </c>
      <c r="AF689" t="s">
        <v>74</v>
      </c>
      <c r="AG689">
        <v>5</v>
      </c>
      <c r="AH689">
        <v>1</v>
      </c>
      <c r="AI689">
        <v>1</v>
      </c>
      <c r="AJ689">
        <v>1</v>
      </c>
      <c r="AK689">
        <v>2</v>
      </c>
      <c r="AL689" t="s">
        <v>8533</v>
      </c>
      <c r="AM689" t="s">
        <v>8534</v>
      </c>
      <c r="AN689" t="s">
        <v>8535</v>
      </c>
      <c r="AO689" t="s">
        <v>8536</v>
      </c>
      <c r="AP689" t="s">
        <v>9717</v>
      </c>
      <c r="AQ689" t="s">
        <v>12586</v>
      </c>
      <c r="AR689" t="s">
        <v>9719</v>
      </c>
      <c r="AS689" t="s">
        <v>74</v>
      </c>
      <c r="AT689" t="s">
        <v>74</v>
      </c>
      <c r="AU689">
        <v>2010</v>
      </c>
      <c r="AV689">
        <v>7733</v>
      </c>
      <c r="AW689" t="s">
        <v>74</v>
      </c>
      <c r="AX689" t="s">
        <v>74</v>
      </c>
      <c r="AY689" t="s">
        <v>74</v>
      </c>
      <c r="AZ689" t="s">
        <v>74</v>
      </c>
      <c r="BA689" t="s">
        <v>74</v>
      </c>
      <c r="BB689" t="s">
        <v>74</v>
      </c>
      <c r="BC689" t="s">
        <v>74</v>
      </c>
      <c r="BD689" t="s">
        <v>12677</v>
      </c>
      <c r="BE689" t="s">
        <v>12678</v>
      </c>
      <c r="BF689" t="str">
        <f>HYPERLINK("http://dx.doi.org/10.1117/12.858187","http://dx.doi.org/10.1117/12.858187")</f>
        <v>http://dx.doi.org/10.1117/12.858187</v>
      </c>
      <c r="BG689" t="s">
        <v>74</v>
      </c>
      <c r="BH689" t="s">
        <v>74</v>
      </c>
      <c r="BI689">
        <v>12</v>
      </c>
      <c r="BJ689" t="s">
        <v>12589</v>
      </c>
      <c r="BK689" t="s">
        <v>8281</v>
      </c>
      <c r="BL689" t="s">
        <v>12589</v>
      </c>
      <c r="BM689" t="s">
        <v>12590</v>
      </c>
      <c r="BN689" t="s">
        <v>74</v>
      </c>
      <c r="BO689" t="s">
        <v>5946</v>
      </c>
      <c r="BP689" t="s">
        <v>74</v>
      </c>
      <c r="BQ689" t="s">
        <v>74</v>
      </c>
      <c r="BR689" t="s">
        <v>105</v>
      </c>
      <c r="BS689" t="s">
        <v>12679</v>
      </c>
      <c r="BT689" t="str">
        <f>HYPERLINK("https%3A%2F%2Fwww.webofscience.com%2Fwos%2Fwoscc%2Ffull-record%2FWOS:000285506700054","View Full Record in Web of Science")</f>
        <v>View Full Record in Web of Science</v>
      </c>
    </row>
    <row r="690" spans="1:72" x14ac:dyDescent="0.15">
      <c r="A690" t="s">
        <v>8257</v>
      </c>
      <c r="B690" t="s">
        <v>12680</v>
      </c>
      <c r="C690" t="s">
        <v>74</v>
      </c>
      <c r="D690" t="s">
        <v>12571</v>
      </c>
      <c r="E690" t="s">
        <v>74</v>
      </c>
      <c r="F690" t="s">
        <v>12681</v>
      </c>
      <c r="G690" t="s">
        <v>74</v>
      </c>
      <c r="H690" t="s">
        <v>74</v>
      </c>
      <c r="I690" t="s">
        <v>12682</v>
      </c>
      <c r="J690" t="s">
        <v>12574</v>
      </c>
      <c r="K690" t="s">
        <v>9704</v>
      </c>
      <c r="L690" t="s">
        <v>74</v>
      </c>
      <c r="M690" t="s">
        <v>78</v>
      </c>
      <c r="N690" t="s">
        <v>8264</v>
      </c>
      <c r="O690" t="s">
        <v>12575</v>
      </c>
      <c r="P690" t="s">
        <v>12535</v>
      </c>
      <c r="Q690" t="s">
        <v>9707</v>
      </c>
      <c r="R690" t="s">
        <v>74</v>
      </c>
      <c r="S690" t="s">
        <v>74</v>
      </c>
      <c r="T690" t="s">
        <v>12683</v>
      </c>
      <c r="U690" t="s">
        <v>12684</v>
      </c>
      <c r="V690" t="s">
        <v>12685</v>
      </c>
      <c r="W690" t="s">
        <v>12686</v>
      </c>
      <c r="X690" t="s">
        <v>12687</v>
      </c>
      <c r="Y690" t="s">
        <v>12688</v>
      </c>
      <c r="Z690" t="s">
        <v>12689</v>
      </c>
      <c r="AA690" t="s">
        <v>74</v>
      </c>
      <c r="AB690" t="s">
        <v>12690</v>
      </c>
      <c r="AC690" t="s">
        <v>12691</v>
      </c>
      <c r="AD690" t="s">
        <v>12692</v>
      </c>
      <c r="AE690" t="s">
        <v>74</v>
      </c>
      <c r="AF690" t="s">
        <v>74</v>
      </c>
      <c r="AG690">
        <v>12</v>
      </c>
      <c r="AH690">
        <v>1</v>
      </c>
      <c r="AI690">
        <v>1</v>
      </c>
      <c r="AJ690">
        <v>0</v>
      </c>
      <c r="AK690">
        <v>0</v>
      </c>
      <c r="AL690" t="s">
        <v>8533</v>
      </c>
      <c r="AM690" t="s">
        <v>8534</v>
      </c>
      <c r="AN690" t="s">
        <v>8535</v>
      </c>
      <c r="AO690" t="s">
        <v>8536</v>
      </c>
      <c r="AP690" t="s">
        <v>9717</v>
      </c>
      <c r="AQ690" t="s">
        <v>12586</v>
      </c>
      <c r="AR690" t="s">
        <v>9719</v>
      </c>
      <c r="AS690" t="s">
        <v>74</v>
      </c>
      <c r="AT690" t="s">
        <v>74</v>
      </c>
      <c r="AU690">
        <v>2010</v>
      </c>
      <c r="AV690">
        <v>7733</v>
      </c>
      <c r="AW690" t="s">
        <v>74</v>
      </c>
      <c r="AX690" t="s">
        <v>74</v>
      </c>
      <c r="AY690" t="s">
        <v>74</v>
      </c>
      <c r="AZ690" t="s">
        <v>74</v>
      </c>
      <c r="BA690" t="s">
        <v>74</v>
      </c>
      <c r="BB690" t="s">
        <v>74</v>
      </c>
      <c r="BC690" t="s">
        <v>74</v>
      </c>
      <c r="BD690" t="s">
        <v>12693</v>
      </c>
      <c r="BE690" t="s">
        <v>12694</v>
      </c>
      <c r="BF690" t="str">
        <f>HYPERLINK("http://dx.doi.org/10.1117/12.856576","http://dx.doi.org/10.1117/12.856576")</f>
        <v>http://dx.doi.org/10.1117/12.856576</v>
      </c>
      <c r="BG690" t="s">
        <v>74</v>
      </c>
      <c r="BH690" t="s">
        <v>74</v>
      </c>
      <c r="BI690">
        <v>11</v>
      </c>
      <c r="BJ690" t="s">
        <v>12589</v>
      </c>
      <c r="BK690" t="s">
        <v>8281</v>
      </c>
      <c r="BL690" t="s">
        <v>12589</v>
      </c>
      <c r="BM690" t="s">
        <v>12590</v>
      </c>
      <c r="BN690" t="s">
        <v>74</v>
      </c>
      <c r="BO690" t="s">
        <v>74</v>
      </c>
      <c r="BP690" t="s">
        <v>74</v>
      </c>
      <c r="BQ690" t="s">
        <v>74</v>
      </c>
      <c r="BR690" t="s">
        <v>105</v>
      </c>
      <c r="BS690" t="s">
        <v>12695</v>
      </c>
      <c r="BT690" t="str">
        <f>HYPERLINK("https%3A%2F%2Fwww.webofscience.com%2Fwos%2Fwoscc%2Ffull-record%2FWOS:000285506700056","View Full Record in Web of Science")</f>
        <v>View Full Record in Web of Science</v>
      </c>
    </row>
    <row r="691" spans="1:72" x14ac:dyDescent="0.15">
      <c r="A691" t="s">
        <v>8257</v>
      </c>
      <c r="B691" t="s">
        <v>12696</v>
      </c>
      <c r="C691" t="s">
        <v>74</v>
      </c>
      <c r="D691" t="s">
        <v>12571</v>
      </c>
      <c r="E691" t="s">
        <v>74</v>
      </c>
      <c r="F691" t="s">
        <v>12697</v>
      </c>
      <c r="G691" t="s">
        <v>74</v>
      </c>
      <c r="H691" t="s">
        <v>74</v>
      </c>
      <c r="I691" t="s">
        <v>12698</v>
      </c>
      <c r="J691" t="s">
        <v>12574</v>
      </c>
      <c r="K691" t="s">
        <v>9704</v>
      </c>
      <c r="L691" t="s">
        <v>74</v>
      </c>
      <c r="M691" t="s">
        <v>78</v>
      </c>
      <c r="N691" t="s">
        <v>8264</v>
      </c>
      <c r="O691" t="s">
        <v>12575</v>
      </c>
      <c r="P691" t="s">
        <v>12535</v>
      </c>
      <c r="Q691" t="s">
        <v>9707</v>
      </c>
      <c r="R691" t="s">
        <v>74</v>
      </c>
      <c r="S691" t="s">
        <v>74</v>
      </c>
      <c r="T691" t="s">
        <v>12699</v>
      </c>
      <c r="U691" t="s">
        <v>74</v>
      </c>
      <c r="V691" t="s">
        <v>12700</v>
      </c>
      <c r="W691" t="s">
        <v>12701</v>
      </c>
      <c r="X691" t="s">
        <v>12702</v>
      </c>
      <c r="Y691" t="s">
        <v>12703</v>
      </c>
      <c r="Z691" t="s">
        <v>12704</v>
      </c>
      <c r="AA691" t="s">
        <v>74</v>
      </c>
      <c r="AB691" t="s">
        <v>74</v>
      </c>
      <c r="AC691" t="s">
        <v>74</v>
      </c>
      <c r="AD691" t="s">
        <v>74</v>
      </c>
      <c r="AE691" t="s">
        <v>74</v>
      </c>
      <c r="AF691" t="s">
        <v>74</v>
      </c>
      <c r="AG691">
        <v>12</v>
      </c>
      <c r="AH691">
        <v>3</v>
      </c>
      <c r="AI691">
        <v>4</v>
      </c>
      <c r="AJ691">
        <v>1</v>
      </c>
      <c r="AK691">
        <v>1</v>
      </c>
      <c r="AL691" t="s">
        <v>8533</v>
      </c>
      <c r="AM691" t="s">
        <v>8534</v>
      </c>
      <c r="AN691" t="s">
        <v>8535</v>
      </c>
      <c r="AO691" t="s">
        <v>8536</v>
      </c>
      <c r="AP691" t="s">
        <v>9717</v>
      </c>
      <c r="AQ691" t="s">
        <v>12586</v>
      </c>
      <c r="AR691" t="s">
        <v>9719</v>
      </c>
      <c r="AS691" t="s">
        <v>74</v>
      </c>
      <c r="AT691" t="s">
        <v>74</v>
      </c>
      <c r="AU691">
        <v>2010</v>
      </c>
      <c r="AV691">
        <v>7733</v>
      </c>
      <c r="AW691" t="s">
        <v>74</v>
      </c>
      <c r="AX691" t="s">
        <v>74</v>
      </c>
      <c r="AY691" t="s">
        <v>74</v>
      </c>
      <c r="AZ691" t="s">
        <v>74</v>
      </c>
      <c r="BA691" t="s">
        <v>74</v>
      </c>
      <c r="BB691" t="s">
        <v>74</v>
      </c>
      <c r="BC691" t="s">
        <v>74</v>
      </c>
      <c r="BD691" t="s">
        <v>12705</v>
      </c>
      <c r="BE691" t="s">
        <v>12706</v>
      </c>
      <c r="BF691" t="str">
        <f>HYPERLINK("http://dx.doi.org/10.1117/12.856762","http://dx.doi.org/10.1117/12.856762")</f>
        <v>http://dx.doi.org/10.1117/12.856762</v>
      </c>
      <c r="BG691" t="s">
        <v>74</v>
      </c>
      <c r="BH691" t="s">
        <v>74</v>
      </c>
      <c r="BI691">
        <v>8</v>
      </c>
      <c r="BJ691" t="s">
        <v>12589</v>
      </c>
      <c r="BK691" t="s">
        <v>8281</v>
      </c>
      <c r="BL691" t="s">
        <v>12589</v>
      </c>
      <c r="BM691" t="s">
        <v>12590</v>
      </c>
      <c r="BN691" t="s">
        <v>74</v>
      </c>
      <c r="BO691" t="s">
        <v>74</v>
      </c>
      <c r="BP691" t="s">
        <v>74</v>
      </c>
      <c r="BQ691" t="s">
        <v>74</v>
      </c>
      <c r="BR691" t="s">
        <v>105</v>
      </c>
      <c r="BS691" t="s">
        <v>12707</v>
      </c>
      <c r="BT691" t="str">
        <f>HYPERLINK("https%3A%2F%2Fwww.webofscience.com%2Fwos%2Fwoscc%2Ffull-record%2FWOS:000285506700154","View Full Record in Web of Science")</f>
        <v>View Full Record in Web of Science</v>
      </c>
    </row>
    <row r="692" spans="1:72" x14ac:dyDescent="0.15">
      <c r="A692" t="s">
        <v>8257</v>
      </c>
      <c r="B692" t="s">
        <v>12708</v>
      </c>
      <c r="C692" t="s">
        <v>74</v>
      </c>
      <c r="D692" t="s">
        <v>12571</v>
      </c>
      <c r="E692" t="s">
        <v>74</v>
      </c>
      <c r="F692" t="s">
        <v>12709</v>
      </c>
      <c r="G692" t="s">
        <v>74</v>
      </c>
      <c r="H692" t="s">
        <v>74</v>
      </c>
      <c r="I692" t="s">
        <v>12710</v>
      </c>
      <c r="J692" t="s">
        <v>12574</v>
      </c>
      <c r="K692" t="s">
        <v>9704</v>
      </c>
      <c r="L692" t="s">
        <v>74</v>
      </c>
      <c r="M692" t="s">
        <v>78</v>
      </c>
      <c r="N692" t="s">
        <v>8264</v>
      </c>
      <c r="O692" t="s">
        <v>12575</v>
      </c>
      <c r="P692" t="s">
        <v>12535</v>
      </c>
      <c r="Q692" t="s">
        <v>9707</v>
      </c>
      <c r="R692" t="s">
        <v>74</v>
      </c>
      <c r="S692" t="s">
        <v>74</v>
      </c>
      <c r="T692" t="s">
        <v>12711</v>
      </c>
      <c r="U692" t="s">
        <v>12712</v>
      </c>
      <c r="V692" t="s">
        <v>12713</v>
      </c>
      <c r="W692" t="s">
        <v>12714</v>
      </c>
      <c r="X692" t="s">
        <v>74</v>
      </c>
      <c r="Y692" t="s">
        <v>12715</v>
      </c>
      <c r="Z692" t="s">
        <v>12716</v>
      </c>
      <c r="AA692" t="s">
        <v>74</v>
      </c>
      <c r="AB692" t="s">
        <v>74</v>
      </c>
      <c r="AC692" t="s">
        <v>74</v>
      </c>
      <c r="AD692" t="s">
        <v>74</v>
      </c>
      <c r="AE692" t="s">
        <v>74</v>
      </c>
      <c r="AF692" t="s">
        <v>74</v>
      </c>
      <c r="AG692">
        <v>11</v>
      </c>
      <c r="AH692">
        <v>0</v>
      </c>
      <c r="AI692">
        <v>0</v>
      </c>
      <c r="AJ692">
        <v>0</v>
      </c>
      <c r="AK692">
        <v>2</v>
      </c>
      <c r="AL692" t="s">
        <v>8533</v>
      </c>
      <c r="AM692" t="s">
        <v>8534</v>
      </c>
      <c r="AN692" t="s">
        <v>8535</v>
      </c>
      <c r="AO692" t="s">
        <v>8536</v>
      </c>
      <c r="AP692" t="s">
        <v>9717</v>
      </c>
      <c r="AQ692" t="s">
        <v>12586</v>
      </c>
      <c r="AR692" t="s">
        <v>9719</v>
      </c>
      <c r="AS692" t="s">
        <v>74</v>
      </c>
      <c r="AT692" t="s">
        <v>74</v>
      </c>
      <c r="AU692">
        <v>2010</v>
      </c>
      <c r="AV692">
        <v>7733</v>
      </c>
      <c r="AW692" t="s">
        <v>74</v>
      </c>
      <c r="AX692" t="s">
        <v>74</v>
      </c>
      <c r="AY692" t="s">
        <v>74</v>
      </c>
      <c r="AZ692" t="s">
        <v>74</v>
      </c>
      <c r="BA692" t="s">
        <v>74</v>
      </c>
      <c r="BB692" t="s">
        <v>74</v>
      </c>
      <c r="BC692" t="s">
        <v>74</v>
      </c>
      <c r="BD692" t="s">
        <v>12717</v>
      </c>
      <c r="BE692" t="s">
        <v>12718</v>
      </c>
      <c r="BF692" t="str">
        <f>HYPERLINK("http://dx.doi.org/10.1117/12.856351","http://dx.doi.org/10.1117/12.856351")</f>
        <v>http://dx.doi.org/10.1117/12.856351</v>
      </c>
      <c r="BG692" t="s">
        <v>74</v>
      </c>
      <c r="BH692" t="s">
        <v>74</v>
      </c>
      <c r="BI692">
        <v>7</v>
      </c>
      <c r="BJ692" t="s">
        <v>12589</v>
      </c>
      <c r="BK692" t="s">
        <v>8281</v>
      </c>
      <c r="BL692" t="s">
        <v>12589</v>
      </c>
      <c r="BM692" t="s">
        <v>12590</v>
      </c>
      <c r="BN692" t="s">
        <v>74</v>
      </c>
      <c r="BO692" t="s">
        <v>555</v>
      </c>
      <c r="BP692" t="s">
        <v>74</v>
      </c>
      <c r="BQ692" t="s">
        <v>74</v>
      </c>
      <c r="BR692" t="s">
        <v>105</v>
      </c>
      <c r="BS692" t="s">
        <v>12719</v>
      </c>
      <c r="BT692" t="str">
        <f>HYPERLINK("https%3A%2F%2Fwww.webofscience.com%2Fwos%2Fwoscc%2Ffull-record%2FWOS:000285506700104","View Full Record in Web of Science")</f>
        <v>View Full Record in Web of Science</v>
      </c>
    </row>
    <row r="693" spans="1:72" x14ac:dyDescent="0.15">
      <c r="A693" t="s">
        <v>8257</v>
      </c>
      <c r="B693" t="s">
        <v>12720</v>
      </c>
      <c r="C693" t="s">
        <v>74</v>
      </c>
      <c r="D693" t="s">
        <v>12571</v>
      </c>
      <c r="E693" t="s">
        <v>74</v>
      </c>
      <c r="F693" t="s">
        <v>12721</v>
      </c>
      <c r="G693" t="s">
        <v>74</v>
      </c>
      <c r="H693" t="s">
        <v>74</v>
      </c>
      <c r="I693" t="s">
        <v>12722</v>
      </c>
      <c r="J693" t="s">
        <v>12574</v>
      </c>
      <c r="K693" t="s">
        <v>9704</v>
      </c>
      <c r="L693" t="s">
        <v>74</v>
      </c>
      <c r="M693" t="s">
        <v>78</v>
      </c>
      <c r="N693" t="s">
        <v>8264</v>
      </c>
      <c r="O693" t="s">
        <v>12575</v>
      </c>
      <c r="P693" t="s">
        <v>12535</v>
      </c>
      <c r="Q693" t="s">
        <v>9707</v>
      </c>
      <c r="R693" t="s">
        <v>74</v>
      </c>
      <c r="S693" t="s">
        <v>74</v>
      </c>
      <c r="T693" t="s">
        <v>12723</v>
      </c>
      <c r="U693" t="s">
        <v>74</v>
      </c>
      <c r="V693" t="s">
        <v>12724</v>
      </c>
      <c r="W693" t="s">
        <v>12725</v>
      </c>
      <c r="X693" t="s">
        <v>12726</v>
      </c>
      <c r="Y693" t="s">
        <v>12727</v>
      </c>
      <c r="Z693" t="s">
        <v>12728</v>
      </c>
      <c r="AA693" t="s">
        <v>74</v>
      </c>
      <c r="AB693" t="s">
        <v>12729</v>
      </c>
      <c r="AC693" t="s">
        <v>12730</v>
      </c>
      <c r="AD693" t="s">
        <v>12731</v>
      </c>
      <c r="AE693" t="s">
        <v>12732</v>
      </c>
      <c r="AF693" t="s">
        <v>74</v>
      </c>
      <c r="AG693">
        <v>10</v>
      </c>
      <c r="AH693">
        <v>5</v>
      </c>
      <c r="AI693">
        <v>5</v>
      </c>
      <c r="AJ693">
        <v>0</v>
      </c>
      <c r="AK693">
        <v>8</v>
      </c>
      <c r="AL693" t="s">
        <v>8533</v>
      </c>
      <c r="AM693" t="s">
        <v>8534</v>
      </c>
      <c r="AN693" t="s">
        <v>8535</v>
      </c>
      <c r="AO693" t="s">
        <v>8536</v>
      </c>
      <c r="AP693" t="s">
        <v>9717</v>
      </c>
      <c r="AQ693" t="s">
        <v>12586</v>
      </c>
      <c r="AR693" t="s">
        <v>9719</v>
      </c>
      <c r="AS693" t="s">
        <v>74</v>
      </c>
      <c r="AT693" t="s">
        <v>74</v>
      </c>
      <c r="AU693">
        <v>2010</v>
      </c>
      <c r="AV693">
        <v>7733</v>
      </c>
      <c r="AW693" t="s">
        <v>74</v>
      </c>
      <c r="AX693" t="s">
        <v>74</v>
      </c>
      <c r="AY693" t="s">
        <v>74</v>
      </c>
      <c r="AZ693" t="s">
        <v>74</v>
      </c>
      <c r="BA693" t="s">
        <v>74</v>
      </c>
      <c r="BB693" t="s">
        <v>74</v>
      </c>
      <c r="BC693" t="s">
        <v>74</v>
      </c>
      <c r="BD693" t="s">
        <v>12733</v>
      </c>
      <c r="BE693" t="s">
        <v>12734</v>
      </c>
      <c r="BF693" t="str">
        <f>HYPERLINK("http://dx.doi.org/10.1117/12.857795","http://dx.doi.org/10.1117/12.857795")</f>
        <v>http://dx.doi.org/10.1117/12.857795</v>
      </c>
      <c r="BG693" t="s">
        <v>74</v>
      </c>
      <c r="BH693" t="s">
        <v>74</v>
      </c>
      <c r="BI693">
        <v>9</v>
      </c>
      <c r="BJ693" t="s">
        <v>12589</v>
      </c>
      <c r="BK693" t="s">
        <v>8281</v>
      </c>
      <c r="BL693" t="s">
        <v>12589</v>
      </c>
      <c r="BM693" t="s">
        <v>12590</v>
      </c>
      <c r="BN693" t="s">
        <v>74</v>
      </c>
      <c r="BO693" t="s">
        <v>555</v>
      </c>
      <c r="BP693" t="s">
        <v>74</v>
      </c>
      <c r="BQ693" t="s">
        <v>74</v>
      </c>
      <c r="BR693" t="s">
        <v>105</v>
      </c>
      <c r="BS693" t="s">
        <v>12735</v>
      </c>
      <c r="BT693" t="str">
        <f>HYPERLINK("https%3A%2F%2Fwww.webofscience.com%2Fwos%2Fwoscc%2Ffull-record%2FWOS:000285506700146","View Full Record in Web of Science")</f>
        <v>View Full Record in Web of Science</v>
      </c>
    </row>
    <row r="694" spans="1:72" x14ac:dyDescent="0.15">
      <c r="A694" t="s">
        <v>8257</v>
      </c>
      <c r="B694" t="s">
        <v>12736</v>
      </c>
      <c r="C694" t="s">
        <v>74</v>
      </c>
      <c r="D694" t="s">
        <v>12571</v>
      </c>
      <c r="E694" t="s">
        <v>74</v>
      </c>
      <c r="F694" t="s">
        <v>12737</v>
      </c>
      <c r="G694" t="s">
        <v>74</v>
      </c>
      <c r="H694" t="s">
        <v>74</v>
      </c>
      <c r="I694" t="s">
        <v>12738</v>
      </c>
      <c r="J694" t="s">
        <v>12574</v>
      </c>
      <c r="K694" t="s">
        <v>9704</v>
      </c>
      <c r="L694" t="s">
        <v>74</v>
      </c>
      <c r="M694" t="s">
        <v>78</v>
      </c>
      <c r="N694" t="s">
        <v>8264</v>
      </c>
      <c r="O694" t="s">
        <v>12575</v>
      </c>
      <c r="P694" t="s">
        <v>12535</v>
      </c>
      <c r="Q694" t="s">
        <v>9707</v>
      </c>
      <c r="R694" t="s">
        <v>74</v>
      </c>
      <c r="S694" t="s">
        <v>74</v>
      </c>
      <c r="T694" t="s">
        <v>12739</v>
      </c>
      <c r="U694" t="s">
        <v>74</v>
      </c>
      <c r="V694" t="s">
        <v>12740</v>
      </c>
      <c r="W694" t="s">
        <v>12741</v>
      </c>
      <c r="X694" t="s">
        <v>12742</v>
      </c>
      <c r="Y694" t="s">
        <v>12743</v>
      </c>
      <c r="Z694" t="s">
        <v>12744</v>
      </c>
      <c r="AA694" t="s">
        <v>74</v>
      </c>
      <c r="AB694" t="s">
        <v>74</v>
      </c>
      <c r="AC694" t="s">
        <v>74</v>
      </c>
      <c r="AD694" t="s">
        <v>74</v>
      </c>
      <c r="AE694" t="s">
        <v>74</v>
      </c>
      <c r="AF694" t="s">
        <v>74</v>
      </c>
      <c r="AG694">
        <v>3</v>
      </c>
      <c r="AH694">
        <v>0</v>
      </c>
      <c r="AI694">
        <v>1</v>
      </c>
      <c r="AJ694">
        <v>0</v>
      </c>
      <c r="AK694">
        <v>3</v>
      </c>
      <c r="AL694" t="s">
        <v>8533</v>
      </c>
      <c r="AM694" t="s">
        <v>8534</v>
      </c>
      <c r="AN694" t="s">
        <v>8535</v>
      </c>
      <c r="AO694" t="s">
        <v>8536</v>
      </c>
      <c r="AP694" t="s">
        <v>9717</v>
      </c>
      <c r="AQ694" t="s">
        <v>12586</v>
      </c>
      <c r="AR694" t="s">
        <v>9719</v>
      </c>
      <c r="AS694" t="s">
        <v>74</v>
      </c>
      <c r="AT694" t="s">
        <v>74</v>
      </c>
      <c r="AU694">
        <v>2010</v>
      </c>
      <c r="AV694">
        <v>7733</v>
      </c>
      <c r="AW694" t="s">
        <v>74</v>
      </c>
      <c r="AX694" t="s">
        <v>74</v>
      </c>
      <c r="AY694" t="s">
        <v>74</v>
      </c>
      <c r="AZ694" t="s">
        <v>74</v>
      </c>
      <c r="BA694" t="s">
        <v>74</v>
      </c>
      <c r="BB694" t="s">
        <v>74</v>
      </c>
      <c r="BC694" t="s">
        <v>74</v>
      </c>
      <c r="BD694" t="s">
        <v>12745</v>
      </c>
      <c r="BE694" t="s">
        <v>12746</v>
      </c>
      <c r="BF694" t="str">
        <f>HYPERLINK("http://dx.doi.org/10.1117/12.855933","http://dx.doi.org/10.1117/12.855933")</f>
        <v>http://dx.doi.org/10.1117/12.855933</v>
      </c>
      <c r="BG694" t="s">
        <v>74</v>
      </c>
      <c r="BH694" t="s">
        <v>74</v>
      </c>
      <c r="BI694">
        <v>8</v>
      </c>
      <c r="BJ694" t="s">
        <v>12589</v>
      </c>
      <c r="BK694" t="s">
        <v>8281</v>
      </c>
      <c r="BL694" t="s">
        <v>12589</v>
      </c>
      <c r="BM694" t="s">
        <v>12590</v>
      </c>
      <c r="BN694" t="s">
        <v>74</v>
      </c>
      <c r="BO694" t="s">
        <v>74</v>
      </c>
      <c r="BP694" t="s">
        <v>74</v>
      </c>
      <c r="BQ694" t="s">
        <v>74</v>
      </c>
      <c r="BR694" t="s">
        <v>105</v>
      </c>
      <c r="BS694" t="s">
        <v>12747</v>
      </c>
      <c r="BT694" t="str">
        <f>HYPERLINK("https%3A%2F%2Fwww.webofscience.com%2Fwos%2Fwoscc%2Ffull-record%2FWOS:000285506700058","View Full Record in Web of Science")</f>
        <v>View Full Record in Web of Science</v>
      </c>
    </row>
    <row r="695" spans="1:72" x14ac:dyDescent="0.15">
      <c r="A695" t="s">
        <v>8257</v>
      </c>
      <c r="B695" t="s">
        <v>12748</v>
      </c>
      <c r="C695" t="s">
        <v>74</v>
      </c>
      <c r="D695" t="s">
        <v>12571</v>
      </c>
      <c r="E695" t="s">
        <v>74</v>
      </c>
      <c r="F695" t="s">
        <v>12749</v>
      </c>
      <c r="G695" t="s">
        <v>74</v>
      </c>
      <c r="H695" t="s">
        <v>74</v>
      </c>
      <c r="I695" t="s">
        <v>12750</v>
      </c>
      <c r="J695" t="s">
        <v>12574</v>
      </c>
      <c r="K695" t="s">
        <v>9704</v>
      </c>
      <c r="L695" t="s">
        <v>74</v>
      </c>
      <c r="M695" t="s">
        <v>78</v>
      </c>
      <c r="N695" t="s">
        <v>8264</v>
      </c>
      <c r="O695" t="s">
        <v>12575</v>
      </c>
      <c r="P695" t="s">
        <v>12535</v>
      </c>
      <c r="Q695" t="s">
        <v>9707</v>
      </c>
      <c r="R695" t="s">
        <v>74</v>
      </c>
      <c r="S695" t="s">
        <v>74</v>
      </c>
      <c r="T695" t="s">
        <v>12751</v>
      </c>
      <c r="U695" t="s">
        <v>74</v>
      </c>
      <c r="V695" t="s">
        <v>12752</v>
      </c>
      <c r="W695" t="s">
        <v>12753</v>
      </c>
      <c r="X695" t="s">
        <v>12742</v>
      </c>
      <c r="Y695" t="s">
        <v>12743</v>
      </c>
      <c r="Z695" t="s">
        <v>12744</v>
      </c>
      <c r="AA695" t="s">
        <v>74</v>
      </c>
      <c r="AB695" t="s">
        <v>74</v>
      </c>
      <c r="AC695" t="s">
        <v>74</v>
      </c>
      <c r="AD695" t="s">
        <v>74</v>
      </c>
      <c r="AE695" t="s">
        <v>74</v>
      </c>
      <c r="AF695" t="s">
        <v>74</v>
      </c>
      <c r="AG695">
        <v>11</v>
      </c>
      <c r="AH695">
        <v>1</v>
      </c>
      <c r="AI695">
        <v>2</v>
      </c>
      <c r="AJ695">
        <v>0</v>
      </c>
      <c r="AK695">
        <v>3</v>
      </c>
      <c r="AL695" t="s">
        <v>8533</v>
      </c>
      <c r="AM695" t="s">
        <v>8534</v>
      </c>
      <c r="AN695" t="s">
        <v>8535</v>
      </c>
      <c r="AO695" t="s">
        <v>8536</v>
      </c>
      <c r="AP695" t="s">
        <v>9717</v>
      </c>
      <c r="AQ695" t="s">
        <v>12586</v>
      </c>
      <c r="AR695" t="s">
        <v>9719</v>
      </c>
      <c r="AS695" t="s">
        <v>74</v>
      </c>
      <c r="AT695" t="s">
        <v>74</v>
      </c>
      <c r="AU695">
        <v>2010</v>
      </c>
      <c r="AV695">
        <v>7733</v>
      </c>
      <c r="AW695" t="s">
        <v>74</v>
      </c>
      <c r="AX695" t="s">
        <v>74</v>
      </c>
      <c r="AY695" t="s">
        <v>74</v>
      </c>
      <c r="AZ695" t="s">
        <v>74</v>
      </c>
      <c r="BA695" t="s">
        <v>74</v>
      </c>
      <c r="BB695" t="s">
        <v>74</v>
      </c>
      <c r="BC695" t="s">
        <v>74</v>
      </c>
      <c r="BD695" t="s">
        <v>12754</v>
      </c>
      <c r="BE695" t="s">
        <v>12755</v>
      </c>
      <c r="BF695" t="str">
        <f>HYPERLINK("http://dx.doi.org/10.1117/12.856246","http://dx.doi.org/10.1117/12.856246")</f>
        <v>http://dx.doi.org/10.1117/12.856246</v>
      </c>
      <c r="BG695" t="s">
        <v>74</v>
      </c>
      <c r="BH695" t="s">
        <v>74</v>
      </c>
      <c r="BI695">
        <v>12</v>
      </c>
      <c r="BJ695" t="s">
        <v>12589</v>
      </c>
      <c r="BK695" t="s">
        <v>8281</v>
      </c>
      <c r="BL695" t="s">
        <v>12589</v>
      </c>
      <c r="BM695" t="s">
        <v>12590</v>
      </c>
      <c r="BN695" t="s">
        <v>74</v>
      </c>
      <c r="BO695" t="s">
        <v>74</v>
      </c>
      <c r="BP695" t="s">
        <v>74</v>
      </c>
      <c r="BQ695" t="s">
        <v>74</v>
      </c>
      <c r="BR695" t="s">
        <v>105</v>
      </c>
      <c r="BS695" t="s">
        <v>12756</v>
      </c>
      <c r="BT695" t="str">
        <f>HYPERLINK("https%3A%2F%2Fwww.webofscience.com%2Fwos%2Fwoscc%2Ffull-record%2FWOS:000285506700153","View Full Record in Web of Science")</f>
        <v>View Full Record in Web of Science</v>
      </c>
    </row>
    <row r="696" spans="1:72" x14ac:dyDescent="0.15">
      <c r="A696" t="s">
        <v>8257</v>
      </c>
      <c r="B696" t="s">
        <v>12757</v>
      </c>
      <c r="C696" t="s">
        <v>74</v>
      </c>
      <c r="D696" t="s">
        <v>12571</v>
      </c>
      <c r="E696" t="s">
        <v>74</v>
      </c>
      <c r="F696" t="s">
        <v>12758</v>
      </c>
      <c r="G696" t="s">
        <v>74</v>
      </c>
      <c r="H696" t="s">
        <v>74</v>
      </c>
      <c r="I696" t="s">
        <v>12759</v>
      </c>
      <c r="J696" t="s">
        <v>12574</v>
      </c>
      <c r="K696" t="s">
        <v>9704</v>
      </c>
      <c r="L696" t="s">
        <v>74</v>
      </c>
      <c r="M696" t="s">
        <v>78</v>
      </c>
      <c r="N696" t="s">
        <v>8264</v>
      </c>
      <c r="O696" t="s">
        <v>12575</v>
      </c>
      <c r="P696" t="s">
        <v>12535</v>
      </c>
      <c r="Q696" t="s">
        <v>9707</v>
      </c>
      <c r="R696" t="s">
        <v>74</v>
      </c>
      <c r="S696" t="s">
        <v>74</v>
      </c>
      <c r="T696" t="s">
        <v>12760</v>
      </c>
      <c r="U696" t="s">
        <v>12761</v>
      </c>
      <c r="V696" t="s">
        <v>12762</v>
      </c>
      <c r="W696" t="s">
        <v>12763</v>
      </c>
      <c r="X696" t="s">
        <v>12702</v>
      </c>
      <c r="Y696" t="s">
        <v>12764</v>
      </c>
      <c r="Z696" t="s">
        <v>12765</v>
      </c>
      <c r="AA696" t="s">
        <v>74</v>
      </c>
      <c r="AB696" t="s">
        <v>74</v>
      </c>
      <c r="AC696" t="s">
        <v>74</v>
      </c>
      <c r="AD696" t="s">
        <v>74</v>
      </c>
      <c r="AE696" t="s">
        <v>74</v>
      </c>
      <c r="AF696" t="s">
        <v>74</v>
      </c>
      <c r="AG696">
        <v>7</v>
      </c>
      <c r="AH696">
        <v>0</v>
      </c>
      <c r="AI696">
        <v>0</v>
      </c>
      <c r="AJ696">
        <v>0</v>
      </c>
      <c r="AK696">
        <v>2</v>
      </c>
      <c r="AL696" t="s">
        <v>8533</v>
      </c>
      <c r="AM696" t="s">
        <v>8534</v>
      </c>
      <c r="AN696" t="s">
        <v>8535</v>
      </c>
      <c r="AO696" t="s">
        <v>8536</v>
      </c>
      <c r="AP696" t="s">
        <v>74</v>
      </c>
      <c r="AQ696" t="s">
        <v>12586</v>
      </c>
      <c r="AR696" t="s">
        <v>9719</v>
      </c>
      <c r="AS696" t="s">
        <v>74</v>
      </c>
      <c r="AT696" t="s">
        <v>74</v>
      </c>
      <c r="AU696">
        <v>2010</v>
      </c>
      <c r="AV696">
        <v>7733</v>
      </c>
      <c r="AW696" t="s">
        <v>74</v>
      </c>
      <c r="AX696" t="s">
        <v>74</v>
      </c>
      <c r="AY696" t="s">
        <v>74</v>
      </c>
      <c r="AZ696" t="s">
        <v>74</v>
      </c>
      <c r="BA696" t="s">
        <v>74</v>
      </c>
      <c r="BB696" t="s">
        <v>74</v>
      </c>
      <c r="BC696" t="s">
        <v>74</v>
      </c>
      <c r="BD696" t="s">
        <v>12766</v>
      </c>
      <c r="BE696" t="s">
        <v>12767</v>
      </c>
      <c r="BF696" t="str">
        <f>HYPERLINK("http://dx.doi.org/10.1117/12.856831","http://dx.doi.org/10.1117/12.856831")</f>
        <v>http://dx.doi.org/10.1117/12.856831</v>
      </c>
      <c r="BG696" t="s">
        <v>74</v>
      </c>
      <c r="BH696" t="s">
        <v>74</v>
      </c>
      <c r="BI696">
        <v>8</v>
      </c>
      <c r="BJ696" t="s">
        <v>12589</v>
      </c>
      <c r="BK696" t="s">
        <v>8281</v>
      </c>
      <c r="BL696" t="s">
        <v>12589</v>
      </c>
      <c r="BM696" t="s">
        <v>12590</v>
      </c>
      <c r="BN696" t="s">
        <v>74</v>
      </c>
      <c r="BO696" t="s">
        <v>74</v>
      </c>
      <c r="BP696" t="s">
        <v>74</v>
      </c>
      <c r="BQ696" t="s">
        <v>74</v>
      </c>
      <c r="BR696" t="s">
        <v>105</v>
      </c>
      <c r="BS696" t="s">
        <v>12768</v>
      </c>
      <c r="BT696" t="str">
        <f>HYPERLINK("https%3A%2F%2Fwww.webofscience.com%2Fwos%2Fwoscc%2Ffull-record%2FWOS:000285506700173","View Full Record in Web of Science")</f>
        <v>View Full Record in Web of Science</v>
      </c>
    </row>
    <row r="697" spans="1:72" x14ac:dyDescent="0.15">
      <c r="A697" t="s">
        <v>8257</v>
      </c>
      <c r="B697" t="s">
        <v>12769</v>
      </c>
      <c r="C697" t="s">
        <v>74</v>
      </c>
      <c r="D697" t="s">
        <v>12571</v>
      </c>
      <c r="E697" t="s">
        <v>74</v>
      </c>
      <c r="F697" t="s">
        <v>12770</v>
      </c>
      <c r="G697" t="s">
        <v>74</v>
      </c>
      <c r="H697" t="s">
        <v>74</v>
      </c>
      <c r="I697" t="s">
        <v>12771</v>
      </c>
      <c r="J697" t="s">
        <v>12574</v>
      </c>
      <c r="K697" t="s">
        <v>9704</v>
      </c>
      <c r="L697" t="s">
        <v>74</v>
      </c>
      <c r="M697" t="s">
        <v>78</v>
      </c>
      <c r="N697" t="s">
        <v>8264</v>
      </c>
      <c r="O697" t="s">
        <v>12575</v>
      </c>
      <c r="P697" t="s">
        <v>12535</v>
      </c>
      <c r="Q697" t="s">
        <v>9707</v>
      </c>
      <c r="R697" t="s">
        <v>74</v>
      </c>
      <c r="S697" t="s">
        <v>74</v>
      </c>
      <c r="T697" t="s">
        <v>12772</v>
      </c>
      <c r="U697" t="s">
        <v>74</v>
      </c>
      <c r="V697" t="s">
        <v>12773</v>
      </c>
      <c r="W697" t="s">
        <v>12774</v>
      </c>
      <c r="X697" t="s">
        <v>12775</v>
      </c>
      <c r="Y697" t="s">
        <v>12776</v>
      </c>
      <c r="Z697" t="s">
        <v>12704</v>
      </c>
      <c r="AA697" t="s">
        <v>74</v>
      </c>
      <c r="AB697" t="s">
        <v>74</v>
      </c>
      <c r="AC697" t="s">
        <v>74</v>
      </c>
      <c r="AD697" t="s">
        <v>74</v>
      </c>
      <c r="AE697" t="s">
        <v>74</v>
      </c>
      <c r="AF697" t="s">
        <v>74</v>
      </c>
      <c r="AG697">
        <v>10</v>
      </c>
      <c r="AH697">
        <v>12</v>
      </c>
      <c r="AI697">
        <v>14</v>
      </c>
      <c r="AJ697">
        <v>1</v>
      </c>
      <c r="AK697">
        <v>7</v>
      </c>
      <c r="AL697" t="s">
        <v>8533</v>
      </c>
      <c r="AM697" t="s">
        <v>8534</v>
      </c>
      <c r="AN697" t="s">
        <v>8535</v>
      </c>
      <c r="AO697" t="s">
        <v>8536</v>
      </c>
      <c r="AP697" t="s">
        <v>9717</v>
      </c>
      <c r="AQ697" t="s">
        <v>12586</v>
      </c>
      <c r="AR697" t="s">
        <v>9719</v>
      </c>
      <c r="AS697" t="s">
        <v>74</v>
      </c>
      <c r="AT697" t="s">
        <v>74</v>
      </c>
      <c r="AU697">
        <v>2010</v>
      </c>
      <c r="AV697">
        <v>7733</v>
      </c>
      <c r="AW697" t="s">
        <v>74</v>
      </c>
      <c r="AX697" t="s">
        <v>74</v>
      </c>
      <c r="AY697" t="s">
        <v>74</v>
      </c>
      <c r="AZ697" t="s">
        <v>74</v>
      </c>
      <c r="BA697" t="s">
        <v>74</v>
      </c>
      <c r="BB697" t="s">
        <v>74</v>
      </c>
      <c r="BC697" t="s">
        <v>74</v>
      </c>
      <c r="BD697" t="s">
        <v>12777</v>
      </c>
      <c r="BE697" t="s">
        <v>12778</v>
      </c>
      <c r="BF697" t="str">
        <f>HYPERLINK("http://dx.doi.org/10.1117/12.856671","http://dx.doi.org/10.1117/12.856671")</f>
        <v>http://dx.doi.org/10.1117/12.856671</v>
      </c>
      <c r="BG697" t="s">
        <v>74</v>
      </c>
      <c r="BH697" t="s">
        <v>74</v>
      </c>
      <c r="BI697">
        <v>7</v>
      </c>
      <c r="BJ697" t="s">
        <v>12589</v>
      </c>
      <c r="BK697" t="s">
        <v>8281</v>
      </c>
      <c r="BL697" t="s">
        <v>12589</v>
      </c>
      <c r="BM697" t="s">
        <v>12590</v>
      </c>
      <c r="BN697" t="s">
        <v>74</v>
      </c>
      <c r="BO697" t="s">
        <v>74</v>
      </c>
      <c r="BP697" t="s">
        <v>74</v>
      </c>
      <c r="BQ697" t="s">
        <v>74</v>
      </c>
      <c r="BR697" t="s">
        <v>105</v>
      </c>
      <c r="BS697" t="s">
        <v>12779</v>
      </c>
      <c r="BT697" t="str">
        <f>HYPERLINK("https%3A%2F%2Fwww.webofscience.com%2Fwos%2Fwoscc%2Ffull-record%2FWOS:000285506700057","View Full Record in Web of Science")</f>
        <v>View Full Record in Web of Science</v>
      </c>
    </row>
    <row r="698" spans="1:72" x14ac:dyDescent="0.15">
      <c r="A698" t="s">
        <v>8257</v>
      </c>
      <c r="B698" t="s">
        <v>12780</v>
      </c>
      <c r="C698" t="s">
        <v>74</v>
      </c>
      <c r="D698" t="s">
        <v>12781</v>
      </c>
      <c r="E698" t="s">
        <v>74</v>
      </c>
      <c r="F698" t="s">
        <v>12782</v>
      </c>
      <c r="G698" t="s">
        <v>74</v>
      </c>
      <c r="H698" t="s">
        <v>74</v>
      </c>
      <c r="I698" t="s">
        <v>12783</v>
      </c>
      <c r="J698" t="s">
        <v>12784</v>
      </c>
      <c r="K698" t="s">
        <v>12785</v>
      </c>
      <c r="L698" t="s">
        <v>74</v>
      </c>
      <c r="M698" t="s">
        <v>78</v>
      </c>
      <c r="N698" t="s">
        <v>8264</v>
      </c>
      <c r="O698" t="s">
        <v>12786</v>
      </c>
      <c r="P698" t="s">
        <v>12787</v>
      </c>
      <c r="Q698" t="s">
        <v>12788</v>
      </c>
      <c r="R698" t="s">
        <v>74</v>
      </c>
      <c r="S698" t="s">
        <v>12789</v>
      </c>
      <c r="T698" t="s">
        <v>74</v>
      </c>
      <c r="U698" t="s">
        <v>12790</v>
      </c>
      <c r="V698" t="s">
        <v>12791</v>
      </c>
      <c r="W698" t="s">
        <v>12792</v>
      </c>
      <c r="X698" t="s">
        <v>11742</v>
      </c>
      <c r="Y698" t="s">
        <v>12793</v>
      </c>
      <c r="Z698" t="s">
        <v>12794</v>
      </c>
      <c r="AA698" t="s">
        <v>12795</v>
      </c>
      <c r="AB698" t="s">
        <v>12796</v>
      </c>
      <c r="AC698" t="s">
        <v>12797</v>
      </c>
      <c r="AD698" t="s">
        <v>12798</v>
      </c>
      <c r="AE698" t="s">
        <v>12799</v>
      </c>
      <c r="AF698" t="s">
        <v>74</v>
      </c>
      <c r="AG698">
        <v>101</v>
      </c>
      <c r="AH698">
        <v>1</v>
      </c>
      <c r="AI698">
        <v>3</v>
      </c>
      <c r="AJ698">
        <v>0</v>
      </c>
      <c r="AK698">
        <v>2</v>
      </c>
      <c r="AL698" t="s">
        <v>813</v>
      </c>
      <c r="AM698" t="s">
        <v>225</v>
      </c>
      <c r="AN698" t="s">
        <v>8576</v>
      </c>
      <c r="AO698" t="s">
        <v>12800</v>
      </c>
      <c r="AP698" t="s">
        <v>74</v>
      </c>
      <c r="AQ698" t="s">
        <v>12801</v>
      </c>
      <c r="AR698" t="s">
        <v>12802</v>
      </c>
      <c r="AS698" t="s">
        <v>74</v>
      </c>
      <c r="AT698" t="s">
        <v>74</v>
      </c>
      <c r="AU698">
        <v>2010</v>
      </c>
      <c r="AV698" t="s">
        <v>74</v>
      </c>
      <c r="AW698" t="s">
        <v>74</v>
      </c>
      <c r="AX698" t="s">
        <v>74</v>
      </c>
      <c r="AY698" t="s">
        <v>74</v>
      </c>
      <c r="AZ698" t="s">
        <v>74</v>
      </c>
      <c r="BA698" t="s">
        <v>74</v>
      </c>
      <c r="BB698">
        <v>251</v>
      </c>
      <c r="BC698" t="s">
        <v>1802</v>
      </c>
      <c r="BD698" t="s">
        <v>74</v>
      </c>
      <c r="BE698" t="s">
        <v>12803</v>
      </c>
      <c r="BF698" t="str">
        <f>HYPERLINK("http://dx.doi.org/10.1007/978-3-642-11341-3_15","http://dx.doi.org/10.1007/978-3-642-11341-3_15")</f>
        <v>http://dx.doi.org/10.1007/978-3-642-11341-3_15</v>
      </c>
      <c r="BG698" t="s">
        <v>74</v>
      </c>
      <c r="BH698" t="s">
        <v>74</v>
      </c>
      <c r="BI698">
        <v>6</v>
      </c>
      <c r="BJ698" t="s">
        <v>478</v>
      </c>
      <c r="BK698" t="s">
        <v>8281</v>
      </c>
      <c r="BL698" t="s">
        <v>478</v>
      </c>
      <c r="BM698" t="s">
        <v>12804</v>
      </c>
      <c r="BN698" t="s">
        <v>74</v>
      </c>
      <c r="BO698" t="s">
        <v>74</v>
      </c>
      <c r="BP698" t="s">
        <v>74</v>
      </c>
      <c r="BQ698" t="s">
        <v>74</v>
      </c>
      <c r="BR698" t="s">
        <v>105</v>
      </c>
      <c r="BS698" t="s">
        <v>12805</v>
      </c>
      <c r="BT698" t="str">
        <f>HYPERLINK("https%3A%2F%2Fwww.webofscience.com%2Fwos%2Fwoscc%2Ffull-record%2FWOS:000279931500015","View Full Record in Web of Science")</f>
        <v>View Full Record in Web of Science</v>
      </c>
    </row>
    <row r="699" spans="1:72" x14ac:dyDescent="0.15">
      <c r="A699" t="s">
        <v>72</v>
      </c>
      <c r="B699" t="s">
        <v>12806</v>
      </c>
      <c r="C699" t="s">
        <v>74</v>
      </c>
      <c r="D699" t="s">
        <v>74</v>
      </c>
      <c r="E699" t="s">
        <v>74</v>
      </c>
      <c r="F699" t="s">
        <v>12807</v>
      </c>
      <c r="G699" t="s">
        <v>74</v>
      </c>
      <c r="H699" t="s">
        <v>74</v>
      </c>
      <c r="I699" t="s">
        <v>12808</v>
      </c>
      <c r="J699" t="s">
        <v>12809</v>
      </c>
      <c r="K699" t="s">
        <v>74</v>
      </c>
      <c r="L699" t="s">
        <v>74</v>
      </c>
      <c r="M699" t="s">
        <v>78</v>
      </c>
      <c r="N699" t="s">
        <v>79</v>
      </c>
      <c r="O699" t="s">
        <v>74</v>
      </c>
      <c r="P699" t="s">
        <v>74</v>
      </c>
      <c r="Q699" t="s">
        <v>74</v>
      </c>
      <c r="R699" t="s">
        <v>74</v>
      </c>
      <c r="S699" t="s">
        <v>74</v>
      </c>
      <c r="T699" t="s">
        <v>74</v>
      </c>
      <c r="U699" t="s">
        <v>74</v>
      </c>
      <c r="V699" t="s">
        <v>12810</v>
      </c>
      <c r="W699" t="s">
        <v>12811</v>
      </c>
      <c r="X699" t="s">
        <v>12812</v>
      </c>
      <c r="Y699" t="s">
        <v>12813</v>
      </c>
      <c r="Z699" t="s">
        <v>12814</v>
      </c>
      <c r="AA699" t="s">
        <v>12815</v>
      </c>
      <c r="AB699" t="s">
        <v>74</v>
      </c>
      <c r="AC699" t="s">
        <v>12816</v>
      </c>
      <c r="AD699" t="s">
        <v>12817</v>
      </c>
      <c r="AE699" t="s">
        <v>12818</v>
      </c>
      <c r="AF699" t="s">
        <v>74</v>
      </c>
      <c r="AG699">
        <v>14</v>
      </c>
      <c r="AH699">
        <v>4</v>
      </c>
      <c r="AI699">
        <v>4</v>
      </c>
      <c r="AJ699">
        <v>0</v>
      </c>
      <c r="AK699">
        <v>6</v>
      </c>
      <c r="AL699" t="s">
        <v>2312</v>
      </c>
      <c r="AM699" t="s">
        <v>1655</v>
      </c>
      <c r="AN699" t="s">
        <v>1656</v>
      </c>
      <c r="AO699" t="s">
        <v>12819</v>
      </c>
      <c r="AP699" t="s">
        <v>74</v>
      </c>
      <c r="AQ699" t="s">
        <v>74</v>
      </c>
      <c r="AR699" t="s">
        <v>12820</v>
      </c>
      <c r="AS699" t="s">
        <v>12821</v>
      </c>
      <c r="AT699" t="s">
        <v>74</v>
      </c>
      <c r="AU699">
        <v>2010</v>
      </c>
      <c r="AV699">
        <v>93</v>
      </c>
      <c r="AW699">
        <v>10</v>
      </c>
      <c r="AX699" t="s">
        <v>74</v>
      </c>
      <c r="AY699" t="s">
        <v>74</v>
      </c>
      <c r="AZ699" t="s">
        <v>74</v>
      </c>
      <c r="BA699" t="s">
        <v>74</v>
      </c>
      <c r="BB699">
        <v>1933</v>
      </c>
      <c r="BC699">
        <v>1944</v>
      </c>
      <c r="BD699" t="s">
        <v>74</v>
      </c>
      <c r="BE699" t="s">
        <v>12822</v>
      </c>
      <c r="BF699" t="str">
        <f>HYPERLINK("http://dx.doi.org/10.1002/hlca.201000258","http://dx.doi.org/10.1002/hlca.201000258")</f>
        <v>http://dx.doi.org/10.1002/hlca.201000258</v>
      </c>
      <c r="BG699" t="s">
        <v>74</v>
      </c>
      <c r="BH699" t="s">
        <v>74</v>
      </c>
      <c r="BI699">
        <v>12</v>
      </c>
      <c r="BJ699" t="s">
        <v>3286</v>
      </c>
      <c r="BK699" t="s">
        <v>2027</v>
      </c>
      <c r="BL699" t="s">
        <v>2921</v>
      </c>
      <c r="BM699" t="s">
        <v>12823</v>
      </c>
      <c r="BN699" t="s">
        <v>74</v>
      </c>
      <c r="BO699" t="s">
        <v>74</v>
      </c>
      <c r="BP699" t="s">
        <v>74</v>
      </c>
      <c r="BQ699" t="s">
        <v>74</v>
      </c>
      <c r="BR699" t="s">
        <v>105</v>
      </c>
      <c r="BS699" t="s">
        <v>12824</v>
      </c>
      <c r="BT699" t="str">
        <f>HYPERLINK("https%3A%2F%2Fwww.webofscience.com%2Fwos%2Fwoscc%2Ffull-record%2FWOS:000283908200007","View Full Record in Web of Science")</f>
        <v>View Full Record in Web of Science</v>
      </c>
    </row>
    <row r="700" spans="1:72" x14ac:dyDescent="0.15">
      <c r="A700" t="s">
        <v>8257</v>
      </c>
      <c r="B700" t="s">
        <v>12825</v>
      </c>
      <c r="C700" t="s">
        <v>74</v>
      </c>
      <c r="D700" t="s">
        <v>12826</v>
      </c>
      <c r="E700" t="s">
        <v>74</v>
      </c>
      <c r="F700" t="s">
        <v>12827</v>
      </c>
      <c r="G700" t="s">
        <v>74</v>
      </c>
      <c r="H700" t="s">
        <v>74</v>
      </c>
      <c r="I700" t="s">
        <v>12828</v>
      </c>
      <c r="J700" t="s">
        <v>12829</v>
      </c>
      <c r="K700" t="s">
        <v>12830</v>
      </c>
      <c r="L700" t="s">
        <v>74</v>
      </c>
      <c r="M700" t="s">
        <v>78</v>
      </c>
      <c r="N700" t="s">
        <v>8264</v>
      </c>
      <c r="O700" t="s">
        <v>12831</v>
      </c>
      <c r="P700" t="s">
        <v>12832</v>
      </c>
      <c r="Q700" t="s">
        <v>12833</v>
      </c>
      <c r="R700" t="s">
        <v>74</v>
      </c>
      <c r="S700" t="s">
        <v>12834</v>
      </c>
      <c r="T700" t="s">
        <v>12835</v>
      </c>
      <c r="U700" t="s">
        <v>74</v>
      </c>
      <c r="V700" t="s">
        <v>12836</v>
      </c>
      <c r="W700" t="s">
        <v>12837</v>
      </c>
      <c r="X700" t="s">
        <v>12838</v>
      </c>
      <c r="Y700" t="s">
        <v>12839</v>
      </c>
      <c r="Z700" t="s">
        <v>12840</v>
      </c>
      <c r="AA700" t="s">
        <v>12841</v>
      </c>
      <c r="AB700" t="s">
        <v>12842</v>
      </c>
      <c r="AC700" t="s">
        <v>12843</v>
      </c>
      <c r="AD700" t="s">
        <v>12844</v>
      </c>
      <c r="AE700" t="s">
        <v>12845</v>
      </c>
      <c r="AF700" t="s">
        <v>74</v>
      </c>
      <c r="AG700">
        <v>8</v>
      </c>
      <c r="AH700">
        <v>0</v>
      </c>
      <c r="AI700">
        <v>0</v>
      </c>
      <c r="AJ700">
        <v>0</v>
      </c>
      <c r="AK700">
        <v>2</v>
      </c>
      <c r="AL700" t="s">
        <v>587</v>
      </c>
      <c r="AM700" t="s">
        <v>1896</v>
      </c>
      <c r="AN700" t="s">
        <v>12846</v>
      </c>
      <c r="AO700" t="s">
        <v>12847</v>
      </c>
      <c r="AP700" t="s">
        <v>12848</v>
      </c>
      <c r="AQ700" t="s">
        <v>12849</v>
      </c>
      <c r="AR700" t="s">
        <v>12850</v>
      </c>
      <c r="AS700" t="s">
        <v>12851</v>
      </c>
      <c r="AT700" t="s">
        <v>74</v>
      </c>
      <c r="AU700">
        <v>2010</v>
      </c>
      <c r="AV700">
        <v>15</v>
      </c>
      <c r="AW700" t="s">
        <v>74</v>
      </c>
      <c r="AX700" t="s">
        <v>74</v>
      </c>
      <c r="AY700" t="s">
        <v>74</v>
      </c>
      <c r="AZ700" t="s">
        <v>74</v>
      </c>
      <c r="BA700" t="s">
        <v>74</v>
      </c>
      <c r="BB700">
        <v>488</v>
      </c>
      <c r="BC700" t="s">
        <v>1802</v>
      </c>
      <c r="BD700" t="s">
        <v>74</v>
      </c>
      <c r="BE700" t="s">
        <v>12852</v>
      </c>
      <c r="BF700" t="str">
        <f>HYPERLINK("http://dx.doi.org/10.1017/S1743921310010355","http://dx.doi.org/10.1017/S1743921310010355")</f>
        <v>http://dx.doi.org/10.1017/S1743921310010355</v>
      </c>
      <c r="BG700" t="s">
        <v>74</v>
      </c>
      <c r="BH700" t="s">
        <v>74</v>
      </c>
      <c r="BI700">
        <v>2</v>
      </c>
      <c r="BJ700" t="s">
        <v>478</v>
      </c>
      <c r="BK700" t="s">
        <v>8281</v>
      </c>
      <c r="BL700" t="s">
        <v>478</v>
      </c>
      <c r="BM700" t="s">
        <v>12853</v>
      </c>
      <c r="BN700" t="s">
        <v>74</v>
      </c>
      <c r="BO700" t="s">
        <v>1807</v>
      </c>
      <c r="BP700" t="s">
        <v>74</v>
      </c>
      <c r="BQ700" t="s">
        <v>74</v>
      </c>
      <c r="BR700" t="s">
        <v>105</v>
      </c>
      <c r="BS700" t="s">
        <v>12854</v>
      </c>
      <c r="BT700" t="str">
        <f>HYPERLINK("https%3A%2F%2Fwww.webofscience.com%2Fwos%2Fwoscc%2Ffull-record%2FWOS:000290186900302","View Full Record in Web of Science")</f>
        <v>View Full Record in Web of Science</v>
      </c>
    </row>
    <row r="701" spans="1:72" x14ac:dyDescent="0.15">
      <c r="A701" t="s">
        <v>8257</v>
      </c>
      <c r="B701" t="s">
        <v>12855</v>
      </c>
      <c r="C701" t="s">
        <v>74</v>
      </c>
      <c r="D701" t="s">
        <v>12826</v>
      </c>
      <c r="E701" t="s">
        <v>74</v>
      </c>
      <c r="F701" t="s">
        <v>12856</v>
      </c>
      <c r="G701" t="s">
        <v>74</v>
      </c>
      <c r="H701" t="s">
        <v>74</v>
      </c>
      <c r="I701" t="s">
        <v>12857</v>
      </c>
      <c r="J701" t="s">
        <v>12829</v>
      </c>
      <c r="K701" t="s">
        <v>12830</v>
      </c>
      <c r="L701" t="s">
        <v>74</v>
      </c>
      <c r="M701" t="s">
        <v>78</v>
      </c>
      <c r="N701" t="s">
        <v>8264</v>
      </c>
      <c r="O701" t="s">
        <v>12831</v>
      </c>
      <c r="P701" t="s">
        <v>12832</v>
      </c>
      <c r="Q701" t="s">
        <v>12833</v>
      </c>
      <c r="R701" t="s">
        <v>74</v>
      </c>
      <c r="S701" t="s">
        <v>12834</v>
      </c>
      <c r="T701" t="s">
        <v>12858</v>
      </c>
      <c r="U701" t="s">
        <v>74</v>
      </c>
      <c r="V701" t="s">
        <v>12859</v>
      </c>
      <c r="W701" t="s">
        <v>12860</v>
      </c>
      <c r="X701" t="s">
        <v>12861</v>
      </c>
      <c r="Y701" t="s">
        <v>12862</v>
      </c>
      <c r="Z701" t="s">
        <v>12863</v>
      </c>
      <c r="AA701" t="s">
        <v>74</v>
      </c>
      <c r="AB701" t="s">
        <v>12864</v>
      </c>
      <c r="AC701" t="s">
        <v>74</v>
      </c>
      <c r="AD701" t="s">
        <v>74</v>
      </c>
      <c r="AE701" t="s">
        <v>74</v>
      </c>
      <c r="AF701" t="s">
        <v>74</v>
      </c>
      <c r="AG701">
        <v>1</v>
      </c>
      <c r="AH701">
        <v>0</v>
      </c>
      <c r="AI701">
        <v>0</v>
      </c>
      <c r="AJ701">
        <v>0</v>
      </c>
      <c r="AK701">
        <v>0</v>
      </c>
      <c r="AL701" t="s">
        <v>587</v>
      </c>
      <c r="AM701" t="s">
        <v>1896</v>
      </c>
      <c r="AN701" t="s">
        <v>12846</v>
      </c>
      <c r="AO701" t="s">
        <v>12847</v>
      </c>
      <c r="AP701" t="s">
        <v>74</v>
      </c>
      <c r="AQ701" t="s">
        <v>12849</v>
      </c>
      <c r="AR701" t="s">
        <v>12850</v>
      </c>
      <c r="AS701" t="s">
        <v>12851</v>
      </c>
      <c r="AT701" t="s">
        <v>74</v>
      </c>
      <c r="AU701">
        <v>2010</v>
      </c>
      <c r="AV701">
        <v>15</v>
      </c>
      <c r="AW701" t="s">
        <v>74</v>
      </c>
      <c r="AX701" t="s">
        <v>74</v>
      </c>
      <c r="AY701" t="s">
        <v>74</v>
      </c>
      <c r="AZ701" t="s">
        <v>74</v>
      </c>
      <c r="BA701" t="s">
        <v>74</v>
      </c>
      <c r="BB701">
        <v>614</v>
      </c>
      <c r="BC701">
        <v>615</v>
      </c>
      <c r="BD701" t="s">
        <v>74</v>
      </c>
      <c r="BE701" t="s">
        <v>12865</v>
      </c>
      <c r="BF701" t="str">
        <f>HYPERLINK("http://dx.doi.org/10.1017/S1743921310010756","http://dx.doi.org/10.1017/S1743921310010756")</f>
        <v>http://dx.doi.org/10.1017/S1743921310010756</v>
      </c>
      <c r="BG701" t="s">
        <v>74</v>
      </c>
      <c r="BH701" t="s">
        <v>74</v>
      </c>
      <c r="BI701">
        <v>2</v>
      </c>
      <c r="BJ701" t="s">
        <v>478</v>
      </c>
      <c r="BK701" t="s">
        <v>8281</v>
      </c>
      <c r="BL701" t="s">
        <v>478</v>
      </c>
      <c r="BM701" t="s">
        <v>12853</v>
      </c>
      <c r="BN701" t="s">
        <v>74</v>
      </c>
      <c r="BO701" t="s">
        <v>104</v>
      </c>
      <c r="BP701" t="s">
        <v>74</v>
      </c>
      <c r="BQ701" t="s">
        <v>74</v>
      </c>
      <c r="BR701" t="s">
        <v>105</v>
      </c>
      <c r="BS701" t="s">
        <v>12866</v>
      </c>
      <c r="BT701" t="str">
        <f>HYPERLINK("https%3A%2F%2Fwww.webofscience.com%2Fwos%2Fwoscc%2Ffull-record%2FWOS:000290186900370","View Full Record in Web of Science")</f>
        <v>View Full Record in Web of Science</v>
      </c>
    </row>
    <row r="702" spans="1:72" x14ac:dyDescent="0.15">
      <c r="A702" t="s">
        <v>8257</v>
      </c>
      <c r="B702" t="s">
        <v>12867</v>
      </c>
      <c r="C702" t="s">
        <v>74</v>
      </c>
      <c r="D702" t="s">
        <v>12826</v>
      </c>
      <c r="E702" t="s">
        <v>74</v>
      </c>
      <c r="F702" t="s">
        <v>12868</v>
      </c>
      <c r="G702" t="s">
        <v>74</v>
      </c>
      <c r="H702" t="s">
        <v>74</v>
      </c>
      <c r="I702" t="s">
        <v>12869</v>
      </c>
      <c r="J702" t="s">
        <v>12829</v>
      </c>
      <c r="K702" t="s">
        <v>12830</v>
      </c>
      <c r="L702" t="s">
        <v>74</v>
      </c>
      <c r="M702" t="s">
        <v>78</v>
      </c>
      <c r="N702" t="s">
        <v>8264</v>
      </c>
      <c r="O702" t="s">
        <v>12831</v>
      </c>
      <c r="P702" t="s">
        <v>12832</v>
      </c>
      <c r="Q702" t="s">
        <v>12833</v>
      </c>
      <c r="R702" t="s">
        <v>74</v>
      </c>
      <c r="S702" t="s">
        <v>12834</v>
      </c>
      <c r="T702" t="s">
        <v>12870</v>
      </c>
      <c r="U702" t="s">
        <v>74</v>
      </c>
      <c r="V702" t="s">
        <v>12871</v>
      </c>
      <c r="W702" t="s">
        <v>12860</v>
      </c>
      <c r="X702" t="s">
        <v>12861</v>
      </c>
      <c r="Y702" t="s">
        <v>12872</v>
      </c>
      <c r="Z702" t="s">
        <v>12873</v>
      </c>
      <c r="AA702" t="s">
        <v>74</v>
      </c>
      <c r="AB702" t="s">
        <v>74</v>
      </c>
      <c r="AC702" t="s">
        <v>74</v>
      </c>
      <c r="AD702" t="s">
        <v>74</v>
      </c>
      <c r="AE702" t="s">
        <v>74</v>
      </c>
      <c r="AF702" t="s">
        <v>74</v>
      </c>
      <c r="AG702">
        <v>0</v>
      </c>
      <c r="AH702">
        <v>0</v>
      </c>
      <c r="AI702">
        <v>0</v>
      </c>
      <c r="AJ702">
        <v>0</v>
      </c>
      <c r="AK702">
        <v>2</v>
      </c>
      <c r="AL702" t="s">
        <v>587</v>
      </c>
      <c r="AM702" t="s">
        <v>1896</v>
      </c>
      <c r="AN702" t="s">
        <v>12846</v>
      </c>
      <c r="AO702" t="s">
        <v>12847</v>
      </c>
      <c r="AP702" t="s">
        <v>74</v>
      </c>
      <c r="AQ702" t="s">
        <v>12849</v>
      </c>
      <c r="AR702" t="s">
        <v>12850</v>
      </c>
      <c r="AS702" t="s">
        <v>12851</v>
      </c>
      <c r="AT702" t="s">
        <v>74</v>
      </c>
      <c r="AU702">
        <v>2010</v>
      </c>
      <c r="AV702">
        <v>15</v>
      </c>
      <c r="AW702" t="s">
        <v>74</v>
      </c>
      <c r="AX702" t="s">
        <v>74</v>
      </c>
      <c r="AY702" t="s">
        <v>74</v>
      </c>
      <c r="AZ702" t="s">
        <v>74</v>
      </c>
      <c r="BA702" t="s">
        <v>74</v>
      </c>
      <c r="BB702">
        <v>616</v>
      </c>
      <c r="BC702">
        <v>617</v>
      </c>
      <c r="BD702" t="s">
        <v>74</v>
      </c>
      <c r="BE702" t="s">
        <v>12874</v>
      </c>
      <c r="BF702" t="str">
        <f>HYPERLINK("http://dx.doi.org/10.1017/S1743921310010768","http://dx.doi.org/10.1017/S1743921310010768")</f>
        <v>http://dx.doi.org/10.1017/S1743921310010768</v>
      </c>
      <c r="BG702" t="s">
        <v>74</v>
      </c>
      <c r="BH702" t="s">
        <v>74</v>
      </c>
      <c r="BI702">
        <v>2</v>
      </c>
      <c r="BJ702" t="s">
        <v>478</v>
      </c>
      <c r="BK702" t="s">
        <v>8281</v>
      </c>
      <c r="BL702" t="s">
        <v>478</v>
      </c>
      <c r="BM702" t="s">
        <v>12853</v>
      </c>
      <c r="BN702" t="s">
        <v>74</v>
      </c>
      <c r="BO702" t="s">
        <v>104</v>
      </c>
      <c r="BP702" t="s">
        <v>74</v>
      </c>
      <c r="BQ702" t="s">
        <v>74</v>
      </c>
      <c r="BR702" t="s">
        <v>105</v>
      </c>
      <c r="BS702" t="s">
        <v>12875</v>
      </c>
      <c r="BT702" t="str">
        <f>HYPERLINK("https%3A%2F%2Fwww.webofscience.com%2Fwos%2Fwoscc%2Ffull-record%2FWOS:000290186900371","View Full Record in Web of Science")</f>
        <v>View Full Record in Web of Science</v>
      </c>
    </row>
    <row r="703" spans="1:72" x14ac:dyDescent="0.15">
      <c r="A703" t="s">
        <v>8257</v>
      </c>
      <c r="B703" t="s">
        <v>12876</v>
      </c>
      <c r="C703" t="s">
        <v>74</v>
      </c>
      <c r="D703" t="s">
        <v>12826</v>
      </c>
      <c r="E703" t="s">
        <v>74</v>
      </c>
      <c r="F703" t="s">
        <v>12877</v>
      </c>
      <c r="G703" t="s">
        <v>74</v>
      </c>
      <c r="H703" t="s">
        <v>8484</v>
      </c>
      <c r="I703" t="s">
        <v>12878</v>
      </c>
      <c r="J703" t="s">
        <v>12829</v>
      </c>
      <c r="K703" t="s">
        <v>12830</v>
      </c>
      <c r="L703" t="s">
        <v>74</v>
      </c>
      <c r="M703" t="s">
        <v>78</v>
      </c>
      <c r="N703" t="s">
        <v>8264</v>
      </c>
      <c r="O703" t="s">
        <v>12831</v>
      </c>
      <c r="P703" t="s">
        <v>12832</v>
      </c>
      <c r="Q703" t="s">
        <v>12833</v>
      </c>
      <c r="R703" t="s">
        <v>74</v>
      </c>
      <c r="S703" t="s">
        <v>12834</v>
      </c>
      <c r="T703" t="s">
        <v>12879</v>
      </c>
      <c r="U703" t="s">
        <v>74</v>
      </c>
      <c r="V703" t="s">
        <v>12880</v>
      </c>
      <c r="W703" t="s">
        <v>12881</v>
      </c>
      <c r="X703" t="s">
        <v>12882</v>
      </c>
      <c r="Y703" t="s">
        <v>12883</v>
      </c>
      <c r="Z703" t="s">
        <v>12884</v>
      </c>
      <c r="AA703" t="s">
        <v>8495</v>
      </c>
      <c r="AB703" t="s">
        <v>74</v>
      </c>
      <c r="AC703" t="s">
        <v>74</v>
      </c>
      <c r="AD703" t="s">
        <v>74</v>
      </c>
      <c r="AE703" t="s">
        <v>74</v>
      </c>
      <c r="AF703" t="s">
        <v>74</v>
      </c>
      <c r="AG703">
        <v>4</v>
      </c>
      <c r="AH703">
        <v>0</v>
      </c>
      <c r="AI703">
        <v>0</v>
      </c>
      <c r="AJ703">
        <v>0</v>
      </c>
      <c r="AK703">
        <v>1</v>
      </c>
      <c r="AL703" t="s">
        <v>587</v>
      </c>
      <c r="AM703" t="s">
        <v>1896</v>
      </c>
      <c r="AN703" t="s">
        <v>12846</v>
      </c>
      <c r="AO703" t="s">
        <v>12847</v>
      </c>
      <c r="AP703" t="s">
        <v>12848</v>
      </c>
      <c r="AQ703" t="s">
        <v>12849</v>
      </c>
      <c r="AR703" t="s">
        <v>12850</v>
      </c>
      <c r="AS703" t="s">
        <v>12851</v>
      </c>
      <c r="AT703" t="s">
        <v>74</v>
      </c>
      <c r="AU703">
        <v>2010</v>
      </c>
      <c r="AV703">
        <v>15</v>
      </c>
      <c r="AW703" t="s">
        <v>74</v>
      </c>
      <c r="AX703" t="s">
        <v>74</v>
      </c>
      <c r="AY703" t="s">
        <v>74</v>
      </c>
      <c r="AZ703" t="s">
        <v>74</v>
      </c>
      <c r="BA703" t="s">
        <v>74</v>
      </c>
      <c r="BB703">
        <v>620</v>
      </c>
      <c r="BC703">
        <v>621</v>
      </c>
      <c r="BD703" t="s">
        <v>74</v>
      </c>
      <c r="BE703" t="s">
        <v>12885</v>
      </c>
      <c r="BF703" t="str">
        <f>HYPERLINK("http://dx.doi.org/10.1017/S1743921310010781","http://dx.doi.org/10.1017/S1743921310010781")</f>
        <v>http://dx.doi.org/10.1017/S1743921310010781</v>
      </c>
      <c r="BG703" t="s">
        <v>74</v>
      </c>
      <c r="BH703" t="s">
        <v>74</v>
      </c>
      <c r="BI703">
        <v>2</v>
      </c>
      <c r="BJ703" t="s">
        <v>478</v>
      </c>
      <c r="BK703" t="s">
        <v>8281</v>
      </c>
      <c r="BL703" t="s">
        <v>478</v>
      </c>
      <c r="BM703" t="s">
        <v>12853</v>
      </c>
      <c r="BN703" t="s">
        <v>74</v>
      </c>
      <c r="BO703" t="s">
        <v>104</v>
      </c>
      <c r="BP703" t="s">
        <v>74</v>
      </c>
      <c r="BQ703" t="s">
        <v>74</v>
      </c>
      <c r="BR703" t="s">
        <v>105</v>
      </c>
      <c r="BS703" t="s">
        <v>12886</v>
      </c>
      <c r="BT703" t="str">
        <f>HYPERLINK("https%3A%2F%2Fwww.webofscience.com%2Fwos%2Fwoscc%2Ffull-record%2FWOS:000290186900373","View Full Record in Web of Science")</f>
        <v>View Full Record in Web of Science</v>
      </c>
    </row>
    <row r="704" spans="1:72" x14ac:dyDescent="0.15">
      <c r="A704" t="s">
        <v>8257</v>
      </c>
      <c r="B704" t="s">
        <v>12887</v>
      </c>
      <c r="C704" t="s">
        <v>74</v>
      </c>
      <c r="D704" t="s">
        <v>12826</v>
      </c>
      <c r="E704" t="s">
        <v>74</v>
      </c>
      <c r="F704" t="s">
        <v>12888</v>
      </c>
      <c r="G704" t="s">
        <v>74</v>
      </c>
      <c r="H704" t="s">
        <v>74</v>
      </c>
      <c r="I704" t="s">
        <v>12889</v>
      </c>
      <c r="J704" t="s">
        <v>12829</v>
      </c>
      <c r="K704" t="s">
        <v>12830</v>
      </c>
      <c r="L704" t="s">
        <v>74</v>
      </c>
      <c r="M704" t="s">
        <v>78</v>
      </c>
      <c r="N704" t="s">
        <v>8264</v>
      </c>
      <c r="O704" t="s">
        <v>12831</v>
      </c>
      <c r="P704" t="s">
        <v>12832</v>
      </c>
      <c r="Q704" t="s">
        <v>12833</v>
      </c>
      <c r="R704" t="s">
        <v>74</v>
      </c>
      <c r="S704" t="s">
        <v>12834</v>
      </c>
      <c r="T704" t="s">
        <v>12890</v>
      </c>
      <c r="U704" t="s">
        <v>12891</v>
      </c>
      <c r="V704" t="s">
        <v>12892</v>
      </c>
      <c r="W704" t="s">
        <v>12893</v>
      </c>
      <c r="X704" t="s">
        <v>12861</v>
      </c>
      <c r="Y704" t="s">
        <v>12541</v>
      </c>
      <c r="Z704" t="s">
        <v>74</v>
      </c>
      <c r="AA704" t="s">
        <v>2826</v>
      </c>
      <c r="AB704" t="s">
        <v>12894</v>
      </c>
      <c r="AC704" t="s">
        <v>74</v>
      </c>
      <c r="AD704" t="s">
        <v>74</v>
      </c>
      <c r="AE704" t="s">
        <v>74</v>
      </c>
      <c r="AF704" t="s">
        <v>74</v>
      </c>
      <c r="AG704">
        <v>6</v>
      </c>
      <c r="AH704">
        <v>5</v>
      </c>
      <c r="AI704">
        <v>5</v>
      </c>
      <c r="AJ704">
        <v>0</v>
      </c>
      <c r="AK704">
        <v>4</v>
      </c>
      <c r="AL704" t="s">
        <v>587</v>
      </c>
      <c r="AM704" t="s">
        <v>1896</v>
      </c>
      <c r="AN704" t="s">
        <v>12846</v>
      </c>
      <c r="AO704" t="s">
        <v>12847</v>
      </c>
      <c r="AP704" t="s">
        <v>12848</v>
      </c>
      <c r="AQ704" t="s">
        <v>12849</v>
      </c>
      <c r="AR704" t="s">
        <v>12850</v>
      </c>
      <c r="AS704" t="s">
        <v>12851</v>
      </c>
      <c r="AT704" t="s">
        <v>74</v>
      </c>
      <c r="AU704">
        <v>2010</v>
      </c>
      <c r="AV704">
        <v>15</v>
      </c>
      <c r="AW704" t="s">
        <v>74</v>
      </c>
      <c r="AX704" t="s">
        <v>74</v>
      </c>
      <c r="AY704" t="s">
        <v>74</v>
      </c>
      <c r="AZ704" t="s">
        <v>74</v>
      </c>
      <c r="BA704" t="s">
        <v>74</v>
      </c>
      <c r="BB704">
        <v>627</v>
      </c>
      <c r="BC704">
        <v>629</v>
      </c>
      <c r="BD704" t="s">
        <v>74</v>
      </c>
      <c r="BE704" t="s">
        <v>12895</v>
      </c>
      <c r="BF704" t="str">
        <f>HYPERLINK("http://dx.doi.org/10.1017/S1743921310010811","http://dx.doi.org/10.1017/S1743921310010811")</f>
        <v>http://dx.doi.org/10.1017/S1743921310010811</v>
      </c>
      <c r="BG704" t="s">
        <v>74</v>
      </c>
      <c r="BH704" t="s">
        <v>74</v>
      </c>
      <c r="BI704">
        <v>3</v>
      </c>
      <c r="BJ704" t="s">
        <v>478</v>
      </c>
      <c r="BK704" t="s">
        <v>8281</v>
      </c>
      <c r="BL704" t="s">
        <v>478</v>
      </c>
      <c r="BM704" t="s">
        <v>12853</v>
      </c>
      <c r="BN704" t="s">
        <v>74</v>
      </c>
      <c r="BO704" t="s">
        <v>104</v>
      </c>
      <c r="BP704" t="s">
        <v>74</v>
      </c>
      <c r="BQ704" t="s">
        <v>74</v>
      </c>
      <c r="BR704" t="s">
        <v>105</v>
      </c>
      <c r="BS704" t="s">
        <v>12896</v>
      </c>
      <c r="BT704" t="str">
        <f>HYPERLINK("https%3A%2F%2Fwww.webofscience.com%2Fwos%2Fwoscc%2Ffull-record%2FWOS:000290186900376","View Full Record in Web of Science")</f>
        <v>View Full Record in Web of Science</v>
      </c>
    </row>
    <row r="705" spans="1:72" x14ac:dyDescent="0.15">
      <c r="A705" t="s">
        <v>8257</v>
      </c>
      <c r="B705" t="s">
        <v>12897</v>
      </c>
      <c r="C705" t="s">
        <v>74</v>
      </c>
      <c r="D705" t="s">
        <v>12826</v>
      </c>
      <c r="E705" t="s">
        <v>74</v>
      </c>
      <c r="F705" t="s">
        <v>12898</v>
      </c>
      <c r="G705" t="s">
        <v>74</v>
      </c>
      <c r="H705" t="s">
        <v>74</v>
      </c>
      <c r="I705" t="s">
        <v>12899</v>
      </c>
      <c r="J705" t="s">
        <v>12829</v>
      </c>
      <c r="K705" t="s">
        <v>12830</v>
      </c>
      <c r="L705" t="s">
        <v>74</v>
      </c>
      <c r="M705" t="s">
        <v>78</v>
      </c>
      <c r="N705" t="s">
        <v>8264</v>
      </c>
      <c r="O705" t="s">
        <v>12831</v>
      </c>
      <c r="P705" t="s">
        <v>12832</v>
      </c>
      <c r="Q705" t="s">
        <v>12833</v>
      </c>
      <c r="R705" t="s">
        <v>74</v>
      </c>
      <c r="S705" t="s">
        <v>12834</v>
      </c>
      <c r="T705" t="s">
        <v>12900</v>
      </c>
      <c r="U705" t="s">
        <v>12901</v>
      </c>
      <c r="V705" t="s">
        <v>12902</v>
      </c>
      <c r="W705" t="s">
        <v>12903</v>
      </c>
      <c r="X705" t="s">
        <v>12904</v>
      </c>
      <c r="Y705" t="s">
        <v>12905</v>
      </c>
      <c r="Z705" t="s">
        <v>12906</v>
      </c>
      <c r="AA705" t="s">
        <v>12907</v>
      </c>
      <c r="AB705" t="s">
        <v>74</v>
      </c>
      <c r="AC705" t="s">
        <v>12908</v>
      </c>
      <c r="AD705" t="s">
        <v>12908</v>
      </c>
      <c r="AE705" t="s">
        <v>12909</v>
      </c>
      <c r="AF705" t="s">
        <v>74</v>
      </c>
      <c r="AG705">
        <v>4</v>
      </c>
      <c r="AH705">
        <v>1</v>
      </c>
      <c r="AI705">
        <v>1</v>
      </c>
      <c r="AJ705">
        <v>0</v>
      </c>
      <c r="AK705">
        <v>1</v>
      </c>
      <c r="AL705" t="s">
        <v>587</v>
      </c>
      <c r="AM705" t="s">
        <v>1896</v>
      </c>
      <c r="AN705" t="s">
        <v>12846</v>
      </c>
      <c r="AO705" t="s">
        <v>12847</v>
      </c>
      <c r="AP705" t="s">
        <v>12848</v>
      </c>
      <c r="AQ705" t="s">
        <v>12849</v>
      </c>
      <c r="AR705" t="s">
        <v>12850</v>
      </c>
      <c r="AS705" t="s">
        <v>12851</v>
      </c>
      <c r="AT705" t="s">
        <v>74</v>
      </c>
      <c r="AU705">
        <v>2010</v>
      </c>
      <c r="AV705">
        <v>15</v>
      </c>
      <c r="AW705" t="s">
        <v>74</v>
      </c>
      <c r="AX705" t="s">
        <v>74</v>
      </c>
      <c r="AY705" t="s">
        <v>74</v>
      </c>
      <c r="AZ705" t="s">
        <v>74</v>
      </c>
      <c r="BA705" t="s">
        <v>74</v>
      </c>
      <c r="BB705">
        <v>634</v>
      </c>
      <c r="BC705" t="s">
        <v>1802</v>
      </c>
      <c r="BD705" t="s">
        <v>74</v>
      </c>
      <c r="BE705" t="s">
        <v>12910</v>
      </c>
      <c r="BF705" t="str">
        <f>HYPERLINK("http://dx.doi.org/10.1017/S1743921310010847","http://dx.doi.org/10.1017/S1743921310010847")</f>
        <v>http://dx.doi.org/10.1017/S1743921310010847</v>
      </c>
      <c r="BG705" t="s">
        <v>74</v>
      </c>
      <c r="BH705" t="s">
        <v>74</v>
      </c>
      <c r="BI705">
        <v>2</v>
      </c>
      <c r="BJ705" t="s">
        <v>478</v>
      </c>
      <c r="BK705" t="s">
        <v>8281</v>
      </c>
      <c r="BL705" t="s">
        <v>478</v>
      </c>
      <c r="BM705" t="s">
        <v>12853</v>
      </c>
      <c r="BN705" t="s">
        <v>74</v>
      </c>
      <c r="BO705" t="s">
        <v>104</v>
      </c>
      <c r="BP705" t="s">
        <v>74</v>
      </c>
      <c r="BQ705" t="s">
        <v>74</v>
      </c>
      <c r="BR705" t="s">
        <v>105</v>
      </c>
      <c r="BS705" t="s">
        <v>12911</v>
      </c>
      <c r="BT705" t="str">
        <f>HYPERLINK("https%3A%2F%2Fwww.webofscience.com%2Fwos%2Fwoscc%2Ffull-record%2FWOS:000290186900379","View Full Record in Web of Science")</f>
        <v>View Full Record in Web of Science</v>
      </c>
    </row>
    <row r="706" spans="1:72" x14ac:dyDescent="0.15">
      <c r="A706" t="s">
        <v>8257</v>
      </c>
      <c r="B706" t="s">
        <v>12912</v>
      </c>
      <c r="C706" t="s">
        <v>74</v>
      </c>
      <c r="D706" t="s">
        <v>12826</v>
      </c>
      <c r="E706" t="s">
        <v>74</v>
      </c>
      <c r="F706" t="s">
        <v>12913</v>
      </c>
      <c r="G706" t="s">
        <v>74</v>
      </c>
      <c r="H706" t="s">
        <v>74</v>
      </c>
      <c r="I706" t="s">
        <v>12914</v>
      </c>
      <c r="J706" t="s">
        <v>12829</v>
      </c>
      <c r="K706" t="s">
        <v>12830</v>
      </c>
      <c r="L706" t="s">
        <v>74</v>
      </c>
      <c r="M706" t="s">
        <v>78</v>
      </c>
      <c r="N706" t="s">
        <v>8264</v>
      </c>
      <c r="O706" t="s">
        <v>12831</v>
      </c>
      <c r="P706" t="s">
        <v>12832</v>
      </c>
      <c r="Q706" t="s">
        <v>12833</v>
      </c>
      <c r="R706" t="s">
        <v>74</v>
      </c>
      <c r="S706" t="s">
        <v>12834</v>
      </c>
      <c r="T706" t="s">
        <v>12858</v>
      </c>
      <c r="U706" t="s">
        <v>12915</v>
      </c>
      <c r="V706" t="s">
        <v>12916</v>
      </c>
      <c r="W706" t="s">
        <v>12917</v>
      </c>
      <c r="X706" t="s">
        <v>74</v>
      </c>
      <c r="Y706" t="s">
        <v>12918</v>
      </c>
      <c r="Z706" t="s">
        <v>12919</v>
      </c>
      <c r="AA706" t="s">
        <v>74</v>
      </c>
      <c r="AB706" t="s">
        <v>74</v>
      </c>
      <c r="AC706" t="s">
        <v>74</v>
      </c>
      <c r="AD706" t="s">
        <v>74</v>
      </c>
      <c r="AE706" t="s">
        <v>74</v>
      </c>
      <c r="AF706" t="s">
        <v>74</v>
      </c>
      <c r="AG706">
        <v>4</v>
      </c>
      <c r="AH706">
        <v>0</v>
      </c>
      <c r="AI706">
        <v>0</v>
      </c>
      <c r="AJ706">
        <v>0</v>
      </c>
      <c r="AK706">
        <v>0</v>
      </c>
      <c r="AL706" t="s">
        <v>587</v>
      </c>
      <c r="AM706" t="s">
        <v>1896</v>
      </c>
      <c r="AN706" t="s">
        <v>12846</v>
      </c>
      <c r="AO706" t="s">
        <v>12847</v>
      </c>
      <c r="AP706" t="s">
        <v>74</v>
      </c>
      <c r="AQ706" t="s">
        <v>12849</v>
      </c>
      <c r="AR706" t="s">
        <v>12850</v>
      </c>
      <c r="AS706" t="s">
        <v>12851</v>
      </c>
      <c r="AT706" t="s">
        <v>74</v>
      </c>
      <c r="AU706">
        <v>2010</v>
      </c>
      <c r="AV706">
        <v>15</v>
      </c>
      <c r="AW706" t="s">
        <v>74</v>
      </c>
      <c r="AX706" t="s">
        <v>74</v>
      </c>
      <c r="AY706" t="s">
        <v>74</v>
      </c>
      <c r="AZ706" t="s">
        <v>74</v>
      </c>
      <c r="BA706" t="s">
        <v>74</v>
      </c>
      <c r="BB706">
        <v>636</v>
      </c>
      <c r="BC706">
        <v>638</v>
      </c>
      <c r="BD706" t="s">
        <v>74</v>
      </c>
      <c r="BE706" t="s">
        <v>12920</v>
      </c>
      <c r="BF706" t="str">
        <f>HYPERLINK("http://dx.doi.org/10.1017/S1743921310010859","http://dx.doi.org/10.1017/S1743921310010859")</f>
        <v>http://dx.doi.org/10.1017/S1743921310010859</v>
      </c>
      <c r="BG706" t="s">
        <v>74</v>
      </c>
      <c r="BH706" t="s">
        <v>74</v>
      </c>
      <c r="BI706">
        <v>3</v>
      </c>
      <c r="BJ706" t="s">
        <v>478</v>
      </c>
      <c r="BK706" t="s">
        <v>8281</v>
      </c>
      <c r="BL706" t="s">
        <v>478</v>
      </c>
      <c r="BM706" t="s">
        <v>12853</v>
      </c>
      <c r="BN706" t="s">
        <v>74</v>
      </c>
      <c r="BO706" t="s">
        <v>104</v>
      </c>
      <c r="BP706" t="s">
        <v>74</v>
      </c>
      <c r="BQ706" t="s">
        <v>74</v>
      </c>
      <c r="BR706" t="s">
        <v>105</v>
      </c>
      <c r="BS706" t="s">
        <v>12921</v>
      </c>
      <c r="BT706" t="str">
        <f>HYPERLINK("https%3A%2F%2Fwww.webofscience.com%2Fwos%2Fwoscc%2Ffull-record%2FWOS:000290186900380","View Full Record in Web of Science")</f>
        <v>View Full Record in Web of Science</v>
      </c>
    </row>
    <row r="707" spans="1:72" x14ac:dyDescent="0.15">
      <c r="A707" t="s">
        <v>8257</v>
      </c>
      <c r="B707" t="s">
        <v>12922</v>
      </c>
      <c r="C707" t="s">
        <v>74</v>
      </c>
      <c r="D707" t="s">
        <v>12826</v>
      </c>
      <c r="E707" t="s">
        <v>74</v>
      </c>
      <c r="F707" t="s">
        <v>12923</v>
      </c>
      <c r="G707" t="s">
        <v>74</v>
      </c>
      <c r="H707" t="s">
        <v>12924</v>
      </c>
      <c r="I707" t="s">
        <v>12925</v>
      </c>
      <c r="J707" t="s">
        <v>12829</v>
      </c>
      <c r="K707" t="s">
        <v>12830</v>
      </c>
      <c r="L707" t="s">
        <v>74</v>
      </c>
      <c r="M707" t="s">
        <v>78</v>
      </c>
      <c r="N707" t="s">
        <v>8264</v>
      </c>
      <c r="O707" t="s">
        <v>12831</v>
      </c>
      <c r="P707" t="s">
        <v>12832</v>
      </c>
      <c r="Q707" t="s">
        <v>12833</v>
      </c>
      <c r="R707" t="s">
        <v>74</v>
      </c>
      <c r="S707" t="s">
        <v>12834</v>
      </c>
      <c r="T707" t="s">
        <v>12926</v>
      </c>
      <c r="U707" t="s">
        <v>74</v>
      </c>
      <c r="V707" t="s">
        <v>12927</v>
      </c>
      <c r="W707" t="s">
        <v>12928</v>
      </c>
      <c r="X707" t="s">
        <v>12929</v>
      </c>
      <c r="Y707" t="s">
        <v>12930</v>
      </c>
      <c r="Z707" t="s">
        <v>12931</v>
      </c>
      <c r="AA707" t="s">
        <v>74</v>
      </c>
      <c r="AB707" t="s">
        <v>74</v>
      </c>
      <c r="AC707" t="s">
        <v>74</v>
      </c>
      <c r="AD707" t="s">
        <v>74</v>
      </c>
      <c r="AE707" t="s">
        <v>74</v>
      </c>
      <c r="AF707" t="s">
        <v>74</v>
      </c>
      <c r="AG707">
        <v>6</v>
      </c>
      <c r="AH707">
        <v>2</v>
      </c>
      <c r="AI707">
        <v>2</v>
      </c>
      <c r="AJ707">
        <v>0</v>
      </c>
      <c r="AK707">
        <v>3</v>
      </c>
      <c r="AL707" t="s">
        <v>587</v>
      </c>
      <c r="AM707" t="s">
        <v>1896</v>
      </c>
      <c r="AN707" t="s">
        <v>12846</v>
      </c>
      <c r="AO707" t="s">
        <v>12847</v>
      </c>
      <c r="AP707" t="s">
        <v>74</v>
      </c>
      <c r="AQ707" t="s">
        <v>12849</v>
      </c>
      <c r="AR707" t="s">
        <v>12850</v>
      </c>
      <c r="AS707" t="s">
        <v>12851</v>
      </c>
      <c r="AT707" t="s">
        <v>74</v>
      </c>
      <c r="AU707">
        <v>2010</v>
      </c>
      <c r="AV707">
        <v>15</v>
      </c>
      <c r="AW707" t="s">
        <v>74</v>
      </c>
      <c r="AX707" t="s">
        <v>74</v>
      </c>
      <c r="AY707" t="s">
        <v>74</v>
      </c>
      <c r="AZ707" t="s">
        <v>74</v>
      </c>
      <c r="BA707" t="s">
        <v>74</v>
      </c>
      <c r="BB707">
        <v>639</v>
      </c>
      <c r="BC707">
        <v>640</v>
      </c>
      <c r="BD707" t="s">
        <v>74</v>
      </c>
      <c r="BE707" t="s">
        <v>12932</v>
      </c>
      <c r="BF707" t="str">
        <f>HYPERLINK("http://dx.doi.org/10.1017/S1743921310010860","http://dx.doi.org/10.1017/S1743921310010860")</f>
        <v>http://dx.doi.org/10.1017/S1743921310010860</v>
      </c>
      <c r="BG707" t="s">
        <v>74</v>
      </c>
      <c r="BH707" t="s">
        <v>74</v>
      </c>
      <c r="BI707">
        <v>2</v>
      </c>
      <c r="BJ707" t="s">
        <v>478</v>
      </c>
      <c r="BK707" t="s">
        <v>8281</v>
      </c>
      <c r="BL707" t="s">
        <v>478</v>
      </c>
      <c r="BM707" t="s">
        <v>12853</v>
      </c>
      <c r="BN707" t="s">
        <v>74</v>
      </c>
      <c r="BO707" t="s">
        <v>104</v>
      </c>
      <c r="BP707" t="s">
        <v>74</v>
      </c>
      <c r="BQ707" t="s">
        <v>74</v>
      </c>
      <c r="BR707" t="s">
        <v>105</v>
      </c>
      <c r="BS707" t="s">
        <v>12933</v>
      </c>
      <c r="BT707" t="str">
        <f>HYPERLINK("https%3A%2F%2Fwww.webofscience.com%2Fwos%2Fwoscc%2Ffull-record%2FWOS:000290186900381","View Full Record in Web of Science")</f>
        <v>View Full Record in Web of Science</v>
      </c>
    </row>
    <row r="708" spans="1:72" x14ac:dyDescent="0.15">
      <c r="A708" t="s">
        <v>72</v>
      </c>
      <c r="B708" t="s">
        <v>12934</v>
      </c>
      <c r="C708" t="s">
        <v>74</v>
      </c>
      <c r="D708" t="s">
        <v>74</v>
      </c>
      <c r="E708" t="s">
        <v>74</v>
      </c>
      <c r="F708" t="s">
        <v>12935</v>
      </c>
      <c r="G708" t="s">
        <v>74</v>
      </c>
      <c r="H708" t="s">
        <v>74</v>
      </c>
      <c r="I708" t="s">
        <v>12936</v>
      </c>
      <c r="J708" t="s">
        <v>12937</v>
      </c>
      <c r="K708" t="s">
        <v>74</v>
      </c>
      <c r="L708" t="s">
        <v>74</v>
      </c>
      <c r="M708" t="s">
        <v>2928</v>
      </c>
      <c r="N708" t="s">
        <v>79</v>
      </c>
      <c r="O708" t="s">
        <v>74</v>
      </c>
      <c r="P708" t="s">
        <v>74</v>
      </c>
      <c r="Q708" t="s">
        <v>74</v>
      </c>
      <c r="R708" t="s">
        <v>74</v>
      </c>
      <c r="S708" t="s">
        <v>74</v>
      </c>
      <c r="T708" t="s">
        <v>12938</v>
      </c>
      <c r="U708" t="s">
        <v>74</v>
      </c>
      <c r="V708" t="s">
        <v>12939</v>
      </c>
      <c r="W708" t="s">
        <v>74</v>
      </c>
      <c r="X708" t="s">
        <v>74</v>
      </c>
      <c r="Y708" t="s">
        <v>74</v>
      </c>
      <c r="Z708" t="s">
        <v>12940</v>
      </c>
      <c r="AA708" t="s">
        <v>74</v>
      </c>
      <c r="AB708" t="s">
        <v>74</v>
      </c>
      <c r="AC708" t="s">
        <v>74</v>
      </c>
      <c r="AD708" t="s">
        <v>74</v>
      </c>
      <c r="AE708" t="s">
        <v>74</v>
      </c>
      <c r="AF708" t="s">
        <v>74</v>
      </c>
      <c r="AG708">
        <v>27</v>
      </c>
      <c r="AH708">
        <v>0</v>
      </c>
      <c r="AI708">
        <v>0</v>
      </c>
      <c r="AJ708">
        <v>0</v>
      </c>
      <c r="AK708">
        <v>0</v>
      </c>
      <c r="AL708" t="s">
        <v>12941</v>
      </c>
      <c r="AM708" t="s">
        <v>5123</v>
      </c>
      <c r="AN708" t="s">
        <v>12942</v>
      </c>
      <c r="AO708" t="s">
        <v>12943</v>
      </c>
      <c r="AP708" t="s">
        <v>74</v>
      </c>
      <c r="AQ708" t="s">
        <v>74</v>
      </c>
      <c r="AR708" t="s">
        <v>12944</v>
      </c>
      <c r="AS708" t="s">
        <v>12945</v>
      </c>
      <c r="AT708" t="s">
        <v>12946</v>
      </c>
      <c r="AU708">
        <v>2010</v>
      </c>
      <c r="AV708">
        <v>43</v>
      </c>
      <c r="AW708">
        <v>1</v>
      </c>
      <c r="AX708" t="s">
        <v>74</v>
      </c>
      <c r="AY708" t="s">
        <v>74</v>
      </c>
      <c r="AZ708" t="s">
        <v>74</v>
      </c>
      <c r="BA708" t="s">
        <v>74</v>
      </c>
      <c r="BB708">
        <v>41</v>
      </c>
      <c r="BC708">
        <v>78</v>
      </c>
      <c r="BD708" t="s">
        <v>74</v>
      </c>
      <c r="BE708" t="s">
        <v>74</v>
      </c>
      <c r="BF708" t="s">
        <v>74</v>
      </c>
      <c r="BG708" t="s">
        <v>74</v>
      </c>
      <c r="BH708" t="s">
        <v>74</v>
      </c>
      <c r="BI708">
        <v>38</v>
      </c>
      <c r="BJ708" t="s">
        <v>12947</v>
      </c>
      <c r="BK708" t="s">
        <v>4535</v>
      </c>
      <c r="BL708" t="s">
        <v>12947</v>
      </c>
      <c r="BM708" t="s">
        <v>12948</v>
      </c>
      <c r="BN708" t="s">
        <v>74</v>
      </c>
      <c r="BO708" t="s">
        <v>74</v>
      </c>
      <c r="BP708" t="s">
        <v>74</v>
      </c>
      <c r="BQ708" t="s">
        <v>74</v>
      </c>
      <c r="BR708" t="s">
        <v>105</v>
      </c>
      <c r="BS708" t="s">
        <v>12949</v>
      </c>
      <c r="BT708" t="str">
        <f>HYPERLINK("https%3A%2F%2Fwww.webofscience.com%2Fwos%2Fwoscc%2Ffull-record%2FWOS:000280172200002","View Full Record in Web of Science")</f>
        <v>View Full Record in Web of Science</v>
      </c>
    </row>
    <row r="709" spans="1:72" x14ac:dyDescent="0.15">
      <c r="A709" t="s">
        <v>8563</v>
      </c>
      <c r="B709" t="s">
        <v>12950</v>
      </c>
      <c r="C709" t="s">
        <v>74</v>
      </c>
      <c r="D709" t="s">
        <v>12951</v>
      </c>
      <c r="E709" t="s">
        <v>74</v>
      </c>
      <c r="F709" t="s">
        <v>12952</v>
      </c>
      <c r="G709" t="s">
        <v>74</v>
      </c>
      <c r="H709" t="s">
        <v>74</v>
      </c>
      <c r="I709" t="s">
        <v>12953</v>
      </c>
      <c r="J709" t="s">
        <v>12954</v>
      </c>
      <c r="K709" t="s">
        <v>12955</v>
      </c>
      <c r="L709" t="s">
        <v>74</v>
      </c>
      <c r="M709" t="s">
        <v>78</v>
      </c>
      <c r="N709" t="s">
        <v>8859</v>
      </c>
      <c r="O709" t="s">
        <v>74</v>
      </c>
      <c r="P709" t="s">
        <v>74</v>
      </c>
      <c r="Q709" t="s">
        <v>74</v>
      </c>
      <c r="R709" t="s">
        <v>74</v>
      </c>
      <c r="S709" t="s">
        <v>74</v>
      </c>
      <c r="T709" t="s">
        <v>74</v>
      </c>
      <c r="U709" t="s">
        <v>12956</v>
      </c>
      <c r="V709" t="s">
        <v>74</v>
      </c>
      <c r="W709" t="s">
        <v>12957</v>
      </c>
      <c r="X709" t="s">
        <v>12958</v>
      </c>
      <c r="Y709" t="s">
        <v>12959</v>
      </c>
      <c r="Z709" t="s">
        <v>12960</v>
      </c>
      <c r="AA709" t="s">
        <v>74</v>
      </c>
      <c r="AB709" t="s">
        <v>74</v>
      </c>
      <c r="AC709" t="s">
        <v>74</v>
      </c>
      <c r="AD709" t="s">
        <v>74</v>
      </c>
      <c r="AE709" t="s">
        <v>74</v>
      </c>
      <c r="AF709" t="s">
        <v>74</v>
      </c>
      <c r="AG709">
        <v>48</v>
      </c>
      <c r="AH709">
        <v>4</v>
      </c>
      <c r="AI709">
        <v>5</v>
      </c>
      <c r="AJ709">
        <v>0</v>
      </c>
      <c r="AK709">
        <v>3</v>
      </c>
      <c r="AL709" t="s">
        <v>8866</v>
      </c>
      <c r="AM709" t="s">
        <v>6462</v>
      </c>
      <c r="AN709" t="s">
        <v>8867</v>
      </c>
      <c r="AO709" t="s">
        <v>74</v>
      </c>
      <c r="AP709" t="s">
        <v>74</v>
      </c>
      <c r="AQ709" t="s">
        <v>12961</v>
      </c>
      <c r="AR709" t="s">
        <v>12962</v>
      </c>
      <c r="AS709" t="s">
        <v>74</v>
      </c>
      <c r="AT709" t="s">
        <v>74</v>
      </c>
      <c r="AU709">
        <v>2010</v>
      </c>
      <c r="AV709">
        <v>1</v>
      </c>
      <c r="AW709" t="s">
        <v>74</v>
      </c>
      <c r="AX709" t="s">
        <v>74</v>
      </c>
      <c r="AY709" t="s">
        <v>74</v>
      </c>
      <c r="AZ709" t="s">
        <v>74</v>
      </c>
      <c r="BA709" t="s">
        <v>74</v>
      </c>
      <c r="BB709">
        <v>239</v>
      </c>
      <c r="BC709">
        <v>257</v>
      </c>
      <c r="BD709" t="s">
        <v>74</v>
      </c>
      <c r="BE709" t="s">
        <v>12963</v>
      </c>
      <c r="BF709" t="str">
        <f>HYPERLINK("http://dx.doi.org/10.1007/978-3-642-12402-0_10","http://dx.doi.org/10.1007/978-3-642-12402-0_10")</f>
        <v>http://dx.doi.org/10.1007/978-3-642-12402-0_10</v>
      </c>
      <c r="BG709" t="s">
        <v>12964</v>
      </c>
      <c r="BH709" t="s">
        <v>74</v>
      </c>
      <c r="BI709">
        <v>19</v>
      </c>
      <c r="BJ709" t="s">
        <v>12965</v>
      </c>
      <c r="BK709" t="s">
        <v>12478</v>
      </c>
      <c r="BL709" t="s">
        <v>12966</v>
      </c>
      <c r="BM709" t="s">
        <v>12967</v>
      </c>
      <c r="BN709" t="s">
        <v>74</v>
      </c>
      <c r="BO709" t="s">
        <v>74</v>
      </c>
      <c r="BP709" t="s">
        <v>74</v>
      </c>
      <c r="BQ709" t="s">
        <v>74</v>
      </c>
      <c r="BR709" t="s">
        <v>105</v>
      </c>
      <c r="BS709" t="s">
        <v>12968</v>
      </c>
      <c r="BT709" t="str">
        <f>HYPERLINK("https%3A%2F%2Fwww.webofscience.com%2Fwos%2Fwoscc%2Ffull-record%2FWOS:000282073800010","View Full Record in Web of Science")</f>
        <v>View Full Record in Web of Science</v>
      </c>
    </row>
    <row r="710" spans="1:72" x14ac:dyDescent="0.15">
      <c r="A710" t="s">
        <v>8563</v>
      </c>
      <c r="B710" t="s">
        <v>12969</v>
      </c>
      <c r="C710" t="s">
        <v>74</v>
      </c>
      <c r="D710" t="s">
        <v>12951</v>
      </c>
      <c r="E710" t="s">
        <v>74</v>
      </c>
      <c r="F710" t="s">
        <v>12970</v>
      </c>
      <c r="G710" t="s">
        <v>74</v>
      </c>
      <c r="H710" t="s">
        <v>74</v>
      </c>
      <c r="I710" t="s">
        <v>12971</v>
      </c>
      <c r="J710" t="s">
        <v>12954</v>
      </c>
      <c r="K710" t="s">
        <v>12955</v>
      </c>
      <c r="L710" t="s">
        <v>74</v>
      </c>
      <c r="M710" t="s">
        <v>78</v>
      </c>
      <c r="N710" t="s">
        <v>8859</v>
      </c>
      <c r="O710" t="s">
        <v>74</v>
      </c>
      <c r="P710" t="s">
        <v>74</v>
      </c>
      <c r="Q710" t="s">
        <v>74</v>
      </c>
      <c r="R710" t="s">
        <v>74</v>
      </c>
      <c r="S710" t="s">
        <v>74</v>
      </c>
      <c r="T710" t="s">
        <v>74</v>
      </c>
      <c r="U710" t="s">
        <v>74</v>
      </c>
      <c r="V710" t="s">
        <v>74</v>
      </c>
      <c r="W710" t="s">
        <v>12972</v>
      </c>
      <c r="X710" t="s">
        <v>656</v>
      </c>
      <c r="Y710" t="s">
        <v>12973</v>
      </c>
      <c r="Z710" t="s">
        <v>12974</v>
      </c>
      <c r="AA710" t="s">
        <v>74</v>
      </c>
      <c r="AB710" t="s">
        <v>74</v>
      </c>
      <c r="AC710" t="s">
        <v>74</v>
      </c>
      <c r="AD710" t="s">
        <v>74</v>
      </c>
      <c r="AE710" t="s">
        <v>74</v>
      </c>
      <c r="AF710" t="s">
        <v>74</v>
      </c>
      <c r="AG710">
        <v>3</v>
      </c>
      <c r="AH710">
        <v>6</v>
      </c>
      <c r="AI710">
        <v>6</v>
      </c>
      <c r="AJ710">
        <v>0</v>
      </c>
      <c r="AK710">
        <v>0</v>
      </c>
      <c r="AL710" t="s">
        <v>8866</v>
      </c>
      <c r="AM710" t="s">
        <v>6462</v>
      </c>
      <c r="AN710" t="s">
        <v>8867</v>
      </c>
      <c r="AO710" t="s">
        <v>74</v>
      </c>
      <c r="AP710" t="s">
        <v>74</v>
      </c>
      <c r="AQ710" t="s">
        <v>12961</v>
      </c>
      <c r="AR710" t="s">
        <v>12962</v>
      </c>
      <c r="AS710" t="s">
        <v>74</v>
      </c>
      <c r="AT710" t="s">
        <v>74</v>
      </c>
      <c r="AU710">
        <v>2010</v>
      </c>
      <c r="AV710">
        <v>1</v>
      </c>
      <c r="AW710" t="s">
        <v>74</v>
      </c>
      <c r="AX710" t="s">
        <v>74</v>
      </c>
      <c r="AY710" t="s">
        <v>74</v>
      </c>
      <c r="AZ710" t="s">
        <v>74</v>
      </c>
      <c r="BA710" t="s">
        <v>74</v>
      </c>
      <c r="BB710">
        <v>299</v>
      </c>
      <c r="BC710">
        <v>312</v>
      </c>
      <c r="BD710" t="s">
        <v>74</v>
      </c>
      <c r="BE710" t="s">
        <v>12975</v>
      </c>
      <c r="BF710" t="str">
        <f>HYPERLINK("http://dx.doi.org/10.1007/978-3-642-12402-0_14","http://dx.doi.org/10.1007/978-3-642-12402-0_14")</f>
        <v>http://dx.doi.org/10.1007/978-3-642-12402-0_14</v>
      </c>
      <c r="BG710" t="s">
        <v>12964</v>
      </c>
      <c r="BH710" t="s">
        <v>74</v>
      </c>
      <c r="BI710">
        <v>14</v>
      </c>
      <c r="BJ710" t="s">
        <v>12965</v>
      </c>
      <c r="BK710" t="s">
        <v>12478</v>
      </c>
      <c r="BL710" t="s">
        <v>12966</v>
      </c>
      <c r="BM710" t="s">
        <v>12967</v>
      </c>
      <c r="BN710" t="s">
        <v>74</v>
      </c>
      <c r="BO710" t="s">
        <v>74</v>
      </c>
      <c r="BP710" t="s">
        <v>74</v>
      </c>
      <c r="BQ710" t="s">
        <v>74</v>
      </c>
      <c r="BR710" t="s">
        <v>105</v>
      </c>
      <c r="BS710" t="s">
        <v>12976</v>
      </c>
      <c r="BT710" t="str">
        <f>HYPERLINK("https%3A%2F%2Fwww.webofscience.com%2Fwos%2Fwoscc%2Ffull-record%2FWOS:000282073800014","View Full Record in Web of Science")</f>
        <v>View Full Record in Web of Science</v>
      </c>
    </row>
    <row r="711" spans="1:72" x14ac:dyDescent="0.15">
      <c r="A711" t="s">
        <v>8563</v>
      </c>
      <c r="B711" t="s">
        <v>12977</v>
      </c>
      <c r="C711" t="s">
        <v>74</v>
      </c>
      <c r="D711" t="s">
        <v>12978</v>
      </c>
      <c r="E711" t="s">
        <v>74</v>
      </c>
      <c r="F711" t="s">
        <v>12979</v>
      </c>
      <c r="G711" t="s">
        <v>74</v>
      </c>
      <c r="H711" t="s">
        <v>74</v>
      </c>
      <c r="I711" t="s">
        <v>12980</v>
      </c>
      <c r="J711" t="s">
        <v>12981</v>
      </c>
      <c r="K711" t="s">
        <v>12982</v>
      </c>
      <c r="L711" t="s">
        <v>74</v>
      </c>
      <c r="M711" t="s">
        <v>78</v>
      </c>
      <c r="N711" t="s">
        <v>8859</v>
      </c>
      <c r="O711" t="s">
        <v>74</v>
      </c>
      <c r="P711" t="s">
        <v>74</v>
      </c>
      <c r="Q711" t="s">
        <v>74</v>
      </c>
      <c r="R711" t="s">
        <v>74</v>
      </c>
      <c r="S711" t="s">
        <v>74</v>
      </c>
      <c r="T711" t="s">
        <v>74</v>
      </c>
      <c r="U711" t="s">
        <v>12983</v>
      </c>
      <c r="V711" t="s">
        <v>12984</v>
      </c>
      <c r="W711" t="s">
        <v>12985</v>
      </c>
      <c r="X711" t="s">
        <v>12986</v>
      </c>
      <c r="Y711" t="s">
        <v>12987</v>
      </c>
      <c r="Z711" t="s">
        <v>12988</v>
      </c>
      <c r="AA711" t="s">
        <v>12989</v>
      </c>
      <c r="AB711" t="s">
        <v>12990</v>
      </c>
      <c r="AC711" t="s">
        <v>74</v>
      </c>
      <c r="AD711" t="s">
        <v>74</v>
      </c>
      <c r="AE711" t="s">
        <v>74</v>
      </c>
      <c r="AF711" t="s">
        <v>74</v>
      </c>
      <c r="AG711">
        <v>32</v>
      </c>
      <c r="AH711">
        <v>1</v>
      </c>
      <c r="AI711">
        <v>1</v>
      </c>
      <c r="AJ711">
        <v>0</v>
      </c>
      <c r="AK711">
        <v>1</v>
      </c>
      <c r="AL711" t="s">
        <v>9400</v>
      </c>
      <c r="AM711" t="s">
        <v>9401</v>
      </c>
      <c r="AN711" t="s">
        <v>9402</v>
      </c>
      <c r="AO711" t="s">
        <v>74</v>
      </c>
      <c r="AP711" t="s">
        <v>74</v>
      </c>
      <c r="AQ711" t="s">
        <v>12991</v>
      </c>
      <c r="AR711" t="s">
        <v>12992</v>
      </c>
      <c r="AS711" t="s">
        <v>74</v>
      </c>
      <c r="AT711" t="s">
        <v>74</v>
      </c>
      <c r="AU711">
        <v>2010</v>
      </c>
      <c r="AV711" t="s">
        <v>74</v>
      </c>
      <c r="AW711" t="s">
        <v>74</v>
      </c>
      <c r="AX711" t="s">
        <v>74</v>
      </c>
      <c r="AY711" t="s">
        <v>74</v>
      </c>
      <c r="AZ711" t="s">
        <v>74</v>
      </c>
      <c r="BA711" t="s">
        <v>74</v>
      </c>
      <c r="BB711">
        <v>479</v>
      </c>
      <c r="BC711">
        <v>488</v>
      </c>
      <c r="BD711" t="s">
        <v>74</v>
      </c>
      <c r="BE711" t="s">
        <v>74</v>
      </c>
      <c r="BF711" t="s">
        <v>74</v>
      </c>
      <c r="BG711" t="s">
        <v>74</v>
      </c>
      <c r="BH711" t="s">
        <v>74</v>
      </c>
      <c r="BI711">
        <v>10</v>
      </c>
      <c r="BJ711" t="s">
        <v>913</v>
      </c>
      <c r="BK711" t="s">
        <v>8579</v>
      </c>
      <c r="BL711" t="s">
        <v>914</v>
      </c>
      <c r="BM711" t="s">
        <v>12993</v>
      </c>
      <c r="BN711" t="s">
        <v>74</v>
      </c>
      <c r="BO711" t="s">
        <v>74</v>
      </c>
      <c r="BP711" t="s">
        <v>74</v>
      </c>
      <c r="BQ711" t="s">
        <v>74</v>
      </c>
      <c r="BR711" t="s">
        <v>105</v>
      </c>
      <c r="BS711" t="s">
        <v>12994</v>
      </c>
      <c r="BT711" t="str">
        <f>HYPERLINK("https%3A%2F%2Fwww.webofscience.com%2Fwos%2Fwoscc%2Ffull-record%2FWOS:000278494800021","View Full Record in Web of Science")</f>
        <v>View Full Record in Web of Science</v>
      </c>
    </row>
    <row r="712" spans="1:72" x14ac:dyDescent="0.15">
      <c r="A712" t="s">
        <v>8563</v>
      </c>
      <c r="B712" t="s">
        <v>12995</v>
      </c>
      <c r="C712" t="s">
        <v>12995</v>
      </c>
      <c r="D712" t="s">
        <v>74</v>
      </c>
      <c r="E712" t="s">
        <v>74</v>
      </c>
      <c r="F712" t="s">
        <v>12996</v>
      </c>
      <c r="G712" t="s">
        <v>12995</v>
      </c>
      <c r="H712" t="s">
        <v>74</v>
      </c>
      <c r="I712" t="s">
        <v>12997</v>
      </c>
      <c r="J712" t="s">
        <v>12998</v>
      </c>
      <c r="K712" t="s">
        <v>12999</v>
      </c>
      <c r="L712" t="s">
        <v>74</v>
      </c>
      <c r="M712" t="s">
        <v>78</v>
      </c>
      <c r="N712" t="s">
        <v>8859</v>
      </c>
      <c r="O712" t="s">
        <v>74</v>
      </c>
      <c r="P712" t="s">
        <v>74</v>
      </c>
      <c r="Q712" t="s">
        <v>74</v>
      </c>
      <c r="R712" t="s">
        <v>74</v>
      </c>
      <c r="S712" t="s">
        <v>74</v>
      </c>
      <c r="T712" t="s">
        <v>74</v>
      </c>
      <c r="U712" t="s">
        <v>13000</v>
      </c>
      <c r="V712" t="s">
        <v>74</v>
      </c>
      <c r="W712" t="s">
        <v>13001</v>
      </c>
      <c r="X712" t="s">
        <v>13002</v>
      </c>
      <c r="Y712" t="s">
        <v>13003</v>
      </c>
      <c r="Z712" t="s">
        <v>13004</v>
      </c>
      <c r="AA712" t="s">
        <v>74</v>
      </c>
      <c r="AB712" t="s">
        <v>74</v>
      </c>
      <c r="AC712" t="s">
        <v>74</v>
      </c>
      <c r="AD712" t="s">
        <v>74</v>
      </c>
      <c r="AE712" t="s">
        <v>74</v>
      </c>
      <c r="AF712" t="s">
        <v>74</v>
      </c>
      <c r="AG712">
        <v>0</v>
      </c>
      <c r="AH712">
        <v>0</v>
      </c>
      <c r="AI712">
        <v>0</v>
      </c>
      <c r="AJ712">
        <v>0</v>
      </c>
      <c r="AK712">
        <v>1</v>
      </c>
      <c r="AL712" t="s">
        <v>813</v>
      </c>
      <c r="AM712" t="s">
        <v>814</v>
      </c>
      <c r="AN712" t="s">
        <v>10693</v>
      </c>
      <c r="AO712" t="s">
        <v>74</v>
      </c>
      <c r="AP712" t="s">
        <v>74</v>
      </c>
      <c r="AQ712" t="s">
        <v>13005</v>
      </c>
      <c r="AR712" t="s">
        <v>13006</v>
      </c>
      <c r="AS712" t="s">
        <v>74</v>
      </c>
      <c r="AT712" t="s">
        <v>74</v>
      </c>
      <c r="AU712">
        <v>2010</v>
      </c>
      <c r="AV712">
        <v>41</v>
      </c>
      <c r="AW712" t="s">
        <v>74</v>
      </c>
      <c r="AX712" t="s">
        <v>74</v>
      </c>
      <c r="AY712" t="s">
        <v>74</v>
      </c>
      <c r="AZ712" t="s">
        <v>74</v>
      </c>
      <c r="BA712" t="s">
        <v>74</v>
      </c>
      <c r="BB712">
        <v>1</v>
      </c>
      <c r="BC712" t="s">
        <v>1802</v>
      </c>
      <c r="BD712" t="s">
        <v>74</v>
      </c>
      <c r="BE712" t="s">
        <v>13007</v>
      </c>
      <c r="BF712" t="str">
        <f>HYPERLINK("http://dx.doi.org/10.1007/978-90-481-3562-2_1","http://dx.doi.org/10.1007/978-90-481-3562-2_1")</f>
        <v>http://dx.doi.org/10.1007/978-90-481-3562-2_1</v>
      </c>
      <c r="BG712" t="s">
        <v>13008</v>
      </c>
      <c r="BH712" t="s">
        <v>74</v>
      </c>
      <c r="BI712">
        <v>44</v>
      </c>
      <c r="BJ712" t="s">
        <v>13009</v>
      </c>
      <c r="BK712" t="s">
        <v>8579</v>
      </c>
      <c r="BL712" t="s">
        <v>13010</v>
      </c>
      <c r="BM712" t="s">
        <v>13011</v>
      </c>
      <c r="BN712" t="s">
        <v>74</v>
      </c>
      <c r="BO712" t="s">
        <v>74</v>
      </c>
      <c r="BP712" t="s">
        <v>74</v>
      </c>
      <c r="BQ712" t="s">
        <v>74</v>
      </c>
      <c r="BR712" t="s">
        <v>105</v>
      </c>
      <c r="BS712" t="s">
        <v>13012</v>
      </c>
      <c r="BT712" t="str">
        <f>HYPERLINK("https%3A%2F%2Fwww.webofscience.com%2Fwos%2Fwoscc%2Ffull-record%2FWOS:000274343800001","View Full Record in Web of Science")</f>
        <v>View Full Record in Web of Science</v>
      </c>
    </row>
    <row r="713" spans="1:72" x14ac:dyDescent="0.15">
      <c r="A713" t="s">
        <v>72</v>
      </c>
      <c r="B713" t="s">
        <v>13013</v>
      </c>
      <c r="C713" t="s">
        <v>74</v>
      </c>
      <c r="D713" t="s">
        <v>74</v>
      </c>
      <c r="E713" t="s">
        <v>74</v>
      </c>
      <c r="F713" t="s">
        <v>13014</v>
      </c>
      <c r="G713" t="s">
        <v>74</v>
      </c>
      <c r="H713" t="s">
        <v>74</v>
      </c>
      <c r="I713" t="s">
        <v>13015</v>
      </c>
      <c r="J713" t="s">
        <v>13016</v>
      </c>
      <c r="K713" t="s">
        <v>74</v>
      </c>
      <c r="L713" t="s">
        <v>74</v>
      </c>
      <c r="M713" t="s">
        <v>78</v>
      </c>
      <c r="N713" t="s">
        <v>79</v>
      </c>
      <c r="O713" t="s">
        <v>74</v>
      </c>
      <c r="P713" t="s">
        <v>74</v>
      </c>
      <c r="Q713" t="s">
        <v>74</v>
      </c>
      <c r="R713" t="s">
        <v>74</v>
      </c>
      <c r="S713" t="s">
        <v>74</v>
      </c>
      <c r="T713" t="s">
        <v>13017</v>
      </c>
      <c r="U713" t="s">
        <v>74</v>
      </c>
      <c r="V713" t="s">
        <v>13018</v>
      </c>
      <c r="W713" t="s">
        <v>13019</v>
      </c>
      <c r="X713" t="s">
        <v>13020</v>
      </c>
      <c r="Y713" t="s">
        <v>13021</v>
      </c>
      <c r="Z713" t="s">
        <v>13022</v>
      </c>
      <c r="AA713" t="s">
        <v>13023</v>
      </c>
      <c r="AB713" t="s">
        <v>13024</v>
      </c>
      <c r="AC713" t="s">
        <v>13025</v>
      </c>
      <c r="AD713" t="s">
        <v>13026</v>
      </c>
      <c r="AE713" t="s">
        <v>13027</v>
      </c>
      <c r="AF713" t="s">
        <v>74</v>
      </c>
      <c r="AG713">
        <v>11</v>
      </c>
      <c r="AH713">
        <v>166</v>
      </c>
      <c r="AI713">
        <v>175</v>
      </c>
      <c r="AJ713">
        <v>0</v>
      </c>
      <c r="AK713">
        <v>4</v>
      </c>
      <c r="AL713" t="s">
        <v>13028</v>
      </c>
      <c r="AM713" t="s">
        <v>4071</v>
      </c>
      <c r="AN713" t="s">
        <v>13029</v>
      </c>
      <c r="AO713" t="s">
        <v>13030</v>
      </c>
      <c r="AP713" t="s">
        <v>74</v>
      </c>
      <c r="AQ713" t="s">
        <v>74</v>
      </c>
      <c r="AR713" t="s">
        <v>13031</v>
      </c>
      <c r="AS713" t="s">
        <v>13032</v>
      </c>
      <c r="AT713" t="s">
        <v>74</v>
      </c>
      <c r="AU713">
        <v>2010</v>
      </c>
      <c r="AV713">
        <v>4</v>
      </c>
      <c r="AW713" t="s">
        <v>74</v>
      </c>
      <c r="AX713" t="s">
        <v>74</v>
      </c>
      <c r="AY713" t="s">
        <v>74</v>
      </c>
      <c r="AZ713" t="s">
        <v>74</v>
      </c>
      <c r="BA713" t="s">
        <v>74</v>
      </c>
      <c r="BB713">
        <v>15</v>
      </c>
      <c r="BC713">
        <v>19</v>
      </c>
      <c r="BD713" t="s">
        <v>74</v>
      </c>
      <c r="BE713" t="s">
        <v>13033</v>
      </c>
      <c r="BF713" t="str">
        <f>HYPERLINK("http://dx.doi.org/10.3178/hrl.4.15","http://dx.doi.org/10.3178/hrl.4.15")</f>
        <v>http://dx.doi.org/10.3178/hrl.4.15</v>
      </c>
      <c r="BG713" t="s">
        <v>74</v>
      </c>
      <c r="BH713" t="s">
        <v>74</v>
      </c>
      <c r="BI713">
        <v>5</v>
      </c>
      <c r="BJ713" t="s">
        <v>5701</v>
      </c>
      <c r="BK713" t="s">
        <v>1408</v>
      </c>
      <c r="BL713" t="s">
        <v>5701</v>
      </c>
      <c r="BM713" t="s">
        <v>13034</v>
      </c>
      <c r="BN713" t="s">
        <v>74</v>
      </c>
      <c r="BO713" t="s">
        <v>8695</v>
      </c>
      <c r="BP713" t="s">
        <v>74</v>
      </c>
      <c r="BQ713" t="s">
        <v>74</v>
      </c>
      <c r="BR713" t="s">
        <v>105</v>
      </c>
      <c r="BS713" t="s">
        <v>13035</v>
      </c>
      <c r="BT713" t="str">
        <f>HYPERLINK("https%3A%2F%2Fwww.webofscience.com%2Fwos%2Fwoscc%2Ffull-record%2FWOS:000416418000004","View Full Record in Web of Science")</f>
        <v>View Full Record in Web of Science</v>
      </c>
    </row>
    <row r="714" spans="1:72" x14ac:dyDescent="0.15">
      <c r="A714" t="s">
        <v>72</v>
      </c>
      <c r="B714" t="s">
        <v>13036</v>
      </c>
      <c r="C714" t="s">
        <v>74</v>
      </c>
      <c r="D714" t="s">
        <v>74</v>
      </c>
      <c r="E714" t="s">
        <v>74</v>
      </c>
      <c r="F714" t="s">
        <v>13037</v>
      </c>
      <c r="G714" t="s">
        <v>74</v>
      </c>
      <c r="H714" t="s">
        <v>74</v>
      </c>
      <c r="I714" t="s">
        <v>13038</v>
      </c>
      <c r="J714" t="s">
        <v>13039</v>
      </c>
      <c r="K714" t="s">
        <v>74</v>
      </c>
      <c r="L714" t="s">
        <v>74</v>
      </c>
      <c r="M714" t="s">
        <v>78</v>
      </c>
      <c r="N714" t="s">
        <v>79</v>
      </c>
      <c r="O714" t="s">
        <v>74</v>
      </c>
      <c r="P714" t="s">
        <v>74</v>
      </c>
      <c r="Q714" t="s">
        <v>74</v>
      </c>
      <c r="R714" t="s">
        <v>74</v>
      </c>
      <c r="S714" t="s">
        <v>74</v>
      </c>
      <c r="T714" t="s">
        <v>74</v>
      </c>
      <c r="U714" t="s">
        <v>13040</v>
      </c>
      <c r="V714" t="s">
        <v>13041</v>
      </c>
      <c r="W714" t="s">
        <v>13042</v>
      </c>
      <c r="X714" t="s">
        <v>13043</v>
      </c>
      <c r="Y714" t="s">
        <v>13044</v>
      </c>
      <c r="Z714" t="s">
        <v>13045</v>
      </c>
      <c r="AA714" t="s">
        <v>13046</v>
      </c>
      <c r="AB714" t="s">
        <v>13047</v>
      </c>
      <c r="AC714" t="s">
        <v>13048</v>
      </c>
      <c r="AD714" t="s">
        <v>13049</v>
      </c>
      <c r="AE714" t="s">
        <v>13050</v>
      </c>
      <c r="AF714" t="s">
        <v>74</v>
      </c>
      <c r="AG714">
        <v>37</v>
      </c>
      <c r="AH714">
        <v>100</v>
      </c>
      <c r="AI714">
        <v>105</v>
      </c>
      <c r="AJ714">
        <v>0</v>
      </c>
      <c r="AK714">
        <v>19</v>
      </c>
      <c r="AL714" t="s">
        <v>8999</v>
      </c>
      <c r="AM714" t="s">
        <v>9000</v>
      </c>
      <c r="AN714" t="s">
        <v>9001</v>
      </c>
      <c r="AO714" t="s">
        <v>13051</v>
      </c>
      <c r="AP714" t="s">
        <v>74</v>
      </c>
      <c r="AQ714" t="s">
        <v>74</v>
      </c>
      <c r="AR714" t="s">
        <v>13052</v>
      </c>
      <c r="AS714" t="s">
        <v>13053</v>
      </c>
      <c r="AT714" t="s">
        <v>74</v>
      </c>
      <c r="AU714">
        <v>2010</v>
      </c>
      <c r="AV714">
        <v>14</v>
      </c>
      <c r="AW714">
        <v>8</v>
      </c>
      <c r="AX714" t="s">
        <v>74</v>
      </c>
      <c r="AY714" t="s">
        <v>74</v>
      </c>
      <c r="AZ714" t="s">
        <v>74</v>
      </c>
      <c r="BA714" t="s">
        <v>74</v>
      </c>
      <c r="BB714">
        <v>1551</v>
      </c>
      <c r="BC714">
        <v>1566</v>
      </c>
      <c r="BD714" t="s">
        <v>74</v>
      </c>
      <c r="BE714" t="s">
        <v>13054</v>
      </c>
      <c r="BF714" t="str">
        <f>HYPERLINK("http://dx.doi.org/10.5194/hess-14-1551-2010","http://dx.doi.org/10.5194/hess-14-1551-2010")</f>
        <v>http://dx.doi.org/10.5194/hess-14-1551-2010</v>
      </c>
      <c r="BG714" t="s">
        <v>74</v>
      </c>
      <c r="BH714" t="s">
        <v>74</v>
      </c>
      <c r="BI714">
        <v>16</v>
      </c>
      <c r="BJ714" t="s">
        <v>13055</v>
      </c>
      <c r="BK714" t="s">
        <v>102</v>
      </c>
      <c r="BL714" t="s">
        <v>13056</v>
      </c>
      <c r="BM714" t="s">
        <v>13057</v>
      </c>
      <c r="BN714" t="s">
        <v>74</v>
      </c>
      <c r="BO714" t="s">
        <v>5454</v>
      </c>
      <c r="BP714" t="s">
        <v>74</v>
      </c>
      <c r="BQ714" t="s">
        <v>74</v>
      </c>
      <c r="BR714" t="s">
        <v>105</v>
      </c>
      <c r="BS714" t="s">
        <v>13058</v>
      </c>
      <c r="BT714" t="str">
        <f>HYPERLINK("https%3A%2F%2Fwww.webofscience.com%2Fwos%2Fwoscc%2Ffull-record%2FWOS:000281432500011","View Full Record in Web of Science")</f>
        <v>View Full Record in Web of Science</v>
      </c>
    </row>
    <row r="715" spans="1:72" x14ac:dyDescent="0.15">
      <c r="A715" t="s">
        <v>72</v>
      </c>
      <c r="B715" t="s">
        <v>13059</v>
      </c>
      <c r="C715" t="s">
        <v>74</v>
      </c>
      <c r="D715" t="s">
        <v>74</v>
      </c>
      <c r="E715" t="s">
        <v>74</v>
      </c>
      <c r="F715" t="s">
        <v>13060</v>
      </c>
      <c r="G715" t="s">
        <v>74</v>
      </c>
      <c r="H715" t="s">
        <v>74</v>
      </c>
      <c r="I715" t="s">
        <v>13061</v>
      </c>
      <c r="J715" t="s">
        <v>13062</v>
      </c>
      <c r="K715" t="s">
        <v>74</v>
      </c>
      <c r="L715" t="s">
        <v>74</v>
      </c>
      <c r="M715" t="s">
        <v>78</v>
      </c>
      <c r="N715" t="s">
        <v>79</v>
      </c>
      <c r="O715" t="s">
        <v>74</v>
      </c>
      <c r="P715" t="s">
        <v>74</v>
      </c>
      <c r="Q715" t="s">
        <v>74</v>
      </c>
      <c r="R715" t="s">
        <v>74</v>
      </c>
      <c r="S715" t="s">
        <v>74</v>
      </c>
      <c r="T715" t="s">
        <v>13063</v>
      </c>
      <c r="U715" t="s">
        <v>13064</v>
      </c>
      <c r="V715" t="s">
        <v>13065</v>
      </c>
      <c r="W715" t="s">
        <v>13066</v>
      </c>
      <c r="X715" t="s">
        <v>13067</v>
      </c>
      <c r="Y715" t="s">
        <v>13068</v>
      </c>
      <c r="Z715" t="s">
        <v>13069</v>
      </c>
      <c r="AA715" t="s">
        <v>13070</v>
      </c>
      <c r="AB715" t="s">
        <v>13071</v>
      </c>
      <c r="AC715" t="s">
        <v>13072</v>
      </c>
      <c r="AD715" t="s">
        <v>13073</v>
      </c>
      <c r="AE715" t="s">
        <v>13074</v>
      </c>
      <c r="AF715" t="s">
        <v>74</v>
      </c>
      <c r="AG715">
        <v>44</v>
      </c>
      <c r="AH715">
        <v>9</v>
      </c>
      <c r="AI715">
        <v>9</v>
      </c>
      <c r="AJ715">
        <v>0</v>
      </c>
      <c r="AK715">
        <v>13</v>
      </c>
      <c r="AL715" t="s">
        <v>2312</v>
      </c>
      <c r="AM715" t="s">
        <v>992</v>
      </c>
      <c r="AN715" t="s">
        <v>993</v>
      </c>
      <c r="AO715" t="s">
        <v>13075</v>
      </c>
      <c r="AP715" t="s">
        <v>13076</v>
      </c>
      <c r="AQ715" t="s">
        <v>74</v>
      </c>
      <c r="AR715" t="s">
        <v>13062</v>
      </c>
      <c r="AS715" t="s">
        <v>13077</v>
      </c>
      <c r="AT715" t="s">
        <v>8958</v>
      </c>
      <c r="AU715">
        <v>2010</v>
      </c>
      <c r="AV715">
        <v>152</v>
      </c>
      <c r="AW715">
        <v>1</v>
      </c>
      <c r="AX715" t="s">
        <v>74</v>
      </c>
      <c r="AY715" t="s">
        <v>74</v>
      </c>
      <c r="AZ715" t="s">
        <v>74</v>
      </c>
      <c r="BA715" t="s">
        <v>74</v>
      </c>
      <c r="BB715">
        <v>38</v>
      </c>
      <c r="BC715">
        <v>47</v>
      </c>
      <c r="BD715" t="s">
        <v>74</v>
      </c>
      <c r="BE715" t="s">
        <v>13078</v>
      </c>
      <c r="BF715" t="str">
        <f>HYPERLINK("http://dx.doi.org/10.1111/j.1474-919X.2009.00971.x","http://dx.doi.org/10.1111/j.1474-919X.2009.00971.x")</f>
        <v>http://dx.doi.org/10.1111/j.1474-919X.2009.00971.x</v>
      </c>
      <c r="BG715" t="s">
        <v>74</v>
      </c>
      <c r="BH715" t="s">
        <v>74</v>
      </c>
      <c r="BI715">
        <v>10</v>
      </c>
      <c r="BJ715" t="s">
        <v>10319</v>
      </c>
      <c r="BK715" t="s">
        <v>102</v>
      </c>
      <c r="BL715" t="s">
        <v>281</v>
      </c>
      <c r="BM715" t="s">
        <v>13079</v>
      </c>
      <c r="BN715" t="s">
        <v>74</v>
      </c>
      <c r="BO715" t="s">
        <v>74</v>
      </c>
      <c r="BP715" t="s">
        <v>74</v>
      </c>
      <c r="BQ715" t="s">
        <v>74</v>
      </c>
      <c r="BR715" t="s">
        <v>105</v>
      </c>
      <c r="BS715" t="s">
        <v>13080</v>
      </c>
      <c r="BT715" t="str">
        <f>HYPERLINK("https%3A%2F%2Fwww.webofscience.com%2Fwos%2Fwoscc%2Ffull-record%2FWOS:000272574000006","View Full Record in Web of Science")</f>
        <v>View Full Record in Web of Science</v>
      </c>
    </row>
    <row r="716" spans="1:72" x14ac:dyDescent="0.15">
      <c r="A716" t="s">
        <v>8257</v>
      </c>
      <c r="B716" t="s">
        <v>13081</v>
      </c>
      <c r="C716" t="s">
        <v>74</v>
      </c>
      <c r="D716" t="s">
        <v>13082</v>
      </c>
      <c r="E716" t="s">
        <v>74</v>
      </c>
      <c r="F716" t="s">
        <v>13083</v>
      </c>
      <c r="G716" t="s">
        <v>74</v>
      </c>
      <c r="H716" t="s">
        <v>74</v>
      </c>
      <c r="I716" t="s">
        <v>13084</v>
      </c>
      <c r="J716" t="s">
        <v>13085</v>
      </c>
      <c r="K716" t="s">
        <v>11925</v>
      </c>
      <c r="L716" t="s">
        <v>74</v>
      </c>
      <c r="M716" t="s">
        <v>78</v>
      </c>
      <c r="N716" t="s">
        <v>8264</v>
      </c>
      <c r="O716" t="s">
        <v>13086</v>
      </c>
      <c r="P716" t="s">
        <v>13087</v>
      </c>
      <c r="Q716" t="s">
        <v>13088</v>
      </c>
      <c r="R716" t="s">
        <v>74</v>
      </c>
      <c r="S716" t="s">
        <v>74</v>
      </c>
      <c r="T716" t="s">
        <v>74</v>
      </c>
      <c r="U716" t="s">
        <v>74</v>
      </c>
      <c r="V716" t="s">
        <v>13089</v>
      </c>
      <c r="W716" t="s">
        <v>13090</v>
      </c>
      <c r="X716" t="s">
        <v>13091</v>
      </c>
      <c r="Y716" t="s">
        <v>13092</v>
      </c>
      <c r="Z716" t="s">
        <v>74</v>
      </c>
      <c r="AA716" t="s">
        <v>13093</v>
      </c>
      <c r="AB716" t="s">
        <v>13094</v>
      </c>
      <c r="AC716" t="s">
        <v>74</v>
      </c>
      <c r="AD716" t="s">
        <v>74</v>
      </c>
      <c r="AE716" t="s">
        <v>74</v>
      </c>
      <c r="AF716" t="s">
        <v>74</v>
      </c>
      <c r="AG716">
        <v>16</v>
      </c>
      <c r="AH716">
        <v>0</v>
      </c>
      <c r="AI716">
        <v>0</v>
      </c>
      <c r="AJ716">
        <v>0</v>
      </c>
      <c r="AK716">
        <v>7</v>
      </c>
      <c r="AL716" t="s">
        <v>11935</v>
      </c>
      <c r="AM716" t="s">
        <v>11936</v>
      </c>
      <c r="AN716" t="s">
        <v>11937</v>
      </c>
      <c r="AO716" t="s">
        <v>11938</v>
      </c>
      <c r="AP716" t="s">
        <v>74</v>
      </c>
      <c r="AQ716" t="s">
        <v>74</v>
      </c>
      <c r="AR716" t="s">
        <v>11940</v>
      </c>
      <c r="AS716" t="s">
        <v>74</v>
      </c>
      <c r="AT716" t="s">
        <v>74</v>
      </c>
      <c r="AU716">
        <v>2010</v>
      </c>
      <c r="AV716">
        <v>6</v>
      </c>
      <c r="AW716" t="s">
        <v>74</v>
      </c>
      <c r="AX716" t="s">
        <v>74</v>
      </c>
      <c r="AY716" t="s">
        <v>74</v>
      </c>
      <c r="AZ716" t="s">
        <v>74</v>
      </c>
      <c r="BA716" t="s">
        <v>74</v>
      </c>
      <c r="BB716" t="s">
        <v>74</v>
      </c>
      <c r="BC716" t="s">
        <v>74</v>
      </c>
      <c r="BD716">
        <v>31001</v>
      </c>
      <c r="BE716" t="s">
        <v>13095</v>
      </c>
      <c r="BF716" t="str">
        <f>HYPERLINK("http://dx.doi.org/10.1051/epjconf/20100631001","http://dx.doi.org/10.1051/epjconf/20100631001")</f>
        <v>http://dx.doi.org/10.1051/epjconf/20100631001</v>
      </c>
      <c r="BG716" t="s">
        <v>74</v>
      </c>
      <c r="BH716" t="s">
        <v>74</v>
      </c>
      <c r="BI716">
        <v>8</v>
      </c>
      <c r="BJ716" t="s">
        <v>13096</v>
      </c>
      <c r="BK716" t="s">
        <v>8281</v>
      </c>
      <c r="BL716" t="s">
        <v>13097</v>
      </c>
      <c r="BM716" t="s">
        <v>13098</v>
      </c>
      <c r="BN716" t="s">
        <v>74</v>
      </c>
      <c r="BO716" t="s">
        <v>5454</v>
      </c>
      <c r="BP716" t="s">
        <v>74</v>
      </c>
      <c r="BQ716" t="s">
        <v>74</v>
      </c>
      <c r="BR716" t="s">
        <v>105</v>
      </c>
      <c r="BS716" t="s">
        <v>13099</v>
      </c>
      <c r="BT716" t="str">
        <f>HYPERLINK("https%3A%2F%2Fwww.webofscience.com%2Fwos%2Fwoscc%2Ffull-record%2FWOS:000291704000198","View Full Record in Web of Science")</f>
        <v>View Full Record in Web of Science</v>
      </c>
    </row>
    <row r="717" spans="1:72" x14ac:dyDescent="0.15">
      <c r="A717" t="s">
        <v>72</v>
      </c>
      <c r="B717" t="s">
        <v>13100</v>
      </c>
      <c r="C717" t="s">
        <v>74</v>
      </c>
      <c r="D717" t="s">
        <v>74</v>
      </c>
      <c r="E717" t="s">
        <v>74</v>
      </c>
      <c r="F717" t="s">
        <v>13101</v>
      </c>
      <c r="G717" t="s">
        <v>74</v>
      </c>
      <c r="H717" t="s">
        <v>74</v>
      </c>
      <c r="I717" t="s">
        <v>13102</v>
      </c>
      <c r="J717" t="s">
        <v>13103</v>
      </c>
      <c r="K717" t="s">
        <v>74</v>
      </c>
      <c r="L717" t="s">
        <v>74</v>
      </c>
      <c r="M717" t="s">
        <v>78</v>
      </c>
      <c r="N717" t="s">
        <v>79</v>
      </c>
      <c r="O717" t="s">
        <v>74</v>
      </c>
      <c r="P717" t="s">
        <v>74</v>
      </c>
      <c r="Q717" t="s">
        <v>74</v>
      </c>
      <c r="R717" t="s">
        <v>74</v>
      </c>
      <c r="S717" t="s">
        <v>74</v>
      </c>
      <c r="T717" t="s">
        <v>13104</v>
      </c>
      <c r="U717" t="s">
        <v>13105</v>
      </c>
      <c r="V717" t="s">
        <v>13106</v>
      </c>
      <c r="W717" t="s">
        <v>13107</v>
      </c>
      <c r="X717" t="s">
        <v>13108</v>
      </c>
      <c r="Y717" t="s">
        <v>13109</v>
      </c>
      <c r="Z717" t="s">
        <v>13110</v>
      </c>
      <c r="AA717" t="s">
        <v>74</v>
      </c>
      <c r="AB717" t="s">
        <v>74</v>
      </c>
      <c r="AC717" t="s">
        <v>13111</v>
      </c>
      <c r="AD717" t="s">
        <v>13111</v>
      </c>
      <c r="AE717" t="s">
        <v>13112</v>
      </c>
      <c r="AF717" t="s">
        <v>74</v>
      </c>
      <c r="AG717">
        <v>159</v>
      </c>
      <c r="AH717">
        <v>39</v>
      </c>
      <c r="AI717">
        <v>42</v>
      </c>
      <c r="AJ717">
        <v>1</v>
      </c>
      <c r="AK717">
        <v>22</v>
      </c>
      <c r="AL717" t="s">
        <v>10775</v>
      </c>
      <c r="AM717" t="s">
        <v>10776</v>
      </c>
      <c r="AN717" t="s">
        <v>10777</v>
      </c>
      <c r="AO717" t="s">
        <v>13113</v>
      </c>
      <c r="AP717" t="s">
        <v>13114</v>
      </c>
      <c r="AQ717" t="s">
        <v>74</v>
      </c>
      <c r="AR717" t="s">
        <v>13115</v>
      </c>
      <c r="AS717" t="s">
        <v>13116</v>
      </c>
      <c r="AT717" t="s">
        <v>74</v>
      </c>
      <c r="AU717">
        <v>2010</v>
      </c>
      <c r="AV717">
        <v>17</v>
      </c>
      <c r="AW717">
        <v>2</v>
      </c>
      <c r="AX717" t="s">
        <v>74</v>
      </c>
      <c r="AY717" t="s">
        <v>74</v>
      </c>
      <c r="AZ717" t="s">
        <v>74</v>
      </c>
      <c r="BA717" t="s">
        <v>74</v>
      </c>
      <c r="BB717">
        <v>58</v>
      </c>
      <c r="BC717">
        <v>114</v>
      </c>
      <c r="BD717" t="s">
        <v>13117</v>
      </c>
      <c r="BE717" t="s">
        <v>13118</v>
      </c>
      <c r="BF717" t="str">
        <f>HYPERLINK("http://dx.doi.org/10.1080/10420941003659329","http://dx.doi.org/10.1080/10420941003659329")</f>
        <v>http://dx.doi.org/10.1080/10420941003659329</v>
      </c>
      <c r="BG717" t="s">
        <v>74</v>
      </c>
      <c r="BH717" t="s">
        <v>74</v>
      </c>
      <c r="BI717">
        <v>57</v>
      </c>
      <c r="BJ717" t="s">
        <v>1882</v>
      </c>
      <c r="BK717" t="s">
        <v>102</v>
      </c>
      <c r="BL717" t="s">
        <v>1882</v>
      </c>
      <c r="BM717" t="s">
        <v>13119</v>
      </c>
      <c r="BN717" t="s">
        <v>74</v>
      </c>
      <c r="BO717" t="s">
        <v>74</v>
      </c>
      <c r="BP717" t="s">
        <v>74</v>
      </c>
      <c r="BQ717" t="s">
        <v>74</v>
      </c>
      <c r="BR717" t="s">
        <v>105</v>
      </c>
      <c r="BS717" t="s">
        <v>13120</v>
      </c>
      <c r="BT717" t="str">
        <f>HYPERLINK("https%3A%2F%2Fwww.webofscience.com%2Fwos%2Fwoscc%2Ffull-record%2FWOS:000278721300002","View Full Record in Web of Science")</f>
        <v>View Full Record in Web of Science</v>
      </c>
    </row>
    <row r="718" spans="1:72" x14ac:dyDescent="0.15">
      <c r="A718" t="s">
        <v>72</v>
      </c>
      <c r="B718" t="s">
        <v>13121</v>
      </c>
      <c r="C718" t="s">
        <v>74</v>
      </c>
      <c r="D718" t="s">
        <v>74</v>
      </c>
      <c r="E718" t="s">
        <v>74</v>
      </c>
      <c r="F718" t="s">
        <v>13122</v>
      </c>
      <c r="G718" t="s">
        <v>74</v>
      </c>
      <c r="H718" t="s">
        <v>74</v>
      </c>
      <c r="I718" t="s">
        <v>13123</v>
      </c>
      <c r="J718" t="s">
        <v>1566</v>
      </c>
      <c r="K718" t="s">
        <v>74</v>
      </c>
      <c r="L718" t="s">
        <v>74</v>
      </c>
      <c r="M718" t="s">
        <v>78</v>
      </c>
      <c r="N718" t="s">
        <v>79</v>
      </c>
      <c r="O718" t="s">
        <v>74</v>
      </c>
      <c r="P718" t="s">
        <v>74</v>
      </c>
      <c r="Q718" t="s">
        <v>74</v>
      </c>
      <c r="R718" t="s">
        <v>74</v>
      </c>
      <c r="S718" t="s">
        <v>74</v>
      </c>
      <c r="T718" t="s">
        <v>13124</v>
      </c>
      <c r="U718" t="s">
        <v>13125</v>
      </c>
      <c r="V718" t="s">
        <v>13126</v>
      </c>
      <c r="W718" t="s">
        <v>13127</v>
      </c>
      <c r="X718" t="s">
        <v>13128</v>
      </c>
      <c r="Y718" t="s">
        <v>13129</v>
      </c>
      <c r="Z718" t="s">
        <v>13130</v>
      </c>
      <c r="AA718" t="s">
        <v>74</v>
      </c>
      <c r="AB718" t="s">
        <v>13131</v>
      </c>
      <c r="AC718" t="s">
        <v>13132</v>
      </c>
      <c r="AD718" t="s">
        <v>13133</v>
      </c>
      <c r="AE718" t="s">
        <v>13134</v>
      </c>
      <c r="AF718" t="s">
        <v>74</v>
      </c>
      <c r="AG718">
        <v>21</v>
      </c>
      <c r="AH718">
        <v>29</v>
      </c>
      <c r="AI718">
        <v>32</v>
      </c>
      <c r="AJ718">
        <v>2</v>
      </c>
      <c r="AK718">
        <v>13</v>
      </c>
      <c r="AL718" t="s">
        <v>1578</v>
      </c>
      <c r="AM718" t="s">
        <v>1579</v>
      </c>
      <c r="AN718" t="s">
        <v>1580</v>
      </c>
      <c r="AO718" t="s">
        <v>1581</v>
      </c>
      <c r="AP718" t="s">
        <v>74</v>
      </c>
      <c r="AQ718" t="s">
        <v>74</v>
      </c>
      <c r="AR718" t="s">
        <v>1582</v>
      </c>
      <c r="AS718" t="s">
        <v>1583</v>
      </c>
      <c r="AT718" t="s">
        <v>8958</v>
      </c>
      <c r="AU718">
        <v>2010</v>
      </c>
      <c r="AV718">
        <v>7</v>
      </c>
      <c r="AW718">
        <v>1</v>
      </c>
      <c r="AX718" t="s">
        <v>74</v>
      </c>
      <c r="AY718" t="s">
        <v>74</v>
      </c>
      <c r="AZ718" t="s">
        <v>74</v>
      </c>
      <c r="BA718" t="s">
        <v>74</v>
      </c>
      <c r="BB718">
        <v>220</v>
      </c>
      <c r="BC718">
        <v>224</v>
      </c>
      <c r="BD718" t="s">
        <v>74</v>
      </c>
      <c r="BE718" t="s">
        <v>13135</v>
      </c>
      <c r="BF718" t="str">
        <f>HYPERLINK("http://dx.doi.org/10.1109/LGRS.2009.2031825","http://dx.doi.org/10.1109/LGRS.2009.2031825")</f>
        <v>http://dx.doi.org/10.1109/LGRS.2009.2031825</v>
      </c>
      <c r="BG718" t="s">
        <v>74</v>
      </c>
      <c r="BH718" t="s">
        <v>74</v>
      </c>
      <c r="BI718">
        <v>5</v>
      </c>
      <c r="BJ718" t="s">
        <v>1585</v>
      </c>
      <c r="BK718" t="s">
        <v>102</v>
      </c>
      <c r="BL718" t="s">
        <v>1586</v>
      </c>
      <c r="BM718" t="s">
        <v>13136</v>
      </c>
      <c r="BN718" t="s">
        <v>74</v>
      </c>
      <c r="BO718" t="s">
        <v>74</v>
      </c>
      <c r="BP718" t="s">
        <v>74</v>
      </c>
      <c r="BQ718" t="s">
        <v>74</v>
      </c>
      <c r="BR718" t="s">
        <v>105</v>
      </c>
      <c r="BS718" t="s">
        <v>13137</v>
      </c>
      <c r="BT718" t="str">
        <f>HYPERLINK("https%3A%2F%2Fwww.webofscience.com%2Fwos%2Fwoscc%2Ffull-record%2FWOS:000276079000045","View Full Record in Web of Science")</f>
        <v>View Full Record in Web of Science</v>
      </c>
    </row>
    <row r="719" spans="1:72" x14ac:dyDescent="0.15">
      <c r="A719" t="s">
        <v>72</v>
      </c>
      <c r="B719" t="s">
        <v>13138</v>
      </c>
      <c r="C719" t="s">
        <v>74</v>
      </c>
      <c r="D719" t="s">
        <v>74</v>
      </c>
      <c r="E719" t="s">
        <v>74</v>
      </c>
      <c r="F719" t="s">
        <v>13139</v>
      </c>
      <c r="G719" t="s">
        <v>74</v>
      </c>
      <c r="H719" t="s">
        <v>74</v>
      </c>
      <c r="I719" t="s">
        <v>13140</v>
      </c>
      <c r="J719" t="s">
        <v>4170</v>
      </c>
      <c r="K719" t="s">
        <v>74</v>
      </c>
      <c r="L719" t="s">
        <v>74</v>
      </c>
      <c r="M719" t="s">
        <v>78</v>
      </c>
      <c r="N719" t="s">
        <v>79</v>
      </c>
      <c r="O719" t="s">
        <v>74</v>
      </c>
      <c r="P719" t="s">
        <v>74</v>
      </c>
      <c r="Q719" t="s">
        <v>74</v>
      </c>
      <c r="R719" t="s">
        <v>74</v>
      </c>
      <c r="S719" t="s">
        <v>74</v>
      </c>
      <c r="T719" t="s">
        <v>13141</v>
      </c>
      <c r="U719" t="s">
        <v>13142</v>
      </c>
      <c r="V719" t="s">
        <v>13143</v>
      </c>
      <c r="W719" t="s">
        <v>13144</v>
      </c>
      <c r="X719" t="s">
        <v>13145</v>
      </c>
      <c r="Y719" t="s">
        <v>13146</v>
      </c>
      <c r="Z719" t="s">
        <v>13147</v>
      </c>
      <c r="AA719" t="s">
        <v>13148</v>
      </c>
      <c r="AB719" t="s">
        <v>13149</v>
      </c>
      <c r="AC719" t="s">
        <v>13150</v>
      </c>
      <c r="AD719" t="s">
        <v>13151</v>
      </c>
      <c r="AE719" t="s">
        <v>13152</v>
      </c>
      <c r="AF719" t="s">
        <v>74</v>
      </c>
      <c r="AG719">
        <v>33</v>
      </c>
      <c r="AH719">
        <v>74</v>
      </c>
      <c r="AI719">
        <v>79</v>
      </c>
      <c r="AJ719">
        <v>1</v>
      </c>
      <c r="AK719">
        <v>25</v>
      </c>
      <c r="AL719" t="s">
        <v>1578</v>
      </c>
      <c r="AM719" t="s">
        <v>1579</v>
      </c>
      <c r="AN719" t="s">
        <v>1580</v>
      </c>
      <c r="AO719" t="s">
        <v>4180</v>
      </c>
      <c r="AP719" t="s">
        <v>4181</v>
      </c>
      <c r="AQ719" t="s">
        <v>74</v>
      </c>
      <c r="AR719" t="s">
        <v>4182</v>
      </c>
      <c r="AS719" t="s">
        <v>4183</v>
      </c>
      <c r="AT719" t="s">
        <v>8958</v>
      </c>
      <c r="AU719">
        <v>2010</v>
      </c>
      <c r="AV719">
        <v>48</v>
      </c>
      <c r="AW719">
        <v>1</v>
      </c>
      <c r="AX719">
        <v>2</v>
      </c>
      <c r="AY719" t="s">
        <v>74</v>
      </c>
      <c r="AZ719" t="s">
        <v>74</v>
      </c>
      <c r="BA719" t="s">
        <v>74</v>
      </c>
      <c r="BB719">
        <v>365</v>
      </c>
      <c r="BC719">
        <v>372</v>
      </c>
      <c r="BD719" t="s">
        <v>74</v>
      </c>
      <c r="BE719" t="s">
        <v>13153</v>
      </c>
      <c r="BF719" t="str">
        <f>HYPERLINK("http://dx.doi.org/10.1109/TGRS.2009.2028237","http://dx.doi.org/10.1109/TGRS.2009.2028237")</f>
        <v>http://dx.doi.org/10.1109/TGRS.2009.2028237</v>
      </c>
      <c r="BG719" t="s">
        <v>74</v>
      </c>
      <c r="BH719" t="s">
        <v>74</v>
      </c>
      <c r="BI719">
        <v>8</v>
      </c>
      <c r="BJ719" t="s">
        <v>1585</v>
      </c>
      <c r="BK719" t="s">
        <v>102</v>
      </c>
      <c r="BL719" t="s">
        <v>1586</v>
      </c>
      <c r="BM719" t="s">
        <v>13154</v>
      </c>
      <c r="BN719" t="s">
        <v>74</v>
      </c>
      <c r="BO719" t="s">
        <v>74</v>
      </c>
      <c r="BP719" t="s">
        <v>74</v>
      </c>
      <c r="BQ719" t="s">
        <v>74</v>
      </c>
      <c r="BR719" t="s">
        <v>105</v>
      </c>
      <c r="BS719" t="s">
        <v>13155</v>
      </c>
      <c r="BT719" t="str">
        <f>HYPERLINK("https%3A%2F%2Fwww.webofscience.com%2Fwos%2Fwoscc%2Ffull-record%2FWOS:000272998300007","View Full Record in Web of Science")</f>
        <v>View Full Record in Web of Science</v>
      </c>
    </row>
    <row r="720" spans="1:72" x14ac:dyDescent="0.15">
      <c r="A720" t="s">
        <v>72</v>
      </c>
      <c r="B720" t="s">
        <v>13156</v>
      </c>
      <c r="C720" t="s">
        <v>74</v>
      </c>
      <c r="D720" t="s">
        <v>74</v>
      </c>
      <c r="E720" t="s">
        <v>74</v>
      </c>
      <c r="F720" t="s">
        <v>13157</v>
      </c>
      <c r="G720" t="s">
        <v>74</v>
      </c>
      <c r="H720" t="s">
        <v>74</v>
      </c>
      <c r="I720" t="s">
        <v>13158</v>
      </c>
      <c r="J720" t="s">
        <v>13159</v>
      </c>
      <c r="K720" t="s">
        <v>74</v>
      </c>
      <c r="L720" t="s">
        <v>74</v>
      </c>
      <c r="M720" t="s">
        <v>78</v>
      </c>
      <c r="N720" t="s">
        <v>79</v>
      </c>
      <c r="O720" t="s">
        <v>74</v>
      </c>
      <c r="P720" t="s">
        <v>74</v>
      </c>
      <c r="Q720" t="s">
        <v>74</v>
      </c>
      <c r="R720" t="s">
        <v>74</v>
      </c>
      <c r="S720" t="s">
        <v>74</v>
      </c>
      <c r="T720" t="s">
        <v>13160</v>
      </c>
      <c r="U720" t="s">
        <v>13161</v>
      </c>
      <c r="V720" t="s">
        <v>13162</v>
      </c>
      <c r="W720" t="s">
        <v>13163</v>
      </c>
      <c r="X720" t="s">
        <v>13164</v>
      </c>
      <c r="Y720" t="s">
        <v>13165</v>
      </c>
      <c r="Z720" t="s">
        <v>13166</v>
      </c>
      <c r="AA720" t="s">
        <v>74</v>
      </c>
      <c r="AB720" t="s">
        <v>13167</v>
      </c>
      <c r="AC720" t="s">
        <v>13168</v>
      </c>
      <c r="AD720" t="s">
        <v>13168</v>
      </c>
      <c r="AE720" t="s">
        <v>13169</v>
      </c>
      <c r="AF720" t="s">
        <v>74</v>
      </c>
      <c r="AG720">
        <v>25</v>
      </c>
      <c r="AH720">
        <v>6</v>
      </c>
      <c r="AI720">
        <v>7</v>
      </c>
      <c r="AJ720">
        <v>0</v>
      </c>
      <c r="AK720">
        <v>6</v>
      </c>
      <c r="AL720" t="s">
        <v>10775</v>
      </c>
      <c r="AM720" t="s">
        <v>10776</v>
      </c>
      <c r="AN720" t="s">
        <v>10777</v>
      </c>
      <c r="AO720" t="s">
        <v>13170</v>
      </c>
      <c r="AP720" t="s">
        <v>13171</v>
      </c>
      <c r="AQ720" t="s">
        <v>74</v>
      </c>
      <c r="AR720" t="s">
        <v>13172</v>
      </c>
      <c r="AS720" t="s">
        <v>13173</v>
      </c>
      <c r="AT720" t="s">
        <v>74</v>
      </c>
      <c r="AU720">
        <v>2010</v>
      </c>
      <c r="AV720">
        <v>39</v>
      </c>
      <c r="AW720">
        <v>7</v>
      </c>
      <c r="AX720" t="s">
        <v>74</v>
      </c>
      <c r="AY720" t="s">
        <v>74</v>
      </c>
      <c r="AZ720" t="s">
        <v>74</v>
      </c>
      <c r="BA720" t="s">
        <v>74</v>
      </c>
      <c r="BB720">
        <v>770</v>
      </c>
      <c r="BC720">
        <v>779</v>
      </c>
      <c r="BD720" t="s">
        <v>74</v>
      </c>
      <c r="BE720" t="s">
        <v>13174</v>
      </c>
      <c r="BF720" t="str">
        <f>HYPERLINK("http://dx.doi.org/10.3109/08820139.2010.494194","http://dx.doi.org/10.3109/08820139.2010.494194")</f>
        <v>http://dx.doi.org/10.3109/08820139.2010.494194</v>
      </c>
      <c r="BG720" t="s">
        <v>74</v>
      </c>
      <c r="BH720" t="s">
        <v>74</v>
      </c>
      <c r="BI720">
        <v>10</v>
      </c>
      <c r="BJ720" t="s">
        <v>13175</v>
      </c>
      <c r="BK720" t="s">
        <v>102</v>
      </c>
      <c r="BL720" t="s">
        <v>13175</v>
      </c>
      <c r="BM720" t="s">
        <v>13176</v>
      </c>
      <c r="BN720">
        <v>20840060</v>
      </c>
      <c r="BO720" t="s">
        <v>74</v>
      </c>
      <c r="BP720" t="s">
        <v>74</v>
      </c>
      <c r="BQ720" t="s">
        <v>74</v>
      </c>
      <c r="BR720" t="s">
        <v>105</v>
      </c>
      <c r="BS720" t="s">
        <v>13177</v>
      </c>
      <c r="BT720" t="str">
        <f>HYPERLINK("https%3A%2F%2Fwww.webofscience.com%2Fwos%2Fwoscc%2Ffull-record%2FWOS:000283074600008","View Full Record in Web of Science")</f>
        <v>View Full Record in Web of Science</v>
      </c>
    </row>
    <row r="721" spans="1:72" x14ac:dyDescent="0.15">
      <c r="A721" t="s">
        <v>8563</v>
      </c>
      <c r="B721" t="s">
        <v>13178</v>
      </c>
      <c r="C721" t="s">
        <v>74</v>
      </c>
      <c r="D721" t="s">
        <v>13179</v>
      </c>
      <c r="E721" t="s">
        <v>74</v>
      </c>
      <c r="F721" t="s">
        <v>13180</v>
      </c>
      <c r="G721" t="s">
        <v>74</v>
      </c>
      <c r="H721" t="s">
        <v>74</v>
      </c>
      <c r="I721" t="s">
        <v>13181</v>
      </c>
      <c r="J721" t="s">
        <v>13182</v>
      </c>
      <c r="K721" t="s">
        <v>74</v>
      </c>
      <c r="L721" t="s">
        <v>74</v>
      </c>
      <c r="M721" t="s">
        <v>78</v>
      </c>
      <c r="N721" t="s">
        <v>8859</v>
      </c>
      <c r="O721" t="s">
        <v>74</v>
      </c>
      <c r="P721" t="s">
        <v>74</v>
      </c>
      <c r="Q721" t="s">
        <v>74</v>
      </c>
      <c r="R721" t="s">
        <v>74</v>
      </c>
      <c r="S721" t="s">
        <v>74</v>
      </c>
      <c r="T721" t="s">
        <v>13183</v>
      </c>
      <c r="U721" t="s">
        <v>13184</v>
      </c>
      <c r="V721" t="s">
        <v>13185</v>
      </c>
      <c r="W721" t="s">
        <v>13186</v>
      </c>
      <c r="X721" t="s">
        <v>13187</v>
      </c>
      <c r="Y721" t="s">
        <v>13188</v>
      </c>
      <c r="Z721" t="s">
        <v>13189</v>
      </c>
      <c r="AA721" t="s">
        <v>13190</v>
      </c>
      <c r="AB721" t="s">
        <v>13191</v>
      </c>
      <c r="AC721" t="s">
        <v>74</v>
      </c>
      <c r="AD721" t="s">
        <v>74</v>
      </c>
      <c r="AE721" t="s">
        <v>74</v>
      </c>
      <c r="AF721" t="s">
        <v>74</v>
      </c>
      <c r="AG721">
        <v>55</v>
      </c>
      <c r="AH721">
        <v>0</v>
      </c>
      <c r="AI721">
        <v>0</v>
      </c>
      <c r="AJ721">
        <v>4</v>
      </c>
      <c r="AK721">
        <v>55</v>
      </c>
      <c r="AL721" t="s">
        <v>8866</v>
      </c>
      <c r="AM721" t="s">
        <v>6462</v>
      </c>
      <c r="AN721" t="s">
        <v>8867</v>
      </c>
      <c r="AO721" t="s">
        <v>74</v>
      </c>
      <c r="AP721" t="s">
        <v>74</v>
      </c>
      <c r="AQ721" t="s">
        <v>13192</v>
      </c>
      <c r="AR721" t="s">
        <v>74</v>
      </c>
      <c r="AS721" t="s">
        <v>74</v>
      </c>
      <c r="AT721" t="s">
        <v>74</v>
      </c>
      <c r="AU721">
        <v>2010</v>
      </c>
      <c r="AV721" t="s">
        <v>74</v>
      </c>
      <c r="AW721" t="s">
        <v>74</v>
      </c>
      <c r="AX721" t="s">
        <v>74</v>
      </c>
      <c r="AY721" t="s">
        <v>74</v>
      </c>
      <c r="AZ721" t="s">
        <v>74</v>
      </c>
      <c r="BA721" t="s">
        <v>74</v>
      </c>
      <c r="BB721">
        <v>417</v>
      </c>
      <c r="BC721">
        <v>439</v>
      </c>
      <c r="BD721" t="s">
        <v>74</v>
      </c>
      <c r="BE721" t="s">
        <v>13193</v>
      </c>
      <c r="BF721" t="str">
        <f>HYPERLINK("http://dx.doi.org/10.1007/978-90-481-3581-3_23","http://dx.doi.org/10.1007/978-90-481-3581-3_23")</f>
        <v>http://dx.doi.org/10.1007/978-90-481-3581-3_23</v>
      </c>
      <c r="BG721" t="s">
        <v>13194</v>
      </c>
      <c r="BH721" t="s">
        <v>74</v>
      </c>
      <c r="BI721">
        <v>23</v>
      </c>
      <c r="BJ721" t="s">
        <v>5701</v>
      </c>
      <c r="BK721" t="s">
        <v>8579</v>
      </c>
      <c r="BL721" t="s">
        <v>5701</v>
      </c>
      <c r="BM721" t="s">
        <v>13195</v>
      </c>
      <c r="BN721" t="s">
        <v>74</v>
      </c>
      <c r="BO721" t="s">
        <v>74</v>
      </c>
      <c r="BP721" t="s">
        <v>74</v>
      </c>
      <c r="BQ721" t="s">
        <v>74</v>
      </c>
      <c r="BR721" t="s">
        <v>105</v>
      </c>
      <c r="BS721" t="s">
        <v>13196</v>
      </c>
      <c r="BT721" t="str">
        <f>HYPERLINK("https%3A%2F%2Fwww.webofscience.com%2Fwos%2Fwoscc%2Ffull-record%2FWOS:000282064300023","View Full Record in Web of Science")</f>
        <v>View Full Record in Web of Science</v>
      </c>
    </row>
    <row r="722" spans="1:72" x14ac:dyDescent="0.15">
      <c r="A722" t="s">
        <v>72</v>
      </c>
      <c r="B722" t="s">
        <v>13197</v>
      </c>
      <c r="C722" t="s">
        <v>74</v>
      </c>
      <c r="D722" t="s">
        <v>74</v>
      </c>
      <c r="E722" t="s">
        <v>74</v>
      </c>
      <c r="F722" t="s">
        <v>13198</v>
      </c>
      <c r="G722" t="s">
        <v>74</v>
      </c>
      <c r="H722" t="s">
        <v>74</v>
      </c>
      <c r="I722" t="s">
        <v>13199</v>
      </c>
      <c r="J722" t="s">
        <v>13200</v>
      </c>
      <c r="K722" t="s">
        <v>74</v>
      </c>
      <c r="L722" t="s">
        <v>74</v>
      </c>
      <c r="M722" t="s">
        <v>78</v>
      </c>
      <c r="N722" t="s">
        <v>79</v>
      </c>
      <c r="O722" t="s">
        <v>74</v>
      </c>
      <c r="P722" t="s">
        <v>74</v>
      </c>
      <c r="Q722" t="s">
        <v>74</v>
      </c>
      <c r="R722" t="s">
        <v>74</v>
      </c>
      <c r="S722" t="s">
        <v>74</v>
      </c>
      <c r="T722" t="s">
        <v>13201</v>
      </c>
      <c r="U722" t="s">
        <v>13202</v>
      </c>
      <c r="V722" t="s">
        <v>13203</v>
      </c>
      <c r="W722" t="s">
        <v>13204</v>
      </c>
      <c r="X722" t="s">
        <v>1399</v>
      </c>
      <c r="Y722" t="s">
        <v>13205</v>
      </c>
      <c r="Z722" t="s">
        <v>13206</v>
      </c>
      <c r="AA722" t="s">
        <v>74</v>
      </c>
      <c r="AB722" t="s">
        <v>74</v>
      </c>
      <c r="AC722" t="s">
        <v>74</v>
      </c>
      <c r="AD722" t="s">
        <v>74</v>
      </c>
      <c r="AE722" t="s">
        <v>74</v>
      </c>
      <c r="AF722" t="s">
        <v>74</v>
      </c>
      <c r="AG722">
        <v>24</v>
      </c>
      <c r="AH722">
        <v>9</v>
      </c>
      <c r="AI722">
        <v>10</v>
      </c>
      <c r="AJ722">
        <v>0</v>
      </c>
      <c r="AK722">
        <v>2</v>
      </c>
      <c r="AL722" t="s">
        <v>13207</v>
      </c>
      <c r="AM722" t="s">
        <v>1403</v>
      </c>
      <c r="AN722" t="s">
        <v>13208</v>
      </c>
      <c r="AO722" t="s">
        <v>13209</v>
      </c>
      <c r="AP722" t="s">
        <v>13210</v>
      </c>
      <c r="AQ722" t="s">
        <v>74</v>
      </c>
      <c r="AR722" t="s">
        <v>13211</v>
      </c>
      <c r="AS722" t="s">
        <v>13212</v>
      </c>
      <c r="AT722" t="s">
        <v>8958</v>
      </c>
      <c r="AU722">
        <v>2010</v>
      </c>
      <c r="AV722">
        <v>84</v>
      </c>
      <c r="AW722">
        <v>1</v>
      </c>
      <c r="AX722" t="s">
        <v>74</v>
      </c>
      <c r="AY722" t="s">
        <v>74</v>
      </c>
      <c r="AZ722" t="s">
        <v>74</v>
      </c>
      <c r="BA722" t="s">
        <v>74</v>
      </c>
      <c r="BB722">
        <v>41</v>
      </c>
      <c r="BC722">
        <v>53</v>
      </c>
      <c r="BD722" t="s">
        <v>74</v>
      </c>
      <c r="BE722" t="s">
        <v>13213</v>
      </c>
      <c r="BF722" t="str">
        <f>HYPERLINK("http://dx.doi.org/10.1007/s12648-010-0003-5","http://dx.doi.org/10.1007/s12648-010-0003-5")</f>
        <v>http://dx.doi.org/10.1007/s12648-010-0003-5</v>
      </c>
      <c r="BG722" t="s">
        <v>74</v>
      </c>
      <c r="BH722" t="s">
        <v>74</v>
      </c>
      <c r="BI722">
        <v>13</v>
      </c>
      <c r="BJ722" t="s">
        <v>4833</v>
      </c>
      <c r="BK722" t="s">
        <v>102</v>
      </c>
      <c r="BL722" t="s">
        <v>4834</v>
      </c>
      <c r="BM722" t="s">
        <v>13214</v>
      </c>
      <c r="BN722" t="s">
        <v>74</v>
      </c>
      <c r="BO722" t="s">
        <v>74</v>
      </c>
      <c r="BP722" t="s">
        <v>74</v>
      </c>
      <c r="BQ722" t="s">
        <v>74</v>
      </c>
      <c r="BR722" t="s">
        <v>105</v>
      </c>
      <c r="BS722" t="s">
        <v>13215</v>
      </c>
      <c r="BT722" t="str">
        <f>HYPERLINK("https%3A%2F%2Fwww.webofscience.com%2Fwos%2Fwoscc%2Ffull-record%2FWOS:000276489600002","View Full Record in Web of Science")</f>
        <v>View Full Record in Web of Science</v>
      </c>
    </row>
    <row r="723" spans="1:72" x14ac:dyDescent="0.15">
      <c r="A723" t="s">
        <v>8257</v>
      </c>
      <c r="B723" t="s">
        <v>13216</v>
      </c>
      <c r="C723" t="s">
        <v>74</v>
      </c>
      <c r="D723" t="s">
        <v>13217</v>
      </c>
      <c r="E723" t="s">
        <v>74</v>
      </c>
      <c r="F723" t="s">
        <v>13218</v>
      </c>
      <c r="G723" t="s">
        <v>74</v>
      </c>
      <c r="H723" t="s">
        <v>74</v>
      </c>
      <c r="I723" t="s">
        <v>13219</v>
      </c>
      <c r="J723" t="s">
        <v>13220</v>
      </c>
      <c r="K723" t="s">
        <v>9704</v>
      </c>
      <c r="L723" t="s">
        <v>74</v>
      </c>
      <c r="M723" t="s">
        <v>78</v>
      </c>
      <c r="N723" t="s">
        <v>8264</v>
      </c>
      <c r="O723" t="s">
        <v>13221</v>
      </c>
      <c r="P723" t="s">
        <v>13222</v>
      </c>
      <c r="Q723" t="s">
        <v>9707</v>
      </c>
      <c r="R723" t="s">
        <v>74</v>
      </c>
      <c r="S723" t="s">
        <v>74</v>
      </c>
      <c r="T723" t="s">
        <v>13223</v>
      </c>
      <c r="U723" t="s">
        <v>74</v>
      </c>
      <c r="V723" t="s">
        <v>13224</v>
      </c>
      <c r="W723" t="s">
        <v>13225</v>
      </c>
      <c r="X723" t="s">
        <v>13226</v>
      </c>
      <c r="Y723" t="s">
        <v>13227</v>
      </c>
      <c r="Z723" t="s">
        <v>3817</v>
      </c>
      <c r="AA723" t="s">
        <v>13228</v>
      </c>
      <c r="AB723" t="s">
        <v>13229</v>
      </c>
      <c r="AC723" t="s">
        <v>13230</v>
      </c>
      <c r="AD723" t="s">
        <v>13231</v>
      </c>
      <c r="AE723" t="s">
        <v>13232</v>
      </c>
      <c r="AF723" t="s">
        <v>74</v>
      </c>
      <c r="AG723">
        <v>17</v>
      </c>
      <c r="AH723">
        <v>0</v>
      </c>
      <c r="AI723">
        <v>1</v>
      </c>
      <c r="AJ723">
        <v>2</v>
      </c>
      <c r="AK723">
        <v>17</v>
      </c>
      <c r="AL723" t="s">
        <v>8533</v>
      </c>
      <c r="AM723" t="s">
        <v>8534</v>
      </c>
      <c r="AN723" t="s">
        <v>8535</v>
      </c>
      <c r="AO723" t="s">
        <v>8536</v>
      </c>
      <c r="AP723" t="s">
        <v>9717</v>
      </c>
      <c r="AQ723" t="s">
        <v>13233</v>
      </c>
      <c r="AR723" t="s">
        <v>9719</v>
      </c>
      <c r="AS723" t="s">
        <v>74</v>
      </c>
      <c r="AT723" t="s">
        <v>74</v>
      </c>
      <c r="AU723">
        <v>2010</v>
      </c>
      <c r="AV723">
        <v>7819</v>
      </c>
      <c r="AW723" t="s">
        <v>74</v>
      </c>
      <c r="AX723" t="s">
        <v>74</v>
      </c>
      <c r="AY723" t="s">
        <v>74</v>
      </c>
      <c r="AZ723" t="s">
        <v>74</v>
      </c>
      <c r="BA723" t="s">
        <v>74</v>
      </c>
      <c r="BB723" t="s">
        <v>74</v>
      </c>
      <c r="BC723" t="s">
        <v>74</v>
      </c>
      <c r="BD723" t="s">
        <v>13234</v>
      </c>
      <c r="BE723" t="s">
        <v>13235</v>
      </c>
      <c r="BF723" t="str">
        <f>HYPERLINK("http://dx.doi.org/10.1117/12.863131","http://dx.doi.org/10.1117/12.863131")</f>
        <v>http://dx.doi.org/10.1117/12.863131</v>
      </c>
      <c r="BG723" t="s">
        <v>74</v>
      </c>
      <c r="BH723" t="s">
        <v>74</v>
      </c>
      <c r="BI723">
        <v>9</v>
      </c>
      <c r="BJ723" t="s">
        <v>13236</v>
      </c>
      <c r="BK723" t="s">
        <v>8281</v>
      </c>
      <c r="BL723" t="s">
        <v>13237</v>
      </c>
      <c r="BM723" t="s">
        <v>13238</v>
      </c>
      <c r="BN723" t="s">
        <v>74</v>
      </c>
      <c r="BO723" t="s">
        <v>555</v>
      </c>
      <c r="BP723" t="s">
        <v>74</v>
      </c>
      <c r="BQ723" t="s">
        <v>74</v>
      </c>
      <c r="BR723" t="s">
        <v>105</v>
      </c>
      <c r="BS723" t="s">
        <v>13239</v>
      </c>
      <c r="BT723" t="str">
        <f>HYPERLINK("https%3A%2F%2Fwww.webofscience.com%2Fwos%2Fwoscc%2Ffull-record%2FWOS:000285826700026","View Full Record in Web of Science")</f>
        <v>View Full Record in Web of Science</v>
      </c>
    </row>
    <row r="724" spans="1:72" x14ac:dyDescent="0.15">
      <c r="A724" t="s">
        <v>8257</v>
      </c>
      <c r="B724" t="s">
        <v>13240</v>
      </c>
      <c r="C724" t="s">
        <v>74</v>
      </c>
      <c r="D724" t="s">
        <v>13241</v>
      </c>
      <c r="E724" t="s">
        <v>74</v>
      </c>
      <c r="F724" t="s">
        <v>13242</v>
      </c>
      <c r="G724" t="s">
        <v>74</v>
      </c>
      <c r="H724" t="s">
        <v>74</v>
      </c>
      <c r="I724" t="s">
        <v>13243</v>
      </c>
      <c r="J724" t="s">
        <v>13244</v>
      </c>
      <c r="K724" t="s">
        <v>8263</v>
      </c>
      <c r="L724" t="s">
        <v>74</v>
      </c>
      <c r="M724" t="s">
        <v>78</v>
      </c>
      <c r="N724" t="s">
        <v>8264</v>
      </c>
      <c r="O724" t="s">
        <v>13245</v>
      </c>
      <c r="P724" t="s">
        <v>13246</v>
      </c>
      <c r="Q724" t="s">
        <v>13247</v>
      </c>
      <c r="R724" t="s">
        <v>74</v>
      </c>
      <c r="S724" t="s">
        <v>74</v>
      </c>
      <c r="T724" t="s">
        <v>74</v>
      </c>
      <c r="U724" t="s">
        <v>13248</v>
      </c>
      <c r="V724" t="s">
        <v>13249</v>
      </c>
      <c r="W724" t="s">
        <v>13250</v>
      </c>
      <c r="X724" t="s">
        <v>13251</v>
      </c>
      <c r="Y724" t="s">
        <v>13252</v>
      </c>
      <c r="Z724" t="s">
        <v>13253</v>
      </c>
      <c r="AA724" t="s">
        <v>13254</v>
      </c>
      <c r="AB724" t="s">
        <v>13255</v>
      </c>
      <c r="AC724" t="s">
        <v>74</v>
      </c>
      <c r="AD724" t="s">
        <v>74</v>
      </c>
      <c r="AE724" t="s">
        <v>74</v>
      </c>
      <c r="AF724" t="s">
        <v>74</v>
      </c>
      <c r="AG724">
        <v>21</v>
      </c>
      <c r="AH724">
        <v>1</v>
      </c>
      <c r="AI724">
        <v>1</v>
      </c>
      <c r="AJ724">
        <v>0</v>
      </c>
      <c r="AK724">
        <v>3</v>
      </c>
      <c r="AL724" t="s">
        <v>4825</v>
      </c>
      <c r="AM724" t="s">
        <v>4826</v>
      </c>
      <c r="AN724" t="s">
        <v>8275</v>
      </c>
      <c r="AO724" t="s">
        <v>8276</v>
      </c>
      <c r="AP724" t="s">
        <v>74</v>
      </c>
      <c r="AQ724" t="s">
        <v>74</v>
      </c>
      <c r="AR724" t="s">
        <v>8277</v>
      </c>
      <c r="AS724" t="s">
        <v>8278</v>
      </c>
      <c r="AT724" t="s">
        <v>74</v>
      </c>
      <c r="AU724">
        <v>2010</v>
      </c>
      <c r="AV724">
        <v>13</v>
      </c>
      <c r="AW724" t="s">
        <v>74</v>
      </c>
      <c r="AX724" t="s">
        <v>74</v>
      </c>
      <c r="AY724" t="s">
        <v>74</v>
      </c>
      <c r="AZ724" t="s">
        <v>74</v>
      </c>
      <c r="BA724" t="s">
        <v>74</v>
      </c>
      <c r="BB724" t="s">
        <v>74</v>
      </c>
      <c r="BC724" t="s">
        <v>74</v>
      </c>
      <c r="BD724">
        <v>12006</v>
      </c>
      <c r="BE724" t="s">
        <v>13256</v>
      </c>
      <c r="BF724" t="str">
        <f>HYPERLINK("http://dx.doi.org/10.1088/1755-1315/13/1/012006","http://dx.doi.org/10.1088/1755-1315/13/1/012006")</f>
        <v>http://dx.doi.org/10.1088/1755-1315/13/1/012006</v>
      </c>
      <c r="BG724" t="s">
        <v>74</v>
      </c>
      <c r="BH724" t="s">
        <v>74</v>
      </c>
      <c r="BI724">
        <v>7</v>
      </c>
      <c r="BJ724" t="s">
        <v>13257</v>
      </c>
      <c r="BK724" t="s">
        <v>8281</v>
      </c>
      <c r="BL724" t="s">
        <v>13258</v>
      </c>
      <c r="BM724" t="s">
        <v>13259</v>
      </c>
      <c r="BN724" t="s">
        <v>74</v>
      </c>
      <c r="BO724" t="s">
        <v>74</v>
      </c>
      <c r="BP724" t="s">
        <v>74</v>
      </c>
      <c r="BQ724" t="s">
        <v>74</v>
      </c>
      <c r="BR724" t="s">
        <v>105</v>
      </c>
      <c r="BS724" t="s">
        <v>13260</v>
      </c>
      <c r="BT724" t="str">
        <f>HYPERLINK("https%3A%2F%2Fwww.webofscience.com%2Fwos%2Fwoscc%2Ffull-record%2FWOS:000291710000006","View Full Record in Web of Science")</f>
        <v>View Full Record in Web of Science</v>
      </c>
    </row>
    <row r="725" spans="1:72" x14ac:dyDescent="0.15">
      <c r="A725" t="s">
        <v>72</v>
      </c>
      <c r="B725" t="s">
        <v>13261</v>
      </c>
      <c r="C725" t="s">
        <v>74</v>
      </c>
      <c r="D725" t="s">
        <v>74</v>
      </c>
      <c r="E725" t="s">
        <v>74</v>
      </c>
      <c r="F725" t="s">
        <v>13262</v>
      </c>
      <c r="G725" t="s">
        <v>74</v>
      </c>
      <c r="H725" t="s">
        <v>74</v>
      </c>
      <c r="I725" t="s">
        <v>13263</v>
      </c>
      <c r="J725" t="s">
        <v>13264</v>
      </c>
      <c r="K725" t="s">
        <v>74</v>
      </c>
      <c r="L725" t="s">
        <v>74</v>
      </c>
      <c r="M725" t="s">
        <v>78</v>
      </c>
      <c r="N725" t="s">
        <v>52</v>
      </c>
      <c r="O725" t="s">
        <v>74</v>
      </c>
      <c r="P725" t="s">
        <v>74</v>
      </c>
      <c r="Q725" t="s">
        <v>74</v>
      </c>
      <c r="R725" t="s">
        <v>74</v>
      </c>
      <c r="S725" t="s">
        <v>74</v>
      </c>
      <c r="T725" t="s">
        <v>74</v>
      </c>
      <c r="U725" t="s">
        <v>74</v>
      </c>
      <c r="V725" t="s">
        <v>74</v>
      </c>
      <c r="W725" t="s">
        <v>13265</v>
      </c>
      <c r="X725" t="s">
        <v>13266</v>
      </c>
      <c r="Y725" t="s">
        <v>74</v>
      </c>
      <c r="Z725" t="s">
        <v>13267</v>
      </c>
      <c r="AA725" t="s">
        <v>74</v>
      </c>
      <c r="AB725" t="s">
        <v>74</v>
      </c>
      <c r="AC725" t="s">
        <v>74</v>
      </c>
      <c r="AD725" t="s">
        <v>74</v>
      </c>
      <c r="AE725" t="s">
        <v>74</v>
      </c>
      <c r="AF725" t="s">
        <v>74</v>
      </c>
      <c r="AG725">
        <v>0</v>
      </c>
      <c r="AH725">
        <v>0</v>
      </c>
      <c r="AI725">
        <v>0</v>
      </c>
      <c r="AJ725">
        <v>0</v>
      </c>
      <c r="AK725">
        <v>0</v>
      </c>
      <c r="AL725" t="s">
        <v>546</v>
      </c>
      <c r="AM725" t="s">
        <v>547</v>
      </c>
      <c r="AN725" t="s">
        <v>548</v>
      </c>
      <c r="AO725" t="s">
        <v>13268</v>
      </c>
      <c r="AP725" t="s">
        <v>13269</v>
      </c>
      <c r="AQ725" t="s">
        <v>74</v>
      </c>
      <c r="AR725" t="s">
        <v>13270</v>
      </c>
      <c r="AS725" t="s">
        <v>13271</v>
      </c>
      <c r="AT725" t="s">
        <v>74</v>
      </c>
      <c r="AU725">
        <v>2010</v>
      </c>
      <c r="AV725">
        <v>69</v>
      </c>
      <c r="AW725" t="s">
        <v>74</v>
      </c>
      <c r="AX725" t="s">
        <v>74</v>
      </c>
      <c r="AY725">
        <v>7</v>
      </c>
      <c r="AZ725" t="s">
        <v>74</v>
      </c>
      <c r="BA725" t="s">
        <v>74</v>
      </c>
      <c r="BB725">
        <v>205</v>
      </c>
      <c r="BC725">
        <v>205</v>
      </c>
      <c r="BD725" t="s">
        <v>74</v>
      </c>
      <c r="BE725" t="s">
        <v>74</v>
      </c>
      <c r="BF725" t="s">
        <v>74</v>
      </c>
      <c r="BG725" t="s">
        <v>74</v>
      </c>
      <c r="BH725" t="s">
        <v>74</v>
      </c>
      <c r="BI725">
        <v>1</v>
      </c>
      <c r="BJ725" t="s">
        <v>2972</v>
      </c>
      <c r="BK725" t="s">
        <v>2973</v>
      </c>
      <c r="BL725" t="s">
        <v>2972</v>
      </c>
      <c r="BM725" t="s">
        <v>13272</v>
      </c>
      <c r="BN725" t="s">
        <v>74</v>
      </c>
      <c r="BO725" t="s">
        <v>74</v>
      </c>
      <c r="BP725" t="s">
        <v>74</v>
      </c>
      <c r="BQ725" t="s">
        <v>74</v>
      </c>
      <c r="BR725" t="s">
        <v>105</v>
      </c>
      <c r="BS725" t="s">
        <v>13273</v>
      </c>
      <c r="BT725" t="str">
        <f>HYPERLINK("https%3A%2F%2Fwww.webofscience.com%2Fwos%2Fwoscc%2Ffull-record%2FWOS:000471812300196","View Full Record in Web of Science")</f>
        <v>View Full Record in Web of Science</v>
      </c>
    </row>
    <row r="726" spans="1:72" x14ac:dyDescent="0.15">
      <c r="A726" t="s">
        <v>72</v>
      </c>
      <c r="B726" t="s">
        <v>13274</v>
      </c>
      <c r="C726" t="s">
        <v>74</v>
      </c>
      <c r="D726" t="s">
        <v>74</v>
      </c>
      <c r="E726" t="s">
        <v>74</v>
      </c>
      <c r="F726" t="s">
        <v>13275</v>
      </c>
      <c r="G726" t="s">
        <v>74</v>
      </c>
      <c r="H726" t="s">
        <v>74</v>
      </c>
      <c r="I726" t="s">
        <v>13276</v>
      </c>
      <c r="J726" t="s">
        <v>13264</v>
      </c>
      <c r="K726" t="s">
        <v>74</v>
      </c>
      <c r="L726" t="s">
        <v>74</v>
      </c>
      <c r="M726" t="s">
        <v>78</v>
      </c>
      <c r="N726" t="s">
        <v>52</v>
      </c>
      <c r="O726" t="s">
        <v>74</v>
      </c>
      <c r="P726" t="s">
        <v>74</v>
      </c>
      <c r="Q726" t="s">
        <v>74</v>
      </c>
      <c r="R726" t="s">
        <v>74</v>
      </c>
      <c r="S726" t="s">
        <v>74</v>
      </c>
      <c r="T726" t="s">
        <v>74</v>
      </c>
      <c r="U726" t="s">
        <v>74</v>
      </c>
      <c r="V726" t="s">
        <v>74</v>
      </c>
      <c r="W726" t="s">
        <v>13277</v>
      </c>
      <c r="X726" t="s">
        <v>656</v>
      </c>
      <c r="Y726" t="s">
        <v>74</v>
      </c>
      <c r="Z726" t="s">
        <v>13278</v>
      </c>
      <c r="AA726" t="s">
        <v>74</v>
      </c>
      <c r="AB726" t="s">
        <v>74</v>
      </c>
      <c r="AC726" t="s">
        <v>74</v>
      </c>
      <c r="AD726" t="s">
        <v>74</v>
      </c>
      <c r="AE726" t="s">
        <v>74</v>
      </c>
      <c r="AF726" t="s">
        <v>74</v>
      </c>
      <c r="AG726">
        <v>0</v>
      </c>
      <c r="AH726">
        <v>0</v>
      </c>
      <c r="AI726">
        <v>0</v>
      </c>
      <c r="AJ726">
        <v>0</v>
      </c>
      <c r="AK726">
        <v>0</v>
      </c>
      <c r="AL726" t="s">
        <v>546</v>
      </c>
      <c r="AM726" t="s">
        <v>547</v>
      </c>
      <c r="AN726" t="s">
        <v>548</v>
      </c>
      <c r="AO726" t="s">
        <v>13268</v>
      </c>
      <c r="AP726" t="s">
        <v>13269</v>
      </c>
      <c r="AQ726" t="s">
        <v>74</v>
      </c>
      <c r="AR726" t="s">
        <v>13270</v>
      </c>
      <c r="AS726" t="s">
        <v>13271</v>
      </c>
      <c r="AT726" t="s">
        <v>74</v>
      </c>
      <c r="AU726">
        <v>2010</v>
      </c>
      <c r="AV726">
        <v>69</v>
      </c>
      <c r="AW726" t="s">
        <v>74</v>
      </c>
      <c r="AX726" t="s">
        <v>74</v>
      </c>
      <c r="AY726">
        <v>7</v>
      </c>
      <c r="AZ726" t="s">
        <v>74</v>
      </c>
      <c r="BA726" t="s">
        <v>74</v>
      </c>
      <c r="BB726">
        <v>330</v>
      </c>
      <c r="BC726">
        <v>331</v>
      </c>
      <c r="BD726" t="s">
        <v>74</v>
      </c>
      <c r="BE726" t="s">
        <v>74</v>
      </c>
      <c r="BF726" t="s">
        <v>74</v>
      </c>
      <c r="BG726" t="s">
        <v>74</v>
      </c>
      <c r="BH726" t="s">
        <v>74</v>
      </c>
      <c r="BI726">
        <v>2</v>
      </c>
      <c r="BJ726" t="s">
        <v>2972</v>
      </c>
      <c r="BK726" t="s">
        <v>2973</v>
      </c>
      <c r="BL726" t="s">
        <v>2972</v>
      </c>
      <c r="BM726" t="s">
        <v>13272</v>
      </c>
      <c r="BN726" t="s">
        <v>74</v>
      </c>
      <c r="BO726" t="s">
        <v>74</v>
      </c>
      <c r="BP726" t="s">
        <v>74</v>
      </c>
      <c r="BQ726" t="s">
        <v>74</v>
      </c>
      <c r="BR726" t="s">
        <v>105</v>
      </c>
      <c r="BS726" t="s">
        <v>13279</v>
      </c>
      <c r="BT726" t="str">
        <f>HYPERLINK("https%3A%2F%2Fwww.webofscience.com%2Fwos%2Fwoscc%2Ffull-record%2FWOS:000471812300336","View Full Record in Web of Science")</f>
        <v>View Full Record in Web of Science</v>
      </c>
    </row>
    <row r="727" spans="1:72" x14ac:dyDescent="0.15">
      <c r="A727" t="s">
        <v>72</v>
      </c>
      <c r="B727" t="s">
        <v>13280</v>
      </c>
      <c r="C727" t="s">
        <v>74</v>
      </c>
      <c r="D727" t="s">
        <v>74</v>
      </c>
      <c r="E727" t="s">
        <v>74</v>
      </c>
      <c r="F727" t="s">
        <v>13281</v>
      </c>
      <c r="G727" t="s">
        <v>74</v>
      </c>
      <c r="H727" t="s">
        <v>74</v>
      </c>
      <c r="I727" t="s">
        <v>13282</v>
      </c>
      <c r="J727" t="s">
        <v>13264</v>
      </c>
      <c r="K727" t="s">
        <v>74</v>
      </c>
      <c r="L727" t="s">
        <v>74</v>
      </c>
      <c r="M727" t="s">
        <v>78</v>
      </c>
      <c r="N727" t="s">
        <v>52</v>
      </c>
      <c r="O727" t="s">
        <v>74</v>
      </c>
      <c r="P727" t="s">
        <v>74</v>
      </c>
      <c r="Q727" t="s">
        <v>74</v>
      </c>
      <c r="R727" t="s">
        <v>74</v>
      </c>
      <c r="S727" t="s">
        <v>74</v>
      </c>
      <c r="T727" t="s">
        <v>74</v>
      </c>
      <c r="U727" t="s">
        <v>74</v>
      </c>
      <c r="V727" t="s">
        <v>74</v>
      </c>
      <c r="W727" t="s">
        <v>74</v>
      </c>
      <c r="X727" t="s">
        <v>74</v>
      </c>
      <c r="Y727" t="s">
        <v>74</v>
      </c>
      <c r="Z727" t="s">
        <v>13283</v>
      </c>
      <c r="AA727" t="s">
        <v>74</v>
      </c>
      <c r="AB727" t="s">
        <v>74</v>
      </c>
      <c r="AC727" t="s">
        <v>74</v>
      </c>
      <c r="AD727" t="s">
        <v>74</v>
      </c>
      <c r="AE727" t="s">
        <v>74</v>
      </c>
      <c r="AF727" t="s">
        <v>74</v>
      </c>
      <c r="AG727">
        <v>0</v>
      </c>
      <c r="AH727">
        <v>0</v>
      </c>
      <c r="AI727">
        <v>0</v>
      </c>
      <c r="AJ727">
        <v>0</v>
      </c>
      <c r="AK727">
        <v>0</v>
      </c>
      <c r="AL727" t="s">
        <v>546</v>
      </c>
      <c r="AM727" t="s">
        <v>547</v>
      </c>
      <c r="AN727" t="s">
        <v>548</v>
      </c>
      <c r="AO727" t="s">
        <v>13268</v>
      </c>
      <c r="AP727" t="s">
        <v>13269</v>
      </c>
      <c r="AQ727" t="s">
        <v>74</v>
      </c>
      <c r="AR727" t="s">
        <v>13270</v>
      </c>
      <c r="AS727" t="s">
        <v>13271</v>
      </c>
      <c r="AT727" t="s">
        <v>74</v>
      </c>
      <c r="AU727">
        <v>2010</v>
      </c>
      <c r="AV727">
        <v>69</v>
      </c>
      <c r="AW727" t="s">
        <v>74</v>
      </c>
      <c r="AX727" t="s">
        <v>74</v>
      </c>
      <c r="AY727">
        <v>7</v>
      </c>
      <c r="AZ727" t="s">
        <v>74</v>
      </c>
      <c r="BA727" t="s">
        <v>74</v>
      </c>
      <c r="BB727">
        <v>546</v>
      </c>
      <c r="BC727">
        <v>547</v>
      </c>
      <c r="BD727" t="s">
        <v>74</v>
      </c>
      <c r="BE727" t="s">
        <v>74</v>
      </c>
      <c r="BF727" t="s">
        <v>74</v>
      </c>
      <c r="BG727" t="s">
        <v>74</v>
      </c>
      <c r="BH727" t="s">
        <v>74</v>
      </c>
      <c r="BI727">
        <v>2</v>
      </c>
      <c r="BJ727" t="s">
        <v>2972</v>
      </c>
      <c r="BK727" t="s">
        <v>2973</v>
      </c>
      <c r="BL727" t="s">
        <v>2972</v>
      </c>
      <c r="BM727" t="s">
        <v>13272</v>
      </c>
      <c r="BN727" t="s">
        <v>74</v>
      </c>
      <c r="BO727" t="s">
        <v>74</v>
      </c>
      <c r="BP727" t="s">
        <v>74</v>
      </c>
      <c r="BQ727" t="s">
        <v>74</v>
      </c>
      <c r="BR727" t="s">
        <v>105</v>
      </c>
      <c r="BS727" t="s">
        <v>13284</v>
      </c>
      <c r="BT727" t="str">
        <f>HYPERLINK("https%3A%2F%2Fwww.webofscience.com%2Fwos%2Fwoscc%2Ffull-record%2FWOS:000471812300557","View Full Record in Web of Science")</f>
        <v>View Full Record in Web of Science</v>
      </c>
    </row>
    <row r="728" spans="1:72" x14ac:dyDescent="0.15">
      <c r="A728" t="s">
        <v>72</v>
      </c>
      <c r="B728" t="s">
        <v>13285</v>
      </c>
      <c r="C728" t="s">
        <v>74</v>
      </c>
      <c r="D728" t="s">
        <v>74</v>
      </c>
      <c r="E728" t="s">
        <v>74</v>
      </c>
      <c r="F728" t="s">
        <v>13286</v>
      </c>
      <c r="G728" t="s">
        <v>74</v>
      </c>
      <c r="H728" t="s">
        <v>74</v>
      </c>
      <c r="I728" t="s">
        <v>13287</v>
      </c>
      <c r="J728" t="s">
        <v>13264</v>
      </c>
      <c r="K728" t="s">
        <v>74</v>
      </c>
      <c r="L728" t="s">
        <v>74</v>
      </c>
      <c r="M728" t="s">
        <v>78</v>
      </c>
      <c r="N728" t="s">
        <v>79</v>
      </c>
      <c r="O728" t="s">
        <v>74</v>
      </c>
      <c r="P728" t="s">
        <v>74</v>
      </c>
      <c r="Q728" t="s">
        <v>74</v>
      </c>
      <c r="R728" t="s">
        <v>74</v>
      </c>
      <c r="S728" t="s">
        <v>74</v>
      </c>
      <c r="T728" t="s">
        <v>13288</v>
      </c>
      <c r="U728" t="s">
        <v>74</v>
      </c>
      <c r="V728" t="s">
        <v>13289</v>
      </c>
      <c r="W728" t="s">
        <v>13290</v>
      </c>
      <c r="X728" t="s">
        <v>13291</v>
      </c>
      <c r="Y728" t="s">
        <v>13292</v>
      </c>
      <c r="Z728" t="s">
        <v>13293</v>
      </c>
      <c r="AA728" t="s">
        <v>74</v>
      </c>
      <c r="AB728" t="s">
        <v>74</v>
      </c>
      <c r="AC728" t="s">
        <v>13294</v>
      </c>
      <c r="AD728" t="s">
        <v>13295</v>
      </c>
      <c r="AE728" t="s">
        <v>13296</v>
      </c>
      <c r="AF728" t="s">
        <v>74</v>
      </c>
      <c r="AG728">
        <v>1</v>
      </c>
      <c r="AH728">
        <v>0</v>
      </c>
      <c r="AI728">
        <v>0</v>
      </c>
      <c r="AJ728">
        <v>0</v>
      </c>
      <c r="AK728">
        <v>1</v>
      </c>
      <c r="AL728" t="s">
        <v>546</v>
      </c>
      <c r="AM728" t="s">
        <v>547</v>
      </c>
      <c r="AN728" t="s">
        <v>548</v>
      </c>
      <c r="AO728" t="s">
        <v>13268</v>
      </c>
      <c r="AP728" t="s">
        <v>13269</v>
      </c>
      <c r="AQ728" t="s">
        <v>74</v>
      </c>
      <c r="AR728" t="s">
        <v>13270</v>
      </c>
      <c r="AS728" t="s">
        <v>13271</v>
      </c>
      <c r="AT728" t="s">
        <v>74</v>
      </c>
      <c r="AU728">
        <v>2010</v>
      </c>
      <c r="AV728">
        <v>69</v>
      </c>
      <c r="AW728" t="s">
        <v>74</v>
      </c>
      <c r="AX728" t="s">
        <v>74</v>
      </c>
      <c r="AY728">
        <v>7</v>
      </c>
      <c r="AZ728" t="s">
        <v>74</v>
      </c>
      <c r="BA728" t="s">
        <v>74</v>
      </c>
      <c r="BB728">
        <v>560</v>
      </c>
      <c r="BC728">
        <v>563</v>
      </c>
      <c r="BD728" t="s">
        <v>74</v>
      </c>
      <c r="BE728" t="s">
        <v>74</v>
      </c>
      <c r="BF728" t="s">
        <v>74</v>
      </c>
      <c r="BG728" t="s">
        <v>74</v>
      </c>
      <c r="BH728" t="s">
        <v>74</v>
      </c>
      <c r="BI728">
        <v>4</v>
      </c>
      <c r="BJ728" t="s">
        <v>2972</v>
      </c>
      <c r="BK728" t="s">
        <v>2973</v>
      </c>
      <c r="BL728" t="s">
        <v>2972</v>
      </c>
      <c r="BM728" t="s">
        <v>13272</v>
      </c>
      <c r="BN728" t="s">
        <v>74</v>
      </c>
      <c r="BO728" t="s">
        <v>74</v>
      </c>
      <c r="BP728" t="s">
        <v>74</v>
      </c>
      <c r="BQ728" t="s">
        <v>74</v>
      </c>
      <c r="BR728" t="s">
        <v>105</v>
      </c>
      <c r="BS728" t="s">
        <v>13297</v>
      </c>
      <c r="BT728" t="str">
        <f>HYPERLINK("https%3A%2F%2Fwww.webofscience.com%2Fwos%2Fwoscc%2Ffull-record%2FWOS:000471812300561","View Full Record in Web of Science")</f>
        <v>View Full Record in Web of Science</v>
      </c>
    </row>
    <row r="729" spans="1:72" x14ac:dyDescent="0.15">
      <c r="A729" t="s">
        <v>72</v>
      </c>
      <c r="B729" t="s">
        <v>13298</v>
      </c>
      <c r="C729" t="s">
        <v>74</v>
      </c>
      <c r="D729" t="s">
        <v>74</v>
      </c>
      <c r="E729" t="s">
        <v>74</v>
      </c>
      <c r="F729" t="s">
        <v>13299</v>
      </c>
      <c r="G729" t="s">
        <v>74</v>
      </c>
      <c r="H729" t="s">
        <v>74</v>
      </c>
      <c r="I729" t="s">
        <v>13300</v>
      </c>
      <c r="J729" t="s">
        <v>13264</v>
      </c>
      <c r="K729" t="s">
        <v>74</v>
      </c>
      <c r="L729" t="s">
        <v>74</v>
      </c>
      <c r="M729" t="s">
        <v>78</v>
      </c>
      <c r="N729" t="s">
        <v>79</v>
      </c>
      <c r="O729" t="s">
        <v>74</v>
      </c>
      <c r="P729" t="s">
        <v>74</v>
      </c>
      <c r="Q729" t="s">
        <v>74</v>
      </c>
      <c r="R729" t="s">
        <v>74</v>
      </c>
      <c r="S729" t="s">
        <v>74</v>
      </c>
      <c r="T729" t="s">
        <v>74</v>
      </c>
      <c r="U729" t="s">
        <v>74</v>
      </c>
      <c r="V729" t="s">
        <v>13301</v>
      </c>
      <c r="W729" t="s">
        <v>13302</v>
      </c>
      <c r="X729" t="s">
        <v>13303</v>
      </c>
      <c r="Y729" t="s">
        <v>13304</v>
      </c>
      <c r="Z729" t="s">
        <v>13283</v>
      </c>
      <c r="AA729" t="s">
        <v>74</v>
      </c>
      <c r="AB729" t="s">
        <v>74</v>
      </c>
      <c r="AC729" t="s">
        <v>74</v>
      </c>
      <c r="AD729" t="s">
        <v>74</v>
      </c>
      <c r="AE729" t="s">
        <v>74</v>
      </c>
      <c r="AF729" t="s">
        <v>74</v>
      </c>
      <c r="AG729">
        <v>1</v>
      </c>
      <c r="AH729">
        <v>0</v>
      </c>
      <c r="AI729">
        <v>0</v>
      </c>
      <c r="AJ729">
        <v>0</v>
      </c>
      <c r="AK729">
        <v>0</v>
      </c>
      <c r="AL729" t="s">
        <v>546</v>
      </c>
      <c r="AM729" t="s">
        <v>547</v>
      </c>
      <c r="AN729" t="s">
        <v>548</v>
      </c>
      <c r="AO729" t="s">
        <v>13268</v>
      </c>
      <c r="AP729" t="s">
        <v>13269</v>
      </c>
      <c r="AQ729" t="s">
        <v>74</v>
      </c>
      <c r="AR729" t="s">
        <v>13270</v>
      </c>
      <c r="AS729" t="s">
        <v>13271</v>
      </c>
      <c r="AT729" t="s">
        <v>74</v>
      </c>
      <c r="AU729">
        <v>2010</v>
      </c>
      <c r="AV729">
        <v>69</v>
      </c>
      <c r="AW729" t="s">
        <v>74</v>
      </c>
      <c r="AX729" t="s">
        <v>74</v>
      </c>
      <c r="AY729">
        <v>7</v>
      </c>
      <c r="AZ729" t="s">
        <v>74</v>
      </c>
      <c r="BA729" t="s">
        <v>74</v>
      </c>
      <c r="BB729">
        <v>564</v>
      </c>
      <c r="BC729">
        <v>567</v>
      </c>
      <c r="BD729" t="s">
        <v>74</v>
      </c>
      <c r="BE729" t="s">
        <v>74</v>
      </c>
      <c r="BF729" t="s">
        <v>74</v>
      </c>
      <c r="BG729" t="s">
        <v>74</v>
      </c>
      <c r="BH729" t="s">
        <v>74</v>
      </c>
      <c r="BI729">
        <v>4</v>
      </c>
      <c r="BJ729" t="s">
        <v>2972</v>
      </c>
      <c r="BK729" t="s">
        <v>2973</v>
      </c>
      <c r="BL729" t="s">
        <v>2972</v>
      </c>
      <c r="BM729" t="s">
        <v>13272</v>
      </c>
      <c r="BN729" t="s">
        <v>74</v>
      </c>
      <c r="BO729" t="s">
        <v>74</v>
      </c>
      <c r="BP729" t="s">
        <v>74</v>
      </c>
      <c r="BQ729" t="s">
        <v>74</v>
      </c>
      <c r="BR729" t="s">
        <v>105</v>
      </c>
      <c r="BS729" t="s">
        <v>13305</v>
      </c>
      <c r="BT729" t="str">
        <f>HYPERLINK("https%3A%2F%2Fwww.webofscience.com%2Fwos%2Fwoscc%2Ffull-record%2FWOS:000471812300562","View Full Record in Web of Science")</f>
        <v>View Full Record in Web of Science</v>
      </c>
    </row>
    <row r="730" spans="1:72" x14ac:dyDescent="0.15">
      <c r="A730" t="s">
        <v>72</v>
      </c>
      <c r="B730" t="s">
        <v>13306</v>
      </c>
      <c r="C730" t="s">
        <v>74</v>
      </c>
      <c r="D730" t="s">
        <v>74</v>
      </c>
      <c r="E730" t="s">
        <v>74</v>
      </c>
      <c r="F730" t="s">
        <v>13307</v>
      </c>
      <c r="G730" t="s">
        <v>74</v>
      </c>
      <c r="H730" t="s">
        <v>74</v>
      </c>
      <c r="I730" t="s">
        <v>13308</v>
      </c>
      <c r="J730" t="s">
        <v>13309</v>
      </c>
      <c r="K730" t="s">
        <v>74</v>
      </c>
      <c r="L730" t="s">
        <v>74</v>
      </c>
      <c r="M730" t="s">
        <v>78</v>
      </c>
      <c r="N730" t="s">
        <v>79</v>
      </c>
      <c r="O730" t="s">
        <v>74</v>
      </c>
      <c r="P730" t="s">
        <v>74</v>
      </c>
      <c r="Q730" t="s">
        <v>74</v>
      </c>
      <c r="R730" t="s">
        <v>74</v>
      </c>
      <c r="S730" t="s">
        <v>74</v>
      </c>
      <c r="T730" t="s">
        <v>13310</v>
      </c>
      <c r="U730" t="s">
        <v>74</v>
      </c>
      <c r="V730" t="s">
        <v>13311</v>
      </c>
      <c r="W730" t="s">
        <v>13312</v>
      </c>
      <c r="X730" t="s">
        <v>13313</v>
      </c>
      <c r="Y730" t="s">
        <v>13314</v>
      </c>
      <c r="Z730" t="s">
        <v>13315</v>
      </c>
      <c r="AA730" t="s">
        <v>74</v>
      </c>
      <c r="AB730" t="s">
        <v>13316</v>
      </c>
      <c r="AC730" t="s">
        <v>74</v>
      </c>
      <c r="AD730" t="s">
        <v>74</v>
      </c>
      <c r="AE730" t="s">
        <v>74</v>
      </c>
      <c r="AF730" t="s">
        <v>74</v>
      </c>
      <c r="AG730">
        <v>78</v>
      </c>
      <c r="AH730">
        <v>23</v>
      </c>
      <c r="AI730">
        <v>26</v>
      </c>
      <c r="AJ730">
        <v>2</v>
      </c>
      <c r="AK730">
        <v>13</v>
      </c>
      <c r="AL730" t="s">
        <v>13317</v>
      </c>
      <c r="AM730" t="s">
        <v>10373</v>
      </c>
      <c r="AN730" t="s">
        <v>13318</v>
      </c>
      <c r="AO730" t="s">
        <v>13319</v>
      </c>
      <c r="AP730" t="s">
        <v>13320</v>
      </c>
      <c r="AQ730" t="s">
        <v>74</v>
      </c>
      <c r="AR730" t="s">
        <v>13321</v>
      </c>
      <c r="AS730" t="s">
        <v>13322</v>
      </c>
      <c r="AT730" t="s">
        <v>74</v>
      </c>
      <c r="AU730">
        <v>2010</v>
      </c>
      <c r="AV730">
        <v>25</v>
      </c>
      <c r="AW730">
        <v>4</v>
      </c>
      <c r="AX730" t="s">
        <v>74</v>
      </c>
      <c r="AY730" t="s">
        <v>74</v>
      </c>
      <c r="AZ730" t="s">
        <v>74</v>
      </c>
      <c r="BA730" t="s">
        <v>74</v>
      </c>
      <c r="BB730">
        <v>543</v>
      </c>
      <c r="BC730">
        <v>567</v>
      </c>
      <c r="BD730" t="s">
        <v>74</v>
      </c>
      <c r="BE730" t="s">
        <v>13323</v>
      </c>
      <c r="BF730" t="str">
        <f>HYPERLINK("http://dx.doi.org/10.1163/157180810X525377","http://dx.doi.org/10.1163/157180810X525377")</f>
        <v>http://dx.doi.org/10.1163/157180810X525377</v>
      </c>
      <c r="BG730" t="s">
        <v>74</v>
      </c>
      <c r="BH730" t="s">
        <v>74</v>
      </c>
      <c r="BI730">
        <v>25</v>
      </c>
      <c r="BJ730" t="s">
        <v>13324</v>
      </c>
      <c r="BK730" t="s">
        <v>9388</v>
      </c>
      <c r="BL730" t="s">
        <v>13325</v>
      </c>
      <c r="BM730" t="s">
        <v>13326</v>
      </c>
      <c r="BN730" t="s">
        <v>74</v>
      </c>
      <c r="BO730" t="s">
        <v>74</v>
      </c>
      <c r="BP730" t="s">
        <v>74</v>
      </c>
      <c r="BQ730" t="s">
        <v>74</v>
      </c>
      <c r="BR730" t="s">
        <v>105</v>
      </c>
      <c r="BS730" t="s">
        <v>13327</v>
      </c>
      <c r="BT730" t="str">
        <f>HYPERLINK("https%3A%2F%2Fwww.webofscience.com%2Fwos%2Fwoscc%2Ffull-record%2FWOS:000208617900005","View Full Record in Web of Science")</f>
        <v>View Full Record in Web of Science</v>
      </c>
    </row>
    <row r="731" spans="1:72" x14ac:dyDescent="0.15">
      <c r="A731" t="s">
        <v>72</v>
      </c>
      <c r="B731" t="s">
        <v>13328</v>
      </c>
      <c r="C731" t="s">
        <v>74</v>
      </c>
      <c r="D731" t="s">
        <v>74</v>
      </c>
      <c r="E731" t="s">
        <v>74</v>
      </c>
      <c r="F731" t="s">
        <v>13329</v>
      </c>
      <c r="G731" t="s">
        <v>74</v>
      </c>
      <c r="H731" t="s">
        <v>74</v>
      </c>
      <c r="I731" t="s">
        <v>13330</v>
      </c>
      <c r="J731" t="s">
        <v>13331</v>
      </c>
      <c r="K731" t="s">
        <v>74</v>
      </c>
      <c r="L731" t="s">
        <v>74</v>
      </c>
      <c r="M731" t="s">
        <v>78</v>
      </c>
      <c r="N731" t="s">
        <v>79</v>
      </c>
      <c r="O731" t="s">
        <v>74</v>
      </c>
      <c r="P731" t="s">
        <v>74</v>
      </c>
      <c r="Q731" t="s">
        <v>74</v>
      </c>
      <c r="R731" t="s">
        <v>74</v>
      </c>
      <c r="S731" t="s">
        <v>74</v>
      </c>
      <c r="T731" t="s">
        <v>74</v>
      </c>
      <c r="U731" t="s">
        <v>13332</v>
      </c>
      <c r="V731" t="s">
        <v>13333</v>
      </c>
      <c r="W731" t="s">
        <v>13334</v>
      </c>
      <c r="X731" t="s">
        <v>13335</v>
      </c>
      <c r="Y731" t="s">
        <v>13336</v>
      </c>
      <c r="Z731" t="s">
        <v>13337</v>
      </c>
      <c r="AA731" t="s">
        <v>13338</v>
      </c>
      <c r="AB731" t="s">
        <v>13339</v>
      </c>
      <c r="AC731" t="s">
        <v>13340</v>
      </c>
      <c r="AD731" t="s">
        <v>13341</v>
      </c>
      <c r="AE731" t="s">
        <v>13342</v>
      </c>
      <c r="AF731" t="s">
        <v>74</v>
      </c>
      <c r="AG731">
        <v>43</v>
      </c>
      <c r="AH731">
        <v>8</v>
      </c>
      <c r="AI731">
        <v>8</v>
      </c>
      <c r="AJ731">
        <v>0</v>
      </c>
      <c r="AK731">
        <v>11</v>
      </c>
      <c r="AL731" t="s">
        <v>546</v>
      </c>
      <c r="AM731" t="s">
        <v>547</v>
      </c>
      <c r="AN731" t="s">
        <v>8932</v>
      </c>
      <c r="AO731" t="s">
        <v>13343</v>
      </c>
      <c r="AP731" t="s">
        <v>74</v>
      </c>
      <c r="AQ731" t="s">
        <v>74</v>
      </c>
      <c r="AR731" t="s">
        <v>13344</v>
      </c>
      <c r="AS731" t="s">
        <v>13345</v>
      </c>
      <c r="AT731" t="s">
        <v>74</v>
      </c>
      <c r="AU731">
        <v>2010</v>
      </c>
      <c r="AV731">
        <v>31</v>
      </c>
      <c r="AW731">
        <v>4</v>
      </c>
      <c r="AX731" t="s">
        <v>74</v>
      </c>
      <c r="AY731" t="s">
        <v>74</v>
      </c>
      <c r="AZ731" t="s">
        <v>74</v>
      </c>
      <c r="BA731" t="s">
        <v>74</v>
      </c>
      <c r="BB731">
        <v>831</v>
      </c>
      <c r="BC731">
        <v>849</v>
      </c>
      <c r="BD731" t="s">
        <v>74</v>
      </c>
      <c r="BE731" t="s">
        <v>13346</v>
      </c>
      <c r="BF731" t="str">
        <f>HYPERLINK("http://dx.doi.org/10.1080/01431160902897866","http://dx.doi.org/10.1080/01431160902897866")</f>
        <v>http://dx.doi.org/10.1080/01431160902897866</v>
      </c>
      <c r="BG731" t="s">
        <v>74</v>
      </c>
      <c r="BH731" t="s">
        <v>74</v>
      </c>
      <c r="BI731">
        <v>19</v>
      </c>
      <c r="BJ731" t="s">
        <v>13347</v>
      </c>
      <c r="BK731" t="s">
        <v>102</v>
      </c>
      <c r="BL731" t="s">
        <v>13347</v>
      </c>
      <c r="BM731" t="s">
        <v>13348</v>
      </c>
      <c r="BN731" t="s">
        <v>74</v>
      </c>
      <c r="BO731" t="s">
        <v>74</v>
      </c>
      <c r="BP731" t="s">
        <v>74</v>
      </c>
      <c r="BQ731" t="s">
        <v>74</v>
      </c>
      <c r="BR731" t="s">
        <v>105</v>
      </c>
      <c r="BS731" t="s">
        <v>13349</v>
      </c>
      <c r="BT731" t="str">
        <f>HYPERLINK("https%3A%2F%2Fwww.webofscience.com%2Fwos%2Fwoscc%2Ffull-record%2FWOS:000275877800001","View Full Record in Web of Science")</f>
        <v>View Full Record in Web of Science</v>
      </c>
    </row>
    <row r="732" spans="1:72" x14ac:dyDescent="0.15">
      <c r="A732" t="s">
        <v>72</v>
      </c>
      <c r="B732" t="s">
        <v>13350</v>
      </c>
      <c r="C732" t="s">
        <v>74</v>
      </c>
      <c r="D732" t="s">
        <v>74</v>
      </c>
      <c r="E732" t="s">
        <v>74</v>
      </c>
      <c r="F732" t="s">
        <v>13351</v>
      </c>
      <c r="G732" t="s">
        <v>74</v>
      </c>
      <c r="H732" t="s">
        <v>74</v>
      </c>
      <c r="I732" t="s">
        <v>13352</v>
      </c>
      <c r="J732" t="s">
        <v>13331</v>
      </c>
      <c r="K732" t="s">
        <v>74</v>
      </c>
      <c r="L732" t="s">
        <v>74</v>
      </c>
      <c r="M732" t="s">
        <v>78</v>
      </c>
      <c r="N732" t="s">
        <v>79</v>
      </c>
      <c r="O732" t="s">
        <v>74</v>
      </c>
      <c r="P732" t="s">
        <v>74</v>
      </c>
      <c r="Q732" t="s">
        <v>74</v>
      </c>
      <c r="R732" t="s">
        <v>74</v>
      </c>
      <c r="S732" t="s">
        <v>74</v>
      </c>
      <c r="T732" t="s">
        <v>74</v>
      </c>
      <c r="U732" t="s">
        <v>13353</v>
      </c>
      <c r="V732" t="s">
        <v>13354</v>
      </c>
      <c r="W732" t="s">
        <v>13355</v>
      </c>
      <c r="X732" t="s">
        <v>13356</v>
      </c>
      <c r="Y732" t="s">
        <v>13357</v>
      </c>
      <c r="Z732" t="s">
        <v>13358</v>
      </c>
      <c r="AA732" t="s">
        <v>13359</v>
      </c>
      <c r="AB732" t="s">
        <v>13360</v>
      </c>
      <c r="AC732" t="s">
        <v>74</v>
      </c>
      <c r="AD732" t="s">
        <v>74</v>
      </c>
      <c r="AE732" t="s">
        <v>74</v>
      </c>
      <c r="AF732" t="s">
        <v>74</v>
      </c>
      <c r="AG732">
        <v>9</v>
      </c>
      <c r="AH732">
        <v>50</v>
      </c>
      <c r="AI732">
        <v>50</v>
      </c>
      <c r="AJ732">
        <v>2</v>
      </c>
      <c r="AK732">
        <v>4</v>
      </c>
      <c r="AL732" t="s">
        <v>546</v>
      </c>
      <c r="AM732" t="s">
        <v>547</v>
      </c>
      <c r="AN732" t="s">
        <v>8932</v>
      </c>
      <c r="AO732" t="s">
        <v>13343</v>
      </c>
      <c r="AP732" t="s">
        <v>74</v>
      </c>
      <c r="AQ732" t="s">
        <v>74</v>
      </c>
      <c r="AR732" t="s">
        <v>13344</v>
      </c>
      <c r="AS732" t="s">
        <v>13345</v>
      </c>
      <c r="AT732" t="s">
        <v>74</v>
      </c>
      <c r="AU732">
        <v>2010</v>
      </c>
      <c r="AV732">
        <v>31</v>
      </c>
      <c r="AW732">
        <v>9</v>
      </c>
      <c r="AX732" t="s">
        <v>74</v>
      </c>
      <c r="AY732" t="s">
        <v>74</v>
      </c>
      <c r="AZ732" t="s">
        <v>74</v>
      </c>
      <c r="BA732" t="s">
        <v>74</v>
      </c>
      <c r="BB732">
        <v>2419</v>
      </c>
      <c r="BC732">
        <v>2428</v>
      </c>
      <c r="BD732" t="s">
        <v>74</v>
      </c>
      <c r="BE732" t="s">
        <v>13361</v>
      </c>
      <c r="BF732" t="str">
        <f>HYPERLINK("http://dx.doi.org/10.1080/01431160903005725","http://dx.doi.org/10.1080/01431160903005725")</f>
        <v>http://dx.doi.org/10.1080/01431160903005725</v>
      </c>
      <c r="BG732" t="s">
        <v>74</v>
      </c>
      <c r="BH732" t="s">
        <v>74</v>
      </c>
      <c r="BI732">
        <v>10</v>
      </c>
      <c r="BJ732" t="s">
        <v>13347</v>
      </c>
      <c r="BK732" t="s">
        <v>102</v>
      </c>
      <c r="BL732" t="s">
        <v>13347</v>
      </c>
      <c r="BM732" t="s">
        <v>13362</v>
      </c>
      <c r="BN732" t="s">
        <v>74</v>
      </c>
      <c r="BO732" t="s">
        <v>74</v>
      </c>
      <c r="BP732" t="s">
        <v>74</v>
      </c>
      <c r="BQ732" t="s">
        <v>74</v>
      </c>
      <c r="BR732" t="s">
        <v>105</v>
      </c>
      <c r="BS732" t="s">
        <v>13363</v>
      </c>
      <c r="BT732" t="str">
        <f>HYPERLINK("https%3A%2F%2Fwww.webofscience.com%2Fwos%2Fwoscc%2Ffull-record%2FWOS:000277999100012","View Full Record in Web of Science")</f>
        <v>View Full Record in Web of Science</v>
      </c>
    </row>
    <row r="733" spans="1:72" x14ac:dyDescent="0.15">
      <c r="A733" t="s">
        <v>8563</v>
      </c>
      <c r="B733" t="s">
        <v>13364</v>
      </c>
      <c r="C733" t="s">
        <v>13365</v>
      </c>
      <c r="D733" t="s">
        <v>74</v>
      </c>
      <c r="E733" t="s">
        <v>74</v>
      </c>
      <c r="F733" t="s">
        <v>13366</v>
      </c>
      <c r="G733" t="s">
        <v>13365</v>
      </c>
      <c r="H733" t="s">
        <v>74</v>
      </c>
      <c r="I733" t="s">
        <v>13367</v>
      </c>
      <c r="J733" t="s">
        <v>13368</v>
      </c>
      <c r="K733" t="s">
        <v>74</v>
      </c>
      <c r="L733" t="s">
        <v>74</v>
      </c>
      <c r="M733" t="s">
        <v>78</v>
      </c>
      <c r="N733" t="s">
        <v>8859</v>
      </c>
      <c r="O733" t="s">
        <v>74</v>
      </c>
      <c r="P733" t="s">
        <v>74</v>
      </c>
      <c r="Q733" t="s">
        <v>74</v>
      </c>
      <c r="R733" t="s">
        <v>74</v>
      </c>
      <c r="S733" t="s">
        <v>74</v>
      </c>
      <c r="T733" t="s">
        <v>74</v>
      </c>
      <c r="U733" t="s">
        <v>13369</v>
      </c>
      <c r="V733" t="s">
        <v>13370</v>
      </c>
      <c r="W733" t="s">
        <v>13371</v>
      </c>
      <c r="X733" t="s">
        <v>13372</v>
      </c>
      <c r="Y733" t="s">
        <v>13373</v>
      </c>
      <c r="Z733" t="s">
        <v>13374</v>
      </c>
      <c r="AA733" t="s">
        <v>13375</v>
      </c>
      <c r="AB733" t="s">
        <v>13376</v>
      </c>
      <c r="AC733" t="s">
        <v>11345</v>
      </c>
      <c r="AD733" t="s">
        <v>11346</v>
      </c>
      <c r="AE733" t="s">
        <v>74</v>
      </c>
      <c r="AF733" t="s">
        <v>74</v>
      </c>
      <c r="AG733">
        <v>274</v>
      </c>
      <c r="AH733">
        <v>5</v>
      </c>
      <c r="AI733">
        <v>5</v>
      </c>
      <c r="AJ733">
        <v>0</v>
      </c>
      <c r="AK733">
        <v>8</v>
      </c>
      <c r="AL733" t="s">
        <v>813</v>
      </c>
      <c r="AM733" t="s">
        <v>225</v>
      </c>
      <c r="AN733" t="s">
        <v>8576</v>
      </c>
      <c r="AO733" t="s">
        <v>74</v>
      </c>
      <c r="AP733" t="s">
        <v>74</v>
      </c>
      <c r="AQ733" t="s">
        <v>13377</v>
      </c>
      <c r="AR733" t="s">
        <v>74</v>
      </c>
      <c r="AS733" t="s">
        <v>74</v>
      </c>
      <c r="AT733" t="s">
        <v>74</v>
      </c>
      <c r="AU733">
        <v>2010</v>
      </c>
      <c r="AV733" t="s">
        <v>74</v>
      </c>
      <c r="AW733" t="s">
        <v>74</v>
      </c>
      <c r="AX733" t="s">
        <v>74</v>
      </c>
      <c r="AY733" t="s">
        <v>74</v>
      </c>
      <c r="AZ733" t="s">
        <v>74</v>
      </c>
      <c r="BA733" t="s">
        <v>74</v>
      </c>
      <c r="BB733">
        <v>73</v>
      </c>
      <c r="BC733">
        <v>118</v>
      </c>
      <c r="BD733" t="s">
        <v>74</v>
      </c>
      <c r="BE733" t="s">
        <v>13378</v>
      </c>
      <c r="BF733" t="str">
        <f>HYPERLINK("http://dx.doi.org/10.1007/978-90-481-8639-6_3","http://dx.doi.org/10.1007/978-90-481-8639-6_3")</f>
        <v>http://dx.doi.org/10.1007/978-90-481-8639-6_3</v>
      </c>
      <c r="BG733" t="s">
        <v>13379</v>
      </c>
      <c r="BH733" t="s">
        <v>74</v>
      </c>
      <c r="BI733">
        <v>46</v>
      </c>
      <c r="BJ733" t="s">
        <v>12219</v>
      </c>
      <c r="BK733" t="s">
        <v>8579</v>
      </c>
      <c r="BL733" t="s">
        <v>12219</v>
      </c>
      <c r="BM733" t="s">
        <v>13380</v>
      </c>
      <c r="BN733" t="s">
        <v>74</v>
      </c>
      <c r="BO733" t="s">
        <v>74</v>
      </c>
      <c r="BP733" t="s">
        <v>74</v>
      </c>
      <c r="BQ733" t="s">
        <v>74</v>
      </c>
      <c r="BR733" t="s">
        <v>105</v>
      </c>
      <c r="BS733" t="s">
        <v>13381</v>
      </c>
      <c r="BT733" t="str">
        <f>HYPERLINK("https%3A%2F%2Fwww.webofscience.com%2Fwos%2Fwoscc%2Ffull-record%2FWOS:000278068900003","View Full Record in Web of Science")</f>
        <v>View Full Record in Web of Science</v>
      </c>
    </row>
    <row r="734" spans="1:72" x14ac:dyDescent="0.15">
      <c r="A734" t="s">
        <v>72</v>
      </c>
      <c r="B734" t="s">
        <v>13382</v>
      </c>
      <c r="C734" t="s">
        <v>74</v>
      </c>
      <c r="D734" t="s">
        <v>74</v>
      </c>
      <c r="E734" t="s">
        <v>74</v>
      </c>
      <c r="F734" t="s">
        <v>13383</v>
      </c>
      <c r="G734" t="s">
        <v>74</v>
      </c>
      <c r="H734" t="s">
        <v>74</v>
      </c>
      <c r="I734" t="s">
        <v>13384</v>
      </c>
      <c r="J734" t="s">
        <v>13385</v>
      </c>
      <c r="K734" t="s">
        <v>74</v>
      </c>
      <c r="L734" t="s">
        <v>74</v>
      </c>
      <c r="M734" t="s">
        <v>78</v>
      </c>
      <c r="N734" t="s">
        <v>79</v>
      </c>
      <c r="O734" t="s">
        <v>74</v>
      </c>
      <c r="P734" t="s">
        <v>74</v>
      </c>
      <c r="Q734" t="s">
        <v>74</v>
      </c>
      <c r="R734" t="s">
        <v>74</v>
      </c>
      <c r="S734" t="s">
        <v>74</v>
      </c>
      <c r="T734" t="s">
        <v>74</v>
      </c>
      <c r="U734" t="s">
        <v>13386</v>
      </c>
      <c r="V734" t="s">
        <v>13387</v>
      </c>
      <c r="W734" t="s">
        <v>13388</v>
      </c>
      <c r="X734" t="s">
        <v>13389</v>
      </c>
      <c r="Y734" t="s">
        <v>13390</v>
      </c>
      <c r="Z734" t="s">
        <v>13391</v>
      </c>
      <c r="AA734" t="s">
        <v>13392</v>
      </c>
      <c r="AB734" t="s">
        <v>13393</v>
      </c>
      <c r="AC734" t="s">
        <v>13394</v>
      </c>
      <c r="AD734" t="s">
        <v>13395</v>
      </c>
      <c r="AE734" t="s">
        <v>13396</v>
      </c>
      <c r="AF734" t="s">
        <v>74</v>
      </c>
      <c r="AG734">
        <v>62</v>
      </c>
      <c r="AH734">
        <v>37</v>
      </c>
      <c r="AI734">
        <v>42</v>
      </c>
      <c r="AJ734">
        <v>0</v>
      </c>
      <c r="AK734">
        <v>15</v>
      </c>
      <c r="AL734" t="s">
        <v>10330</v>
      </c>
      <c r="AM734" t="s">
        <v>10331</v>
      </c>
      <c r="AN734" t="s">
        <v>10332</v>
      </c>
      <c r="AO734" t="s">
        <v>13397</v>
      </c>
      <c r="AP734" t="s">
        <v>13398</v>
      </c>
      <c r="AQ734" t="s">
        <v>74</v>
      </c>
      <c r="AR734" t="s">
        <v>13399</v>
      </c>
      <c r="AS734" t="s">
        <v>13400</v>
      </c>
      <c r="AT734" t="s">
        <v>74</v>
      </c>
      <c r="AU734">
        <v>2010</v>
      </c>
      <c r="AV734">
        <v>24</v>
      </c>
      <c r="AW734">
        <v>6</v>
      </c>
      <c r="AX734" t="s">
        <v>74</v>
      </c>
      <c r="AY734" t="s">
        <v>74</v>
      </c>
      <c r="AZ734" t="s">
        <v>74</v>
      </c>
      <c r="BA734" t="s">
        <v>74</v>
      </c>
      <c r="BB734">
        <v>560</v>
      </c>
      <c r="BC734">
        <v>572</v>
      </c>
      <c r="BD734" t="s">
        <v>74</v>
      </c>
      <c r="BE734" t="s">
        <v>13401</v>
      </c>
      <c r="BF734" t="str">
        <f>HYPERLINK("http://dx.doi.org/10.1071/IS10028","http://dx.doi.org/10.1071/IS10028")</f>
        <v>http://dx.doi.org/10.1071/IS10028</v>
      </c>
      <c r="BG734" t="s">
        <v>74</v>
      </c>
      <c r="BH734" t="s">
        <v>74</v>
      </c>
      <c r="BI734">
        <v>13</v>
      </c>
      <c r="BJ734" t="s">
        <v>13402</v>
      </c>
      <c r="BK734" t="s">
        <v>102</v>
      </c>
      <c r="BL734" t="s">
        <v>13402</v>
      </c>
      <c r="BM734" t="s">
        <v>13403</v>
      </c>
      <c r="BN734" t="s">
        <v>74</v>
      </c>
      <c r="BO734" t="s">
        <v>74</v>
      </c>
      <c r="BP734" t="s">
        <v>74</v>
      </c>
      <c r="BQ734" t="s">
        <v>74</v>
      </c>
      <c r="BR734" t="s">
        <v>105</v>
      </c>
      <c r="BS734" t="s">
        <v>13404</v>
      </c>
      <c r="BT734" t="str">
        <f>HYPERLINK("https%3A%2F%2Fwww.webofscience.com%2Fwos%2Fwoscc%2Ffull-record%2FWOS:000289990500003","View Full Record in Web of Science")</f>
        <v>View Full Record in Web of Science</v>
      </c>
    </row>
    <row r="735" spans="1:72" x14ac:dyDescent="0.15">
      <c r="A735" t="s">
        <v>72</v>
      </c>
      <c r="B735" t="s">
        <v>13405</v>
      </c>
      <c r="C735" t="s">
        <v>74</v>
      </c>
      <c r="D735" t="s">
        <v>74</v>
      </c>
      <c r="E735" t="s">
        <v>74</v>
      </c>
      <c r="F735" t="s">
        <v>13406</v>
      </c>
      <c r="G735" t="s">
        <v>74</v>
      </c>
      <c r="H735" t="s">
        <v>74</v>
      </c>
      <c r="I735" t="s">
        <v>13407</v>
      </c>
      <c r="J735" t="s">
        <v>13408</v>
      </c>
      <c r="K735" t="s">
        <v>74</v>
      </c>
      <c r="L735" t="s">
        <v>74</v>
      </c>
      <c r="M735" t="s">
        <v>78</v>
      </c>
      <c r="N735" t="s">
        <v>111</v>
      </c>
      <c r="O735" t="s">
        <v>13409</v>
      </c>
      <c r="P735" t="s">
        <v>13410</v>
      </c>
      <c r="Q735" t="s">
        <v>13411</v>
      </c>
      <c r="R735" t="s">
        <v>74</v>
      </c>
      <c r="S735" t="s">
        <v>74</v>
      </c>
      <c r="T735" t="s">
        <v>74</v>
      </c>
      <c r="U735" t="s">
        <v>13412</v>
      </c>
      <c r="V735" t="s">
        <v>13413</v>
      </c>
      <c r="W735" t="s">
        <v>13414</v>
      </c>
      <c r="X735" t="s">
        <v>13415</v>
      </c>
      <c r="Y735" t="s">
        <v>13416</v>
      </c>
      <c r="Z735" t="s">
        <v>74</v>
      </c>
      <c r="AA735" t="s">
        <v>74</v>
      </c>
      <c r="AB735" t="s">
        <v>74</v>
      </c>
      <c r="AC735" t="s">
        <v>13417</v>
      </c>
      <c r="AD735" t="s">
        <v>13418</v>
      </c>
      <c r="AE735" t="s">
        <v>13419</v>
      </c>
      <c r="AF735" t="s">
        <v>74</v>
      </c>
      <c r="AG735">
        <v>13</v>
      </c>
      <c r="AH735">
        <v>3</v>
      </c>
      <c r="AI735">
        <v>3</v>
      </c>
      <c r="AJ735">
        <v>0</v>
      </c>
      <c r="AK735">
        <v>1</v>
      </c>
      <c r="AL735" t="s">
        <v>13420</v>
      </c>
      <c r="AM735" t="s">
        <v>4071</v>
      </c>
      <c r="AN735" t="s">
        <v>13421</v>
      </c>
      <c r="AO735" t="s">
        <v>13422</v>
      </c>
      <c r="AP735" t="s">
        <v>74</v>
      </c>
      <c r="AQ735" t="s">
        <v>74</v>
      </c>
      <c r="AR735" t="s">
        <v>13423</v>
      </c>
      <c r="AS735" t="s">
        <v>13424</v>
      </c>
      <c r="AT735" t="s">
        <v>74</v>
      </c>
      <c r="AU735">
        <v>2010</v>
      </c>
      <c r="AV735">
        <v>49</v>
      </c>
      <c r="AW735">
        <v>7</v>
      </c>
      <c r="AX735">
        <v>2</v>
      </c>
      <c r="AY735" t="s">
        <v>74</v>
      </c>
      <c r="AZ735" t="s">
        <v>74</v>
      </c>
      <c r="BA735" t="s">
        <v>74</v>
      </c>
      <c r="BB735" t="s">
        <v>74</v>
      </c>
      <c r="BC735" t="s">
        <v>74</v>
      </c>
      <c r="BD735" t="s">
        <v>13425</v>
      </c>
      <c r="BE735" t="s">
        <v>13426</v>
      </c>
      <c r="BF735" t="str">
        <f>HYPERLINK("http://dx.doi.org/10.1143/JJAP.49.07HG14","http://dx.doi.org/10.1143/JJAP.49.07HG14")</f>
        <v>http://dx.doi.org/10.1143/JJAP.49.07HG14</v>
      </c>
      <c r="BG735" t="s">
        <v>74</v>
      </c>
      <c r="BH735" t="s">
        <v>74</v>
      </c>
      <c r="BI735">
        <v>6</v>
      </c>
      <c r="BJ735" t="s">
        <v>13427</v>
      </c>
      <c r="BK735" t="s">
        <v>13428</v>
      </c>
      <c r="BL735" t="s">
        <v>4834</v>
      </c>
      <c r="BM735" t="s">
        <v>13429</v>
      </c>
      <c r="BN735" t="s">
        <v>74</v>
      </c>
      <c r="BO735" t="s">
        <v>74</v>
      </c>
      <c r="BP735" t="s">
        <v>74</v>
      </c>
      <c r="BQ735" t="s">
        <v>74</v>
      </c>
      <c r="BR735" t="s">
        <v>105</v>
      </c>
      <c r="BS735" t="s">
        <v>13430</v>
      </c>
      <c r="BT735" t="str">
        <f>HYPERLINK("https%3A%2F%2Fwww.webofscience.com%2Fwos%2Fwoscc%2Ffull-record%2FWOS:000280383800129","View Full Record in Web of Science")</f>
        <v>View Full Record in Web of Science</v>
      </c>
    </row>
    <row r="736" spans="1:72" x14ac:dyDescent="0.15">
      <c r="A736" t="s">
        <v>8257</v>
      </c>
      <c r="B736" t="s">
        <v>13431</v>
      </c>
      <c r="C736" t="s">
        <v>74</v>
      </c>
      <c r="D736" t="s">
        <v>13432</v>
      </c>
      <c r="E736" t="s">
        <v>74</v>
      </c>
      <c r="F736" t="s">
        <v>13433</v>
      </c>
      <c r="G736" t="s">
        <v>74</v>
      </c>
      <c r="H736" t="s">
        <v>74</v>
      </c>
      <c r="I736" t="s">
        <v>13434</v>
      </c>
      <c r="J736" t="s">
        <v>13435</v>
      </c>
      <c r="K736" t="s">
        <v>12409</v>
      </c>
      <c r="L736" t="s">
        <v>74</v>
      </c>
      <c r="M736" t="s">
        <v>78</v>
      </c>
      <c r="N736" t="s">
        <v>8264</v>
      </c>
      <c r="O736" t="s">
        <v>13436</v>
      </c>
      <c r="P736" t="s">
        <v>13437</v>
      </c>
      <c r="Q736" t="s">
        <v>13438</v>
      </c>
      <c r="R736" t="s">
        <v>74</v>
      </c>
      <c r="S736" t="s">
        <v>74</v>
      </c>
      <c r="T736" t="s">
        <v>13439</v>
      </c>
      <c r="U736" t="s">
        <v>74</v>
      </c>
      <c r="V736" t="s">
        <v>13440</v>
      </c>
      <c r="W736" t="s">
        <v>13441</v>
      </c>
      <c r="X736" t="s">
        <v>13442</v>
      </c>
      <c r="Y736" t="s">
        <v>13443</v>
      </c>
      <c r="Z736" t="s">
        <v>13444</v>
      </c>
      <c r="AA736" t="s">
        <v>74</v>
      </c>
      <c r="AB736" t="s">
        <v>74</v>
      </c>
      <c r="AC736" t="s">
        <v>74</v>
      </c>
      <c r="AD736" t="s">
        <v>74</v>
      </c>
      <c r="AE736" t="s">
        <v>74</v>
      </c>
      <c r="AF736" t="s">
        <v>74</v>
      </c>
      <c r="AG736">
        <v>5</v>
      </c>
      <c r="AH736">
        <v>1</v>
      </c>
      <c r="AI736">
        <v>1</v>
      </c>
      <c r="AJ736">
        <v>0</v>
      </c>
      <c r="AK736">
        <v>4</v>
      </c>
      <c r="AL736" t="s">
        <v>8999</v>
      </c>
      <c r="AM736" t="s">
        <v>9000</v>
      </c>
      <c r="AN736" t="s">
        <v>12421</v>
      </c>
      <c r="AO736" t="s">
        <v>12422</v>
      </c>
      <c r="AP736" t="s">
        <v>74</v>
      </c>
      <c r="AQ736" t="s">
        <v>74</v>
      </c>
      <c r="AR736" t="s">
        <v>12423</v>
      </c>
      <c r="AS736" t="s">
        <v>74</v>
      </c>
      <c r="AT736" t="s">
        <v>74</v>
      </c>
      <c r="AU736">
        <v>2010</v>
      </c>
      <c r="AV736">
        <v>38</v>
      </c>
      <c r="AW736" t="s">
        <v>74</v>
      </c>
      <c r="AX736">
        <v>2</v>
      </c>
      <c r="AY736" t="s">
        <v>74</v>
      </c>
      <c r="AZ736" t="s">
        <v>74</v>
      </c>
      <c r="BA736" t="s">
        <v>74</v>
      </c>
      <c r="BB736">
        <v>592</v>
      </c>
      <c r="BC736">
        <v>597</v>
      </c>
      <c r="BD736" t="s">
        <v>74</v>
      </c>
      <c r="BE736" t="s">
        <v>74</v>
      </c>
      <c r="BF736" t="s">
        <v>74</v>
      </c>
      <c r="BG736" t="s">
        <v>74</v>
      </c>
      <c r="BH736" t="s">
        <v>74</v>
      </c>
      <c r="BI736">
        <v>6</v>
      </c>
      <c r="BJ736" t="s">
        <v>12424</v>
      </c>
      <c r="BK736" t="s">
        <v>8281</v>
      </c>
      <c r="BL736" t="s">
        <v>12425</v>
      </c>
      <c r="BM736" t="s">
        <v>13445</v>
      </c>
      <c r="BN736" t="s">
        <v>74</v>
      </c>
      <c r="BO736" t="s">
        <v>74</v>
      </c>
      <c r="BP736" t="s">
        <v>74</v>
      </c>
      <c r="BQ736" t="s">
        <v>74</v>
      </c>
      <c r="BR736" t="s">
        <v>105</v>
      </c>
      <c r="BS736" t="s">
        <v>13446</v>
      </c>
      <c r="BT736" t="str">
        <f>HYPERLINK("https%3A%2F%2Fwww.webofscience.com%2Fwos%2Fwoscc%2Ffull-record%2FWOS:000358220500108","View Full Record in Web of Science")</f>
        <v>View Full Record in Web of Science</v>
      </c>
    </row>
    <row r="737" spans="1:72" x14ac:dyDescent="0.15">
      <c r="A737" t="s">
        <v>72</v>
      </c>
      <c r="B737" t="s">
        <v>13447</v>
      </c>
      <c r="C737" t="s">
        <v>74</v>
      </c>
      <c r="D737" t="s">
        <v>74</v>
      </c>
      <c r="E737" t="s">
        <v>74</v>
      </c>
      <c r="F737" t="s">
        <v>13448</v>
      </c>
      <c r="G737" t="s">
        <v>74</v>
      </c>
      <c r="H737" t="s">
        <v>74</v>
      </c>
      <c r="I737" t="s">
        <v>13449</v>
      </c>
      <c r="J737" t="s">
        <v>4254</v>
      </c>
      <c r="K737" t="s">
        <v>74</v>
      </c>
      <c r="L737" t="s">
        <v>74</v>
      </c>
      <c r="M737" t="s">
        <v>78</v>
      </c>
      <c r="N737" t="s">
        <v>79</v>
      </c>
      <c r="O737" t="s">
        <v>74</v>
      </c>
      <c r="P737" t="s">
        <v>74</v>
      </c>
      <c r="Q737" t="s">
        <v>74</v>
      </c>
      <c r="R737" t="s">
        <v>74</v>
      </c>
      <c r="S737" t="s">
        <v>74</v>
      </c>
      <c r="T737" t="s">
        <v>74</v>
      </c>
      <c r="U737" t="s">
        <v>13450</v>
      </c>
      <c r="V737" t="s">
        <v>13451</v>
      </c>
      <c r="W737" t="s">
        <v>13452</v>
      </c>
      <c r="X737" t="s">
        <v>13453</v>
      </c>
      <c r="Y737" t="s">
        <v>13454</v>
      </c>
      <c r="Z737" t="s">
        <v>13455</v>
      </c>
      <c r="AA737" t="s">
        <v>13456</v>
      </c>
      <c r="AB737" t="s">
        <v>13457</v>
      </c>
      <c r="AC737" t="s">
        <v>13458</v>
      </c>
      <c r="AD737" t="s">
        <v>13459</v>
      </c>
      <c r="AE737" t="s">
        <v>13460</v>
      </c>
      <c r="AF737" t="s">
        <v>74</v>
      </c>
      <c r="AG737">
        <v>47</v>
      </c>
      <c r="AH737">
        <v>19</v>
      </c>
      <c r="AI737">
        <v>26</v>
      </c>
      <c r="AJ737">
        <v>1</v>
      </c>
      <c r="AK737">
        <v>18</v>
      </c>
      <c r="AL737" t="s">
        <v>1824</v>
      </c>
      <c r="AM737" t="s">
        <v>1825</v>
      </c>
      <c r="AN737" t="s">
        <v>4266</v>
      </c>
      <c r="AO737" t="s">
        <v>4267</v>
      </c>
      <c r="AP737" t="s">
        <v>74</v>
      </c>
      <c r="AQ737" t="s">
        <v>74</v>
      </c>
      <c r="AR737" t="s">
        <v>4269</v>
      </c>
      <c r="AS737" t="s">
        <v>4270</v>
      </c>
      <c r="AT737" t="s">
        <v>8958</v>
      </c>
      <c r="AU737">
        <v>2010</v>
      </c>
      <c r="AV737">
        <v>27</v>
      </c>
      <c r="AW737">
        <v>1</v>
      </c>
      <c r="AX737" t="s">
        <v>74</v>
      </c>
      <c r="AY737" t="s">
        <v>74</v>
      </c>
      <c r="AZ737" t="s">
        <v>74</v>
      </c>
      <c r="BA737" t="s">
        <v>74</v>
      </c>
      <c r="BB737">
        <v>173</v>
      </c>
      <c r="BC737">
        <v>191</v>
      </c>
      <c r="BD737" t="s">
        <v>74</v>
      </c>
      <c r="BE737" t="s">
        <v>13461</v>
      </c>
      <c r="BF737" t="str">
        <f>HYPERLINK("http://dx.doi.org/10.1175/2009JTECHO684.1","http://dx.doi.org/10.1175/2009JTECHO684.1")</f>
        <v>http://dx.doi.org/10.1175/2009JTECHO684.1</v>
      </c>
      <c r="BG737" t="s">
        <v>74</v>
      </c>
      <c r="BH737" t="s">
        <v>74</v>
      </c>
      <c r="BI737">
        <v>19</v>
      </c>
      <c r="BJ737" t="s">
        <v>4272</v>
      </c>
      <c r="BK737" t="s">
        <v>102</v>
      </c>
      <c r="BL737" t="s">
        <v>4273</v>
      </c>
      <c r="BM737" t="s">
        <v>13462</v>
      </c>
      <c r="BN737" t="s">
        <v>74</v>
      </c>
      <c r="BO737" t="s">
        <v>5913</v>
      </c>
      <c r="BP737" t="s">
        <v>74</v>
      </c>
      <c r="BQ737" t="s">
        <v>74</v>
      </c>
      <c r="BR737" t="s">
        <v>105</v>
      </c>
      <c r="BS737" t="s">
        <v>13463</v>
      </c>
      <c r="BT737" t="str">
        <f>HYPERLINK("https%3A%2F%2Fwww.webofscience.com%2Fwos%2Fwoscc%2Ffull-record%2FWOS:000273914800013","View Full Record in Web of Science")</f>
        <v>View Full Record in Web of Science</v>
      </c>
    </row>
    <row r="738" spans="1:72" x14ac:dyDescent="0.15">
      <c r="A738" t="s">
        <v>72</v>
      </c>
      <c r="B738" t="s">
        <v>13464</v>
      </c>
      <c r="C738" t="s">
        <v>74</v>
      </c>
      <c r="D738" t="s">
        <v>74</v>
      </c>
      <c r="E738" t="s">
        <v>74</v>
      </c>
      <c r="F738" t="s">
        <v>13465</v>
      </c>
      <c r="G738" t="s">
        <v>74</v>
      </c>
      <c r="H738" t="s">
        <v>74</v>
      </c>
      <c r="I738" t="s">
        <v>13466</v>
      </c>
      <c r="J738" t="s">
        <v>1758</v>
      </c>
      <c r="K738" t="s">
        <v>74</v>
      </c>
      <c r="L738" t="s">
        <v>74</v>
      </c>
      <c r="M738" t="s">
        <v>78</v>
      </c>
      <c r="N738" t="s">
        <v>79</v>
      </c>
      <c r="O738" t="s">
        <v>74</v>
      </c>
      <c r="P738" t="s">
        <v>74</v>
      </c>
      <c r="Q738" t="s">
        <v>74</v>
      </c>
      <c r="R738" t="s">
        <v>74</v>
      </c>
      <c r="S738" t="s">
        <v>74</v>
      </c>
      <c r="T738" t="s">
        <v>13467</v>
      </c>
      <c r="U738" t="s">
        <v>13468</v>
      </c>
      <c r="V738" t="s">
        <v>13469</v>
      </c>
      <c r="W738" t="s">
        <v>13470</v>
      </c>
      <c r="X738" t="s">
        <v>13471</v>
      </c>
      <c r="Y738" t="s">
        <v>13472</v>
      </c>
      <c r="Z738" t="s">
        <v>3445</v>
      </c>
      <c r="AA738" t="s">
        <v>13473</v>
      </c>
      <c r="AB738" t="s">
        <v>13474</v>
      </c>
      <c r="AC738" t="s">
        <v>13475</v>
      </c>
      <c r="AD738" t="s">
        <v>13476</v>
      </c>
      <c r="AE738" t="s">
        <v>13477</v>
      </c>
      <c r="AF738" t="s">
        <v>74</v>
      </c>
      <c r="AG738">
        <v>60</v>
      </c>
      <c r="AH738">
        <v>63</v>
      </c>
      <c r="AI738">
        <v>69</v>
      </c>
      <c r="AJ738">
        <v>1</v>
      </c>
      <c r="AK738">
        <v>21</v>
      </c>
      <c r="AL738" t="s">
        <v>991</v>
      </c>
      <c r="AM738" t="s">
        <v>992</v>
      </c>
      <c r="AN738" t="s">
        <v>993</v>
      </c>
      <c r="AO738" t="s">
        <v>1771</v>
      </c>
      <c r="AP738" t="s">
        <v>1772</v>
      </c>
      <c r="AQ738" t="s">
        <v>74</v>
      </c>
      <c r="AR738" t="s">
        <v>1773</v>
      </c>
      <c r="AS738" t="s">
        <v>1774</v>
      </c>
      <c r="AT738" t="s">
        <v>8958</v>
      </c>
      <c r="AU738">
        <v>2010</v>
      </c>
      <c r="AV738">
        <v>37</v>
      </c>
      <c r="AW738">
        <v>1</v>
      </c>
      <c r="AX738" t="s">
        <v>74</v>
      </c>
      <c r="AY738" t="s">
        <v>74</v>
      </c>
      <c r="AZ738" t="s">
        <v>74</v>
      </c>
      <c r="BA738" t="s">
        <v>74</v>
      </c>
      <c r="BB738">
        <v>103</v>
      </c>
      <c r="BC738">
        <v>119</v>
      </c>
      <c r="BD738" t="s">
        <v>74</v>
      </c>
      <c r="BE738" t="s">
        <v>13478</v>
      </c>
      <c r="BF738" t="str">
        <f>HYPERLINK("http://dx.doi.org/10.1111/j.1365-2699.2009.02178.x","http://dx.doi.org/10.1111/j.1365-2699.2009.02178.x")</f>
        <v>http://dx.doi.org/10.1111/j.1365-2699.2009.02178.x</v>
      </c>
      <c r="BG738" t="s">
        <v>74</v>
      </c>
      <c r="BH738" t="s">
        <v>74</v>
      </c>
      <c r="BI738">
        <v>17</v>
      </c>
      <c r="BJ738" t="s">
        <v>1776</v>
      </c>
      <c r="BK738" t="s">
        <v>102</v>
      </c>
      <c r="BL738" t="s">
        <v>1777</v>
      </c>
      <c r="BM738" t="s">
        <v>13479</v>
      </c>
      <c r="BN738" t="s">
        <v>74</v>
      </c>
      <c r="BO738" t="s">
        <v>74</v>
      </c>
      <c r="BP738" t="s">
        <v>74</v>
      </c>
      <c r="BQ738" t="s">
        <v>74</v>
      </c>
      <c r="BR738" t="s">
        <v>105</v>
      </c>
      <c r="BS738" t="s">
        <v>13480</v>
      </c>
      <c r="BT738" t="str">
        <f>HYPERLINK("https%3A%2F%2Fwww.webofscience.com%2Fwos%2Fwoscc%2Ffull-record%2FWOS:000272885400011","View Full Record in Web of Science")</f>
        <v>View Full Record in Web of Science</v>
      </c>
    </row>
    <row r="739" spans="1:72" x14ac:dyDescent="0.15">
      <c r="A739" t="s">
        <v>72</v>
      </c>
      <c r="B739" t="s">
        <v>13481</v>
      </c>
      <c r="C739" t="s">
        <v>74</v>
      </c>
      <c r="D739" t="s">
        <v>74</v>
      </c>
      <c r="E739" t="s">
        <v>74</v>
      </c>
      <c r="F739" t="s">
        <v>13482</v>
      </c>
      <c r="G739" t="s">
        <v>74</v>
      </c>
      <c r="H739" t="s">
        <v>74</v>
      </c>
      <c r="I739" t="s">
        <v>13483</v>
      </c>
      <c r="J739" t="s">
        <v>1812</v>
      </c>
      <c r="K739" t="s">
        <v>74</v>
      </c>
      <c r="L739" t="s">
        <v>74</v>
      </c>
      <c r="M739" t="s">
        <v>78</v>
      </c>
      <c r="N739" t="s">
        <v>79</v>
      </c>
      <c r="O739" t="s">
        <v>74</v>
      </c>
      <c r="P739" t="s">
        <v>74</v>
      </c>
      <c r="Q739" t="s">
        <v>74</v>
      </c>
      <c r="R739" t="s">
        <v>74</v>
      </c>
      <c r="S739" t="s">
        <v>74</v>
      </c>
      <c r="T739" t="s">
        <v>74</v>
      </c>
      <c r="U739" t="s">
        <v>13484</v>
      </c>
      <c r="V739" t="s">
        <v>13485</v>
      </c>
      <c r="W739" t="s">
        <v>13486</v>
      </c>
      <c r="X739" t="s">
        <v>13487</v>
      </c>
      <c r="Y739" t="s">
        <v>13488</v>
      </c>
      <c r="Z739" t="s">
        <v>13489</v>
      </c>
      <c r="AA739" t="s">
        <v>13490</v>
      </c>
      <c r="AB739" t="s">
        <v>13491</v>
      </c>
      <c r="AC739" t="s">
        <v>74</v>
      </c>
      <c r="AD739" t="s">
        <v>74</v>
      </c>
      <c r="AE739" t="s">
        <v>74</v>
      </c>
      <c r="AF739" t="s">
        <v>74</v>
      </c>
      <c r="AG739">
        <v>23</v>
      </c>
      <c r="AH739">
        <v>31</v>
      </c>
      <c r="AI739">
        <v>33</v>
      </c>
      <c r="AJ739">
        <v>1</v>
      </c>
      <c r="AK739">
        <v>15</v>
      </c>
      <c r="AL739" t="s">
        <v>1824</v>
      </c>
      <c r="AM739" t="s">
        <v>1825</v>
      </c>
      <c r="AN739" t="s">
        <v>4266</v>
      </c>
      <c r="AO739" t="s">
        <v>1827</v>
      </c>
      <c r="AP739" t="s">
        <v>1828</v>
      </c>
      <c r="AQ739" t="s">
        <v>74</v>
      </c>
      <c r="AR739" t="s">
        <v>1829</v>
      </c>
      <c r="AS739" t="s">
        <v>1830</v>
      </c>
      <c r="AT739" t="s">
        <v>8958</v>
      </c>
      <c r="AU739">
        <v>2010</v>
      </c>
      <c r="AV739">
        <v>23</v>
      </c>
      <c r="AW739">
        <v>1</v>
      </c>
      <c r="AX739" t="s">
        <v>74</v>
      </c>
      <c r="AY739" t="s">
        <v>74</v>
      </c>
      <c r="AZ739" t="s">
        <v>74</v>
      </c>
      <c r="BA739" t="s">
        <v>74</v>
      </c>
      <c r="BB739">
        <v>189</v>
      </c>
      <c r="BC739">
        <v>196</v>
      </c>
      <c r="BD739" t="s">
        <v>74</v>
      </c>
      <c r="BE739" t="s">
        <v>13492</v>
      </c>
      <c r="BF739" t="str">
        <f>HYPERLINK("http://dx.doi.org/10.1175/2009JCLI3074.1","http://dx.doi.org/10.1175/2009JCLI3074.1")</f>
        <v>http://dx.doi.org/10.1175/2009JCLI3074.1</v>
      </c>
      <c r="BG739" t="s">
        <v>74</v>
      </c>
      <c r="BH739" t="s">
        <v>74</v>
      </c>
      <c r="BI739">
        <v>8</v>
      </c>
      <c r="BJ739" t="s">
        <v>258</v>
      </c>
      <c r="BK739" t="s">
        <v>102</v>
      </c>
      <c r="BL739" t="s">
        <v>258</v>
      </c>
      <c r="BM739" t="s">
        <v>13493</v>
      </c>
      <c r="BN739" t="s">
        <v>74</v>
      </c>
      <c r="BO739" t="s">
        <v>13494</v>
      </c>
      <c r="BP739" t="s">
        <v>74</v>
      </c>
      <c r="BQ739" t="s">
        <v>74</v>
      </c>
      <c r="BR739" t="s">
        <v>105</v>
      </c>
      <c r="BS739" t="s">
        <v>13495</v>
      </c>
      <c r="BT739" t="str">
        <f>HYPERLINK("https%3A%2F%2Fwww.webofscience.com%2Fwos%2Fwoscc%2Ffull-record%2FWOS:000273361000013","View Full Record in Web of Science")</f>
        <v>View Full Record in Web of Science</v>
      </c>
    </row>
    <row r="740" spans="1:72" x14ac:dyDescent="0.15">
      <c r="A740" t="s">
        <v>72</v>
      </c>
      <c r="B740" t="s">
        <v>13496</v>
      </c>
      <c r="C740" t="s">
        <v>74</v>
      </c>
      <c r="D740" t="s">
        <v>74</v>
      </c>
      <c r="E740" t="s">
        <v>74</v>
      </c>
      <c r="F740" t="s">
        <v>13497</v>
      </c>
      <c r="G740" t="s">
        <v>74</v>
      </c>
      <c r="H740" t="s">
        <v>74</v>
      </c>
      <c r="I740" t="s">
        <v>13498</v>
      </c>
      <c r="J740" t="s">
        <v>1812</v>
      </c>
      <c r="K740" t="s">
        <v>74</v>
      </c>
      <c r="L740" t="s">
        <v>74</v>
      </c>
      <c r="M740" t="s">
        <v>78</v>
      </c>
      <c r="N740" t="s">
        <v>79</v>
      </c>
      <c r="O740" t="s">
        <v>74</v>
      </c>
      <c r="P740" t="s">
        <v>74</v>
      </c>
      <c r="Q740" t="s">
        <v>74</v>
      </c>
      <c r="R740" t="s">
        <v>74</v>
      </c>
      <c r="S740" t="s">
        <v>74</v>
      </c>
      <c r="T740" t="s">
        <v>74</v>
      </c>
      <c r="U740" t="s">
        <v>13499</v>
      </c>
      <c r="V740" t="s">
        <v>13500</v>
      </c>
      <c r="W740" t="s">
        <v>13501</v>
      </c>
      <c r="X740" t="s">
        <v>13502</v>
      </c>
      <c r="Y740" t="s">
        <v>13503</v>
      </c>
      <c r="Z740" t="s">
        <v>13504</v>
      </c>
      <c r="AA740" t="s">
        <v>13505</v>
      </c>
      <c r="AB740" t="s">
        <v>13506</v>
      </c>
      <c r="AC740" t="s">
        <v>13507</v>
      </c>
      <c r="AD740" t="s">
        <v>13508</v>
      </c>
      <c r="AE740" t="s">
        <v>13509</v>
      </c>
      <c r="AF740" t="s">
        <v>74</v>
      </c>
      <c r="AG740">
        <v>40</v>
      </c>
      <c r="AH740">
        <v>59</v>
      </c>
      <c r="AI740">
        <v>64</v>
      </c>
      <c r="AJ740">
        <v>0</v>
      </c>
      <c r="AK740">
        <v>8</v>
      </c>
      <c r="AL740" t="s">
        <v>1824</v>
      </c>
      <c r="AM740" t="s">
        <v>1825</v>
      </c>
      <c r="AN740" t="s">
        <v>1826</v>
      </c>
      <c r="AO740" t="s">
        <v>1827</v>
      </c>
      <c r="AP740" t="s">
        <v>1828</v>
      </c>
      <c r="AQ740" t="s">
        <v>74</v>
      </c>
      <c r="AR740" t="s">
        <v>1829</v>
      </c>
      <c r="AS740" t="s">
        <v>1830</v>
      </c>
      <c r="AT740" t="s">
        <v>8958</v>
      </c>
      <c r="AU740">
        <v>2010</v>
      </c>
      <c r="AV740">
        <v>23</v>
      </c>
      <c r="AW740">
        <v>1</v>
      </c>
      <c r="AX740" t="s">
        <v>74</v>
      </c>
      <c r="AY740" t="s">
        <v>74</v>
      </c>
      <c r="AZ740" t="s">
        <v>74</v>
      </c>
      <c r="BA740" t="s">
        <v>74</v>
      </c>
      <c r="BB740">
        <v>197</v>
      </c>
      <c r="BC740">
        <v>206</v>
      </c>
      <c r="BD740" t="s">
        <v>74</v>
      </c>
      <c r="BE740" t="s">
        <v>13510</v>
      </c>
      <c r="BF740" t="str">
        <f>HYPERLINK("http://dx.doi.org/10.1175/2009JCLI3081.1","http://dx.doi.org/10.1175/2009JCLI3081.1")</f>
        <v>http://dx.doi.org/10.1175/2009JCLI3081.1</v>
      </c>
      <c r="BG740" t="s">
        <v>74</v>
      </c>
      <c r="BH740" t="s">
        <v>74</v>
      </c>
      <c r="BI740">
        <v>10</v>
      </c>
      <c r="BJ740" t="s">
        <v>258</v>
      </c>
      <c r="BK740" t="s">
        <v>102</v>
      </c>
      <c r="BL740" t="s">
        <v>258</v>
      </c>
      <c r="BM740" t="s">
        <v>13493</v>
      </c>
      <c r="BN740" t="s">
        <v>74</v>
      </c>
      <c r="BO740" t="s">
        <v>3033</v>
      </c>
      <c r="BP740" t="s">
        <v>74</v>
      </c>
      <c r="BQ740" t="s">
        <v>74</v>
      </c>
      <c r="BR740" t="s">
        <v>105</v>
      </c>
      <c r="BS740" t="s">
        <v>13511</v>
      </c>
      <c r="BT740" t="str">
        <f>HYPERLINK("https%3A%2F%2Fwww.webofscience.com%2Fwos%2Fwoscc%2Ffull-record%2FWOS:000273361000014","View Full Record in Web of Science")</f>
        <v>View Full Record in Web of Science</v>
      </c>
    </row>
    <row r="741" spans="1:72" x14ac:dyDescent="0.15">
      <c r="A741" t="s">
        <v>72</v>
      </c>
      <c r="B741" t="s">
        <v>13512</v>
      </c>
      <c r="C741" t="s">
        <v>74</v>
      </c>
      <c r="D741" t="s">
        <v>74</v>
      </c>
      <c r="E741" t="s">
        <v>74</v>
      </c>
      <c r="F741" t="s">
        <v>13513</v>
      </c>
      <c r="G741" t="s">
        <v>74</v>
      </c>
      <c r="H741" t="s">
        <v>74</v>
      </c>
      <c r="I741" t="s">
        <v>13514</v>
      </c>
      <c r="J741" t="s">
        <v>1812</v>
      </c>
      <c r="K741" t="s">
        <v>74</v>
      </c>
      <c r="L741" t="s">
        <v>74</v>
      </c>
      <c r="M741" t="s">
        <v>78</v>
      </c>
      <c r="N741" t="s">
        <v>79</v>
      </c>
      <c r="O741" t="s">
        <v>74</v>
      </c>
      <c r="P741" t="s">
        <v>74</v>
      </c>
      <c r="Q741" t="s">
        <v>74</v>
      </c>
      <c r="R741" t="s">
        <v>74</v>
      </c>
      <c r="S741" t="s">
        <v>74</v>
      </c>
      <c r="T741" t="s">
        <v>74</v>
      </c>
      <c r="U741" t="s">
        <v>13515</v>
      </c>
      <c r="V741" t="s">
        <v>13516</v>
      </c>
      <c r="W741" t="s">
        <v>13517</v>
      </c>
      <c r="X741" t="s">
        <v>13518</v>
      </c>
      <c r="Y741" t="s">
        <v>13519</v>
      </c>
      <c r="Z741" t="s">
        <v>13520</v>
      </c>
      <c r="AA741" t="s">
        <v>13521</v>
      </c>
      <c r="AB741" t="s">
        <v>13522</v>
      </c>
      <c r="AC741" t="s">
        <v>13523</v>
      </c>
      <c r="AD741" t="s">
        <v>13524</v>
      </c>
      <c r="AE741" t="s">
        <v>13525</v>
      </c>
      <c r="AF741" t="s">
        <v>74</v>
      </c>
      <c r="AG741">
        <v>42</v>
      </c>
      <c r="AH741">
        <v>75</v>
      </c>
      <c r="AI741">
        <v>83</v>
      </c>
      <c r="AJ741">
        <v>0</v>
      </c>
      <c r="AK741">
        <v>27</v>
      </c>
      <c r="AL741" t="s">
        <v>1824</v>
      </c>
      <c r="AM741" t="s">
        <v>1825</v>
      </c>
      <c r="AN741" t="s">
        <v>4266</v>
      </c>
      <c r="AO741" t="s">
        <v>1827</v>
      </c>
      <c r="AP741" t="s">
        <v>1828</v>
      </c>
      <c r="AQ741" t="s">
        <v>74</v>
      </c>
      <c r="AR741" t="s">
        <v>1829</v>
      </c>
      <c r="AS741" t="s">
        <v>1830</v>
      </c>
      <c r="AT741" t="s">
        <v>8958</v>
      </c>
      <c r="AU741">
        <v>2010</v>
      </c>
      <c r="AV741">
        <v>23</v>
      </c>
      <c r="AW741">
        <v>2</v>
      </c>
      <c r="AX741" t="s">
        <v>74</v>
      </c>
      <c r="AY741" t="s">
        <v>74</v>
      </c>
      <c r="AZ741" t="s">
        <v>74</v>
      </c>
      <c r="BA741" t="s">
        <v>74</v>
      </c>
      <c r="BB741">
        <v>238</v>
      </c>
      <c r="BC741">
        <v>254</v>
      </c>
      <c r="BD741" t="s">
        <v>74</v>
      </c>
      <c r="BE741" t="s">
        <v>13526</v>
      </c>
      <c r="BF741" t="str">
        <f>HYPERLINK("http://dx.doi.org/10.1175/2009JCLI2443.1","http://dx.doi.org/10.1175/2009JCLI2443.1")</f>
        <v>http://dx.doi.org/10.1175/2009JCLI2443.1</v>
      </c>
      <c r="BG741" t="s">
        <v>74</v>
      </c>
      <c r="BH741" t="s">
        <v>74</v>
      </c>
      <c r="BI741">
        <v>17</v>
      </c>
      <c r="BJ741" t="s">
        <v>258</v>
      </c>
      <c r="BK741" t="s">
        <v>102</v>
      </c>
      <c r="BL741" t="s">
        <v>258</v>
      </c>
      <c r="BM741" t="s">
        <v>13527</v>
      </c>
      <c r="BN741" t="s">
        <v>74</v>
      </c>
      <c r="BO741" t="s">
        <v>1807</v>
      </c>
      <c r="BP741" t="s">
        <v>74</v>
      </c>
      <c r="BQ741" t="s">
        <v>74</v>
      </c>
      <c r="BR741" t="s">
        <v>105</v>
      </c>
      <c r="BS741" t="s">
        <v>13528</v>
      </c>
      <c r="BT741" t="str">
        <f>HYPERLINK("https%3A%2F%2Fwww.webofscience.com%2Fwos%2Fwoscc%2Ffull-record%2FWOS:000273555500003","View Full Record in Web of Science")</f>
        <v>View Full Record in Web of Science</v>
      </c>
    </row>
    <row r="742" spans="1:72" x14ac:dyDescent="0.15">
      <c r="A742" t="s">
        <v>72</v>
      </c>
      <c r="B742" t="s">
        <v>13529</v>
      </c>
      <c r="C742" t="s">
        <v>74</v>
      </c>
      <c r="D742" t="s">
        <v>74</v>
      </c>
      <c r="E742" t="s">
        <v>74</v>
      </c>
      <c r="F742" t="s">
        <v>13530</v>
      </c>
      <c r="G742" t="s">
        <v>74</v>
      </c>
      <c r="H742" t="s">
        <v>74</v>
      </c>
      <c r="I742" t="s">
        <v>13531</v>
      </c>
      <c r="J742" t="s">
        <v>13532</v>
      </c>
      <c r="K742" t="s">
        <v>74</v>
      </c>
      <c r="L742" t="s">
        <v>74</v>
      </c>
      <c r="M742" t="s">
        <v>78</v>
      </c>
      <c r="N742" t="s">
        <v>79</v>
      </c>
      <c r="O742" t="s">
        <v>74</v>
      </c>
      <c r="P742" t="s">
        <v>74</v>
      </c>
      <c r="Q742" t="s">
        <v>74</v>
      </c>
      <c r="R742" t="s">
        <v>74</v>
      </c>
      <c r="S742" t="s">
        <v>74</v>
      </c>
      <c r="T742" t="s">
        <v>13533</v>
      </c>
      <c r="U742" t="s">
        <v>13534</v>
      </c>
      <c r="V742" t="s">
        <v>13535</v>
      </c>
      <c r="W742" t="s">
        <v>13536</v>
      </c>
      <c r="X742" t="s">
        <v>13537</v>
      </c>
      <c r="Y742" t="s">
        <v>13538</v>
      </c>
      <c r="Z742" t="s">
        <v>13539</v>
      </c>
      <c r="AA742" t="s">
        <v>74</v>
      </c>
      <c r="AB742" t="s">
        <v>74</v>
      </c>
      <c r="AC742" t="s">
        <v>13540</v>
      </c>
      <c r="AD742" t="s">
        <v>13541</v>
      </c>
      <c r="AE742" t="s">
        <v>13542</v>
      </c>
      <c r="AF742" t="s">
        <v>74</v>
      </c>
      <c r="AG742">
        <v>31</v>
      </c>
      <c r="AH742">
        <v>7</v>
      </c>
      <c r="AI742">
        <v>9</v>
      </c>
      <c r="AJ742">
        <v>4</v>
      </c>
      <c r="AK742">
        <v>30</v>
      </c>
      <c r="AL742" t="s">
        <v>933</v>
      </c>
      <c r="AM742" t="s">
        <v>934</v>
      </c>
      <c r="AN742" t="s">
        <v>935</v>
      </c>
      <c r="AO742" t="s">
        <v>13543</v>
      </c>
      <c r="AP742" t="s">
        <v>13544</v>
      </c>
      <c r="AQ742" t="s">
        <v>74</v>
      </c>
      <c r="AR742" t="s">
        <v>13545</v>
      </c>
      <c r="AS742" t="s">
        <v>13546</v>
      </c>
      <c r="AT742" t="s">
        <v>74</v>
      </c>
      <c r="AU742">
        <v>2010</v>
      </c>
      <c r="AV742">
        <v>22</v>
      </c>
      <c r="AW742">
        <v>11</v>
      </c>
      <c r="AX742" t="s">
        <v>74</v>
      </c>
      <c r="AY742" t="s">
        <v>74</v>
      </c>
      <c r="AZ742" t="s">
        <v>74</v>
      </c>
      <c r="BA742" t="s">
        <v>74</v>
      </c>
      <c r="BB742">
        <v>1779</v>
      </c>
      <c r="BC742">
        <v>1785</v>
      </c>
      <c r="BD742" t="s">
        <v>74</v>
      </c>
      <c r="BE742" t="s">
        <v>13547</v>
      </c>
      <c r="BF742" t="str">
        <f>HYPERLINK("http://dx.doi.org/10.1016/S1001-0742(09)60319-3","http://dx.doi.org/10.1016/S1001-0742(09)60319-3")</f>
        <v>http://dx.doi.org/10.1016/S1001-0742(09)60319-3</v>
      </c>
      <c r="BG742" t="s">
        <v>74</v>
      </c>
      <c r="BH742" t="s">
        <v>74</v>
      </c>
      <c r="BI742">
        <v>7</v>
      </c>
      <c r="BJ742" t="s">
        <v>4031</v>
      </c>
      <c r="BK742" t="s">
        <v>102</v>
      </c>
      <c r="BL742" t="s">
        <v>1348</v>
      </c>
      <c r="BM742" t="s">
        <v>13548</v>
      </c>
      <c r="BN742">
        <v>21235167</v>
      </c>
      <c r="BO742" t="s">
        <v>74</v>
      </c>
      <c r="BP742" t="s">
        <v>74</v>
      </c>
      <c r="BQ742" t="s">
        <v>74</v>
      </c>
      <c r="BR742" t="s">
        <v>105</v>
      </c>
      <c r="BS742" t="s">
        <v>13549</v>
      </c>
      <c r="BT742" t="str">
        <f>HYPERLINK("https%3A%2F%2Fwww.webofscience.com%2Fwos%2Fwoscc%2Ffull-record%2FWOS:000284562800017","View Full Record in Web of Science")</f>
        <v>View Full Record in Web of Science</v>
      </c>
    </row>
    <row r="743" spans="1:72" x14ac:dyDescent="0.15">
      <c r="A743" t="s">
        <v>72</v>
      </c>
      <c r="B743" t="s">
        <v>13550</v>
      </c>
      <c r="C743" t="s">
        <v>74</v>
      </c>
      <c r="D743" t="s">
        <v>74</v>
      </c>
      <c r="E743" t="s">
        <v>74</v>
      </c>
      <c r="F743" t="s">
        <v>13551</v>
      </c>
      <c r="G743" t="s">
        <v>74</v>
      </c>
      <c r="H743" t="s">
        <v>74</v>
      </c>
      <c r="I743" t="s">
        <v>13552</v>
      </c>
      <c r="J743" t="s">
        <v>3382</v>
      </c>
      <c r="K743" t="s">
        <v>74</v>
      </c>
      <c r="L743" t="s">
        <v>74</v>
      </c>
      <c r="M743" t="s">
        <v>78</v>
      </c>
      <c r="N743" t="s">
        <v>79</v>
      </c>
      <c r="O743" t="s">
        <v>74</v>
      </c>
      <c r="P743" t="s">
        <v>74</v>
      </c>
      <c r="Q743" t="s">
        <v>74</v>
      </c>
      <c r="R743" t="s">
        <v>74</v>
      </c>
      <c r="S743" t="s">
        <v>74</v>
      </c>
      <c r="T743" t="s">
        <v>13553</v>
      </c>
      <c r="U743" t="s">
        <v>13554</v>
      </c>
      <c r="V743" t="s">
        <v>13555</v>
      </c>
      <c r="W743" t="s">
        <v>13556</v>
      </c>
      <c r="X743" t="s">
        <v>13557</v>
      </c>
      <c r="Y743" t="s">
        <v>13558</v>
      </c>
      <c r="Z743" t="s">
        <v>13559</v>
      </c>
      <c r="AA743" t="s">
        <v>74</v>
      </c>
      <c r="AB743" t="s">
        <v>74</v>
      </c>
      <c r="AC743" t="s">
        <v>13560</v>
      </c>
      <c r="AD743" t="s">
        <v>13561</v>
      </c>
      <c r="AE743" t="s">
        <v>13562</v>
      </c>
      <c r="AF743" t="s">
        <v>74</v>
      </c>
      <c r="AG743">
        <v>55</v>
      </c>
      <c r="AH743">
        <v>75</v>
      </c>
      <c r="AI743">
        <v>86</v>
      </c>
      <c r="AJ743">
        <v>0</v>
      </c>
      <c r="AK743">
        <v>29</v>
      </c>
      <c r="AL743" t="s">
        <v>3394</v>
      </c>
      <c r="AM743" t="s">
        <v>1896</v>
      </c>
      <c r="AN743" t="s">
        <v>3395</v>
      </c>
      <c r="AO743" t="s">
        <v>3396</v>
      </c>
      <c r="AP743" t="s">
        <v>3397</v>
      </c>
      <c r="AQ743" t="s">
        <v>74</v>
      </c>
      <c r="AR743" t="s">
        <v>3398</v>
      </c>
      <c r="AS743" t="s">
        <v>3399</v>
      </c>
      <c r="AT743" t="s">
        <v>11860</v>
      </c>
      <c r="AU743">
        <v>2010</v>
      </c>
      <c r="AV743">
        <v>213</v>
      </c>
      <c r="AW743">
        <v>1</v>
      </c>
      <c r="AX743" t="s">
        <v>74</v>
      </c>
      <c r="AY743" t="s">
        <v>74</v>
      </c>
      <c r="AZ743" t="s">
        <v>74</v>
      </c>
      <c r="BA743" t="s">
        <v>74</v>
      </c>
      <c r="BB743">
        <v>108</v>
      </c>
      <c r="BC743">
        <v>117</v>
      </c>
      <c r="BD743" t="s">
        <v>74</v>
      </c>
      <c r="BE743" t="s">
        <v>13563</v>
      </c>
      <c r="BF743" t="str">
        <f>HYPERLINK("http://dx.doi.org/10.1242/jeb.031625","http://dx.doi.org/10.1242/jeb.031625")</f>
        <v>http://dx.doi.org/10.1242/jeb.031625</v>
      </c>
      <c r="BG743" t="s">
        <v>74</v>
      </c>
      <c r="BH743" t="s">
        <v>74</v>
      </c>
      <c r="BI743">
        <v>10</v>
      </c>
      <c r="BJ743" t="s">
        <v>3402</v>
      </c>
      <c r="BK743" t="s">
        <v>102</v>
      </c>
      <c r="BL743" t="s">
        <v>3403</v>
      </c>
      <c r="BM743" t="s">
        <v>13564</v>
      </c>
      <c r="BN743">
        <v>20008367</v>
      </c>
      <c r="BO743" t="s">
        <v>326</v>
      </c>
      <c r="BP743" t="s">
        <v>74</v>
      </c>
      <c r="BQ743" t="s">
        <v>74</v>
      </c>
      <c r="BR743" t="s">
        <v>105</v>
      </c>
      <c r="BS743" t="s">
        <v>13565</v>
      </c>
      <c r="BT743" t="str">
        <f>HYPERLINK("https%3A%2F%2Fwww.webofscience.com%2Fwos%2Fwoscc%2Ffull-record%2FWOS:000272645800022","View Full Record in Web of Science")</f>
        <v>View Full Record in Web of Science</v>
      </c>
    </row>
    <row r="744" spans="1:72" x14ac:dyDescent="0.15">
      <c r="A744" t="s">
        <v>72</v>
      </c>
      <c r="B744" t="s">
        <v>13566</v>
      </c>
      <c r="C744" t="s">
        <v>74</v>
      </c>
      <c r="D744" t="s">
        <v>74</v>
      </c>
      <c r="E744" t="s">
        <v>74</v>
      </c>
      <c r="F744" t="s">
        <v>13567</v>
      </c>
      <c r="G744" t="s">
        <v>74</v>
      </c>
      <c r="H744" t="s">
        <v>74</v>
      </c>
      <c r="I744" t="s">
        <v>13568</v>
      </c>
      <c r="J744" t="s">
        <v>1837</v>
      </c>
      <c r="K744" t="s">
        <v>74</v>
      </c>
      <c r="L744" t="s">
        <v>74</v>
      </c>
      <c r="M744" t="s">
        <v>78</v>
      </c>
      <c r="N744" t="s">
        <v>79</v>
      </c>
      <c r="O744" t="s">
        <v>74</v>
      </c>
      <c r="P744" t="s">
        <v>74</v>
      </c>
      <c r="Q744" t="s">
        <v>74</v>
      </c>
      <c r="R744" t="s">
        <v>74</v>
      </c>
      <c r="S744" t="s">
        <v>74</v>
      </c>
      <c r="T744" t="s">
        <v>13569</v>
      </c>
      <c r="U744" t="s">
        <v>13570</v>
      </c>
      <c r="V744" t="s">
        <v>13571</v>
      </c>
      <c r="W744" t="s">
        <v>13572</v>
      </c>
      <c r="X744" t="s">
        <v>13573</v>
      </c>
      <c r="Y744" t="s">
        <v>13574</v>
      </c>
      <c r="Z744" t="s">
        <v>13575</v>
      </c>
      <c r="AA744" t="s">
        <v>13576</v>
      </c>
      <c r="AB744" t="s">
        <v>13577</v>
      </c>
      <c r="AC744" t="s">
        <v>13578</v>
      </c>
      <c r="AD744" t="s">
        <v>13579</v>
      </c>
      <c r="AE744" t="s">
        <v>13580</v>
      </c>
      <c r="AF744" t="s">
        <v>74</v>
      </c>
      <c r="AG744">
        <v>66</v>
      </c>
      <c r="AH744">
        <v>20</v>
      </c>
      <c r="AI744">
        <v>21</v>
      </c>
      <c r="AJ744">
        <v>4</v>
      </c>
      <c r="AK744">
        <v>22</v>
      </c>
      <c r="AL744" t="s">
        <v>173</v>
      </c>
      <c r="AM744" t="s">
        <v>145</v>
      </c>
      <c r="AN744" t="s">
        <v>174</v>
      </c>
      <c r="AO744" t="s">
        <v>1850</v>
      </c>
      <c r="AP744" t="s">
        <v>74</v>
      </c>
      <c r="AQ744" t="s">
        <v>74</v>
      </c>
      <c r="AR744" t="s">
        <v>1852</v>
      </c>
      <c r="AS744" t="s">
        <v>1853</v>
      </c>
      <c r="AT744" t="s">
        <v>11860</v>
      </c>
      <c r="AU744">
        <v>2010</v>
      </c>
      <c r="AV744">
        <v>382</v>
      </c>
      <c r="AW744">
        <v>2</v>
      </c>
      <c r="AX744" t="s">
        <v>74</v>
      </c>
      <c r="AY744" t="s">
        <v>74</v>
      </c>
      <c r="AZ744" t="s">
        <v>74</v>
      </c>
      <c r="BA744" t="s">
        <v>74</v>
      </c>
      <c r="BB744">
        <v>108</v>
      </c>
      <c r="BC744">
        <v>116</v>
      </c>
      <c r="BD744" t="s">
        <v>74</v>
      </c>
      <c r="BE744" t="s">
        <v>13581</v>
      </c>
      <c r="BF744" t="str">
        <f>HYPERLINK("http://dx.doi.org/10.1016/j.jembe.2009.11.001","http://dx.doi.org/10.1016/j.jembe.2009.11.001")</f>
        <v>http://dx.doi.org/10.1016/j.jembe.2009.11.001</v>
      </c>
      <c r="BG744" t="s">
        <v>74</v>
      </c>
      <c r="BH744" t="s">
        <v>74</v>
      </c>
      <c r="BI744">
        <v>9</v>
      </c>
      <c r="BJ744" t="s">
        <v>1856</v>
      </c>
      <c r="BK744" t="s">
        <v>102</v>
      </c>
      <c r="BL744" t="s">
        <v>1857</v>
      </c>
      <c r="BM744" t="s">
        <v>13582</v>
      </c>
      <c r="BN744" t="s">
        <v>74</v>
      </c>
      <c r="BO744" t="s">
        <v>555</v>
      </c>
      <c r="BP744" t="s">
        <v>74</v>
      </c>
      <c r="BQ744" t="s">
        <v>74</v>
      </c>
      <c r="BR744" t="s">
        <v>105</v>
      </c>
      <c r="BS744" t="s">
        <v>13583</v>
      </c>
      <c r="BT744" t="str">
        <f>HYPERLINK("https%3A%2F%2Fwww.webofscience.com%2Fwos%2Fwoscc%2Ffull-record%2FWOS:000274042200005","View Full Record in Web of Science")</f>
        <v>View Full Record in Web of Science</v>
      </c>
    </row>
    <row r="745" spans="1:72" x14ac:dyDescent="0.15">
      <c r="A745" t="s">
        <v>72</v>
      </c>
      <c r="B745" t="s">
        <v>13584</v>
      </c>
      <c r="C745" t="s">
        <v>74</v>
      </c>
      <c r="D745" t="s">
        <v>74</v>
      </c>
      <c r="E745" t="s">
        <v>74</v>
      </c>
      <c r="F745" t="s">
        <v>13585</v>
      </c>
      <c r="G745" t="s">
        <v>74</v>
      </c>
      <c r="H745" t="s">
        <v>74</v>
      </c>
      <c r="I745" t="s">
        <v>13586</v>
      </c>
      <c r="J745" t="s">
        <v>13587</v>
      </c>
      <c r="K745" t="s">
        <v>74</v>
      </c>
      <c r="L745" t="s">
        <v>74</v>
      </c>
      <c r="M745" t="s">
        <v>13588</v>
      </c>
      <c r="N745" t="s">
        <v>79</v>
      </c>
      <c r="O745" t="s">
        <v>74</v>
      </c>
      <c r="P745" t="s">
        <v>74</v>
      </c>
      <c r="Q745" t="s">
        <v>74</v>
      </c>
      <c r="R745" t="s">
        <v>74</v>
      </c>
      <c r="S745" t="s">
        <v>74</v>
      </c>
      <c r="T745" t="s">
        <v>13589</v>
      </c>
      <c r="U745" t="s">
        <v>13590</v>
      </c>
      <c r="V745" t="s">
        <v>13591</v>
      </c>
      <c r="W745" t="s">
        <v>13592</v>
      </c>
      <c r="X745" t="s">
        <v>13593</v>
      </c>
      <c r="Y745" t="s">
        <v>13594</v>
      </c>
      <c r="Z745" t="s">
        <v>74</v>
      </c>
      <c r="AA745" t="s">
        <v>74</v>
      </c>
      <c r="AB745" t="s">
        <v>74</v>
      </c>
      <c r="AC745" t="s">
        <v>74</v>
      </c>
      <c r="AD745" t="s">
        <v>74</v>
      </c>
      <c r="AE745" t="s">
        <v>74</v>
      </c>
      <c r="AF745" t="s">
        <v>74</v>
      </c>
      <c r="AG745">
        <v>38</v>
      </c>
      <c r="AH745">
        <v>2</v>
      </c>
      <c r="AI745">
        <v>2</v>
      </c>
      <c r="AJ745">
        <v>0</v>
      </c>
      <c r="AK745">
        <v>0</v>
      </c>
      <c r="AL745" t="s">
        <v>13595</v>
      </c>
      <c r="AM745" t="s">
        <v>4071</v>
      </c>
      <c r="AN745" t="s">
        <v>13596</v>
      </c>
      <c r="AO745" t="s">
        <v>13597</v>
      </c>
      <c r="AP745" t="s">
        <v>13598</v>
      </c>
      <c r="AQ745" t="s">
        <v>74</v>
      </c>
      <c r="AR745" t="s">
        <v>13599</v>
      </c>
      <c r="AS745" t="s">
        <v>13600</v>
      </c>
      <c r="AT745" t="s">
        <v>74</v>
      </c>
      <c r="AU745">
        <v>2010</v>
      </c>
      <c r="AV745">
        <v>119</v>
      </c>
      <c r="AW745">
        <v>3</v>
      </c>
      <c r="AX745" t="s">
        <v>74</v>
      </c>
      <c r="AY745" t="s">
        <v>74</v>
      </c>
      <c r="AZ745" t="s">
        <v>152</v>
      </c>
      <c r="BA745" t="s">
        <v>74</v>
      </c>
      <c r="BB745">
        <v>466</v>
      </c>
      <c r="BC745">
        <v>481</v>
      </c>
      <c r="BD745" t="s">
        <v>74</v>
      </c>
      <c r="BE745" t="s">
        <v>74</v>
      </c>
      <c r="BF745" t="s">
        <v>74</v>
      </c>
      <c r="BG745" t="s">
        <v>74</v>
      </c>
      <c r="BH745" t="s">
        <v>74</v>
      </c>
      <c r="BI745">
        <v>16</v>
      </c>
      <c r="BJ745" t="s">
        <v>13601</v>
      </c>
      <c r="BK745" t="s">
        <v>1408</v>
      </c>
      <c r="BL745" t="s">
        <v>13602</v>
      </c>
      <c r="BM745" t="s">
        <v>13603</v>
      </c>
      <c r="BN745" t="s">
        <v>74</v>
      </c>
      <c r="BO745" t="s">
        <v>74</v>
      </c>
      <c r="BP745" t="s">
        <v>74</v>
      </c>
      <c r="BQ745" t="s">
        <v>74</v>
      </c>
      <c r="BR745" t="s">
        <v>105</v>
      </c>
      <c r="BS745" t="s">
        <v>13604</v>
      </c>
      <c r="BT745" t="str">
        <f>HYPERLINK("https%3A%2F%2Fwww.webofscience.com%2Fwos%2Fwoscc%2Ffull-record%2FWOS:000446266400005","View Full Record in Web of Science")</f>
        <v>View Full Record in Web of Science</v>
      </c>
    </row>
    <row r="746" spans="1:72" x14ac:dyDescent="0.15">
      <c r="A746" t="s">
        <v>72</v>
      </c>
      <c r="B746" t="s">
        <v>13605</v>
      </c>
      <c r="C746" t="s">
        <v>74</v>
      </c>
      <c r="D746" t="s">
        <v>74</v>
      </c>
      <c r="E746" t="s">
        <v>74</v>
      </c>
      <c r="F746" t="s">
        <v>13606</v>
      </c>
      <c r="G746" t="s">
        <v>74</v>
      </c>
      <c r="H746" t="s">
        <v>74</v>
      </c>
      <c r="I746" t="s">
        <v>13607</v>
      </c>
      <c r="J746" t="s">
        <v>13608</v>
      </c>
      <c r="K746" t="s">
        <v>74</v>
      </c>
      <c r="L746" t="s">
        <v>74</v>
      </c>
      <c r="M746" t="s">
        <v>78</v>
      </c>
      <c r="N746" t="s">
        <v>79</v>
      </c>
      <c r="O746" t="s">
        <v>74</v>
      </c>
      <c r="P746" t="s">
        <v>74</v>
      </c>
      <c r="Q746" t="s">
        <v>74</v>
      </c>
      <c r="R746" t="s">
        <v>74</v>
      </c>
      <c r="S746" t="s">
        <v>74</v>
      </c>
      <c r="T746" t="s">
        <v>74</v>
      </c>
      <c r="U746" t="s">
        <v>13609</v>
      </c>
      <c r="V746" t="s">
        <v>13610</v>
      </c>
      <c r="W746" t="s">
        <v>13611</v>
      </c>
      <c r="X746" t="s">
        <v>13612</v>
      </c>
      <c r="Y746" t="s">
        <v>13613</v>
      </c>
      <c r="Z746" t="s">
        <v>13614</v>
      </c>
      <c r="AA746" t="s">
        <v>74</v>
      </c>
      <c r="AB746" t="s">
        <v>13615</v>
      </c>
      <c r="AC746" t="s">
        <v>13616</v>
      </c>
      <c r="AD746" t="s">
        <v>13617</v>
      </c>
      <c r="AE746" t="s">
        <v>13618</v>
      </c>
      <c r="AF746" t="s">
        <v>74</v>
      </c>
      <c r="AG746">
        <v>16</v>
      </c>
      <c r="AH746">
        <v>5</v>
      </c>
      <c r="AI746">
        <v>5</v>
      </c>
      <c r="AJ746">
        <v>0</v>
      </c>
      <c r="AK746">
        <v>1</v>
      </c>
      <c r="AL746" t="s">
        <v>9150</v>
      </c>
      <c r="AM746" t="s">
        <v>1896</v>
      </c>
      <c r="AN746" t="s">
        <v>9151</v>
      </c>
      <c r="AO746" t="s">
        <v>13619</v>
      </c>
      <c r="AP746" t="s">
        <v>74</v>
      </c>
      <c r="AQ746" t="s">
        <v>74</v>
      </c>
      <c r="AR746" t="s">
        <v>13620</v>
      </c>
      <c r="AS746" t="s">
        <v>13621</v>
      </c>
      <c r="AT746" t="s">
        <v>74</v>
      </c>
      <c r="AU746">
        <v>2010</v>
      </c>
      <c r="AV746">
        <v>56</v>
      </c>
      <c r="AW746">
        <v>195</v>
      </c>
      <c r="AX746" t="s">
        <v>74</v>
      </c>
      <c r="AY746" t="s">
        <v>74</v>
      </c>
      <c r="AZ746" t="s">
        <v>74</v>
      </c>
      <c r="BA746" t="s">
        <v>74</v>
      </c>
      <c r="BB746">
        <v>41</v>
      </c>
      <c r="BC746">
        <v>47</v>
      </c>
      <c r="BD746" t="s">
        <v>74</v>
      </c>
      <c r="BE746" t="s">
        <v>13622</v>
      </c>
      <c r="BF746" t="str">
        <f>HYPERLINK("http://dx.doi.org/10.3189/002214310791190956","http://dx.doi.org/10.3189/002214310791190956")</f>
        <v>http://dx.doi.org/10.3189/002214310791190956</v>
      </c>
      <c r="BG746" t="s">
        <v>74</v>
      </c>
      <c r="BH746" t="s">
        <v>74</v>
      </c>
      <c r="BI746">
        <v>7</v>
      </c>
      <c r="BJ746" t="s">
        <v>2881</v>
      </c>
      <c r="BK746" t="s">
        <v>102</v>
      </c>
      <c r="BL746" t="s">
        <v>2628</v>
      </c>
      <c r="BM746" t="s">
        <v>13623</v>
      </c>
      <c r="BN746" t="s">
        <v>74</v>
      </c>
      <c r="BO746" t="s">
        <v>104</v>
      </c>
      <c r="BP746" t="s">
        <v>74</v>
      </c>
      <c r="BQ746" t="s">
        <v>74</v>
      </c>
      <c r="BR746" t="s">
        <v>105</v>
      </c>
      <c r="BS746" t="s">
        <v>13624</v>
      </c>
      <c r="BT746" t="str">
        <f>HYPERLINK("https%3A%2F%2Fwww.webofscience.com%2Fwos%2Fwoscc%2Ffull-record%2FWOS:000281257600005","View Full Record in Web of Science")</f>
        <v>View Full Record in Web of Science</v>
      </c>
    </row>
    <row r="747" spans="1:72" x14ac:dyDescent="0.15">
      <c r="A747" t="s">
        <v>72</v>
      </c>
      <c r="B747" t="s">
        <v>13625</v>
      </c>
      <c r="C747" t="s">
        <v>74</v>
      </c>
      <c r="D747" t="s">
        <v>74</v>
      </c>
      <c r="E747" t="s">
        <v>74</v>
      </c>
      <c r="F747" t="s">
        <v>13626</v>
      </c>
      <c r="G747" t="s">
        <v>74</v>
      </c>
      <c r="H747" t="s">
        <v>74</v>
      </c>
      <c r="I747" t="s">
        <v>13627</v>
      </c>
      <c r="J747" t="s">
        <v>13608</v>
      </c>
      <c r="K747" t="s">
        <v>74</v>
      </c>
      <c r="L747" t="s">
        <v>74</v>
      </c>
      <c r="M747" t="s">
        <v>78</v>
      </c>
      <c r="N747" t="s">
        <v>79</v>
      </c>
      <c r="O747" t="s">
        <v>74</v>
      </c>
      <c r="P747" t="s">
        <v>74</v>
      </c>
      <c r="Q747" t="s">
        <v>74</v>
      </c>
      <c r="R747" t="s">
        <v>74</v>
      </c>
      <c r="S747" t="s">
        <v>74</v>
      </c>
      <c r="T747" t="s">
        <v>74</v>
      </c>
      <c r="U747" t="s">
        <v>13628</v>
      </c>
      <c r="V747" t="s">
        <v>13629</v>
      </c>
      <c r="W747" t="s">
        <v>13630</v>
      </c>
      <c r="X747" t="s">
        <v>13631</v>
      </c>
      <c r="Y747" t="s">
        <v>13632</v>
      </c>
      <c r="Z747" t="s">
        <v>13633</v>
      </c>
      <c r="AA747" t="s">
        <v>13634</v>
      </c>
      <c r="AB747" t="s">
        <v>13635</v>
      </c>
      <c r="AC747" t="s">
        <v>13636</v>
      </c>
      <c r="AD747" t="s">
        <v>13637</v>
      </c>
      <c r="AE747" t="s">
        <v>13638</v>
      </c>
      <c r="AF747" t="s">
        <v>74</v>
      </c>
      <c r="AG747">
        <v>54</v>
      </c>
      <c r="AH747">
        <v>43</v>
      </c>
      <c r="AI747">
        <v>55</v>
      </c>
      <c r="AJ747">
        <v>1</v>
      </c>
      <c r="AK747">
        <v>21</v>
      </c>
      <c r="AL747" t="s">
        <v>9150</v>
      </c>
      <c r="AM747" t="s">
        <v>1896</v>
      </c>
      <c r="AN747" t="s">
        <v>9151</v>
      </c>
      <c r="AO747" t="s">
        <v>13619</v>
      </c>
      <c r="AP747" t="s">
        <v>74</v>
      </c>
      <c r="AQ747" t="s">
        <v>74</v>
      </c>
      <c r="AR747" t="s">
        <v>13620</v>
      </c>
      <c r="AS747" t="s">
        <v>13621</v>
      </c>
      <c r="AT747" t="s">
        <v>74</v>
      </c>
      <c r="AU747">
        <v>2010</v>
      </c>
      <c r="AV747">
        <v>56</v>
      </c>
      <c r="AW747">
        <v>195</v>
      </c>
      <c r="AX747" t="s">
        <v>74</v>
      </c>
      <c r="AY747" t="s">
        <v>74</v>
      </c>
      <c r="AZ747" t="s">
        <v>74</v>
      </c>
      <c r="BA747" t="s">
        <v>74</v>
      </c>
      <c r="BB747">
        <v>81</v>
      </c>
      <c r="BC747">
        <v>90</v>
      </c>
      <c r="BD747" t="s">
        <v>74</v>
      </c>
      <c r="BE747" t="s">
        <v>13639</v>
      </c>
      <c r="BF747" t="str">
        <f>HYPERLINK("http://dx.doi.org/10.3189/002214310791190820","http://dx.doi.org/10.3189/002214310791190820")</f>
        <v>http://dx.doi.org/10.3189/002214310791190820</v>
      </c>
      <c r="BG747" t="s">
        <v>74</v>
      </c>
      <c r="BH747" t="s">
        <v>74</v>
      </c>
      <c r="BI747">
        <v>10</v>
      </c>
      <c r="BJ747" t="s">
        <v>2881</v>
      </c>
      <c r="BK747" t="s">
        <v>102</v>
      </c>
      <c r="BL747" t="s">
        <v>2628</v>
      </c>
      <c r="BM747" t="s">
        <v>13623</v>
      </c>
      <c r="BN747" t="s">
        <v>74</v>
      </c>
      <c r="BO747" t="s">
        <v>104</v>
      </c>
      <c r="BP747" t="s">
        <v>74</v>
      </c>
      <c r="BQ747" t="s">
        <v>74</v>
      </c>
      <c r="BR747" t="s">
        <v>105</v>
      </c>
      <c r="BS747" t="s">
        <v>13640</v>
      </c>
      <c r="BT747" t="str">
        <f>HYPERLINK("https%3A%2F%2Fwww.webofscience.com%2Fwos%2Fwoscc%2Ffull-record%2FWOS:000281257600009","View Full Record in Web of Science")</f>
        <v>View Full Record in Web of Science</v>
      </c>
    </row>
    <row r="748" spans="1:72" x14ac:dyDescent="0.15">
      <c r="A748" t="s">
        <v>72</v>
      </c>
      <c r="B748" t="s">
        <v>13641</v>
      </c>
      <c r="C748" t="s">
        <v>74</v>
      </c>
      <c r="D748" t="s">
        <v>74</v>
      </c>
      <c r="E748" t="s">
        <v>74</v>
      </c>
      <c r="F748" t="s">
        <v>13642</v>
      </c>
      <c r="G748" t="s">
        <v>74</v>
      </c>
      <c r="H748" t="s">
        <v>74</v>
      </c>
      <c r="I748" t="s">
        <v>13643</v>
      </c>
      <c r="J748" t="s">
        <v>13608</v>
      </c>
      <c r="K748" t="s">
        <v>74</v>
      </c>
      <c r="L748" t="s">
        <v>74</v>
      </c>
      <c r="M748" t="s">
        <v>78</v>
      </c>
      <c r="N748" t="s">
        <v>79</v>
      </c>
      <c r="O748" t="s">
        <v>74</v>
      </c>
      <c r="P748" t="s">
        <v>74</v>
      </c>
      <c r="Q748" t="s">
        <v>74</v>
      </c>
      <c r="R748" t="s">
        <v>74</v>
      </c>
      <c r="S748" t="s">
        <v>74</v>
      </c>
      <c r="T748" t="s">
        <v>74</v>
      </c>
      <c r="U748" t="s">
        <v>13644</v>
      </c>
      <c r="V748" t="s">
        <v>13645</v>
      </c>
      <c r="W748" t="s">
        <v>13646</v>
      </c>
      <c r="X748" t="s">
        <v>13647</v>
      </c>
      <c r="Y748" t="s">
        <v>13648</v>
      </c>
      <c r="Z748" t="s">
        <v>13649</v>
      </c>
      <c r="AA748" t="s">
        <v>74</v>
      </c>
      <c r="AB748" t="s">
        <v>13650</v>
      </c>
      <c r="AC748" t="s">
        <v>13651</v>
      </c>
      <c r="AD748" t="s">
        <v>13652</v>
      </c>
      <c r="AE748" t="s">
        <v>13653</v>
      </c>
      <c r="AF748" t="s">
        <v>74</v>
      </c>
      <c r="AG748">
        <v>55</v>
      </c>
      <c r="AH748">
        <v>119</v>
      </c>
      <c r="AI748">
        <v>130</v>
      </c>
      <c r="AJ748">
        <v>1</v>
      </c>
      <c r="AK748">
        <v>43</v>
      </c>
      <c r="AL748" t="s">
        <v>587</v>
      </c>
      <c r="AM748" t="s">
        <v>1896</v>
      </c>
      <c r="AN748" t="s">
        <v>8249</v>
      </c>
      <c r="AO748" t="s">
        <v>13619</v>
      </c>
      <c r="AP748" t="s">
        <v>13654</v>
      </c>
      <c r="AQ748" t="s">
        <v>74</v>
      </c>
      <c r="AR748" t="s">
        <v>13620</v>
      </c>
      <c r="AS748" t="s">
        <v>13621</v>
      </c>
      <c r="AT748" t="s">
        <v>74</v>
      </c>
      <c r="AU748">
        <v>2010</v>
      </c>
      <c r="AV748">
        <v>56</v>
      </c>
      <c r="AW748">
        <v>195</v>
      </c>
      <c r="AX748" t="s">
        <v>74</v>
      </c>
      <c r="AY748" t="s">
        <v>74</v>
      </c>
      <c r="AZ748" t="s">
        <v>74</v>
      </c>
      <c r="BA748" t="s">
        <v>74</v>
      </c>
      <c r="BB748">
        <v>114</v>
      </c>
      <c r="BC748">
        <v>128</v>
      </c>
      <c r="BD748" t="s">
        <v>74</v>
      </c>
      <c r="BE748" t="s">
        <v>13655</v>
      </c>
      <c r="BF748" t="str">
        <f>HYPERLINK("http://dx.doi.org/10.3189/002214310791190929","http://dx.doi.org/10.3189/002214310791190929")</f>
        <v>http://dx.doi.org/10.3189/002214310791190929</v>
      </c>
      <c r="BG748" t="s">
        <v>74</v>
      </c>
      <c r="BH748" t="s">
        <v>74</v>
      </c>
      <c r="BI748">
        <v>15</v>
      </c>
      <c r="BJ748" t="s">
        <v>2881</v>
      </c>
      <c r="BK748" t="s">
        <v>102</v>
      </c>
      <c r="BL748" t="s">
        <v>2628</v>
      </c>
      <c r="BM748" t="s">
        <v>13623</v>
      </c>
      <c r="BN748" t="s">
        <v>74</v>
      </c>
      <c r="BO748" t="s">
        <v>104</v>
      </c>
      <c r="BP748" t="s">
        <v>74</v>
      </c>
      <c r="BQ748" t="s">
        <v>74</v>
      </c>
      <c r="BR748" t="s">
        <v>105</v>
      </c>
      <c r="BS748" t="s">
        <v>13656</v>
      </c>
      <c r="BT748" t="str">
        <f>HYPERLINK("https%3A%2F%2Fwww.webofscience.com%2Fwos%2Fwoscc%2Ffull-record%2FWOS:000281257600012","View Full Record in Web of Science")</f>
        <v>View Full Record in Web of Science</v>
      </c>
    </row>
    <row r="749" spans="1:72" x14ac:dyDescent="0.15">
      <c r="A749" t="s">
        <v>72</v>
      </c>
      <c r="B749" t="s">
        <v>13657</v>
      </c>
      <c r="C749" t="s">
        <v>74</v>
      </c>
      <c r="D749" t="s">
        <v>74</v>
      </c>
      <c r="E749" t="s">
        <v>74</v>
      </c>
      <c r="F749" t="s">
        <v>13658</v>
      </c>
      <c r="G749" t="s">
        <v>74</v>
      </c>
      <c r="H749" t="s">
        <v>74</v>
      </c>
      <c r="I749" t="s">
        <v>13659</v>
      </c>
      <c r="J749" t="s">
        <v>13608</v>
      </c>
      <c r="K749" t="s">
        <v>74</v>
      </c>
      <c r="L749" t="s">
        <v>74</v>
      </c>
      <c r="M749" t="s">
        <v>78</v>
      </c>
      <c r="N749" t="s">
        <v>79</v>
      </c>
      <c r="O749" t="s">
        <v>74</v>
      </c>
      <c r="P749" t="s">
        <v>74</v>
      </c>
      <c r="Q749" t="s">
        <v>74</v>
      </c>
      <c r="R749" t="s">
        <v>74</v>
      </c>
      <c r="S749" t="s">
        <v>74</v>
      </c>
      <c r="T749" t="s">
        <v>74</v>
      </c>
      <c r="U749" t="s">
        <v>13660</v>
      </c>
      <c r="V749" t="s">
        <v>13661</v>
      </c>
      <c r="W749" t="s">
        <v>13662</v>
      </c>
      <c r="X749" t="s">
        <v>13663</v>
      </c>
      <c r="Y749" t="s">
        <v>13664</v>
      </c>
      <c r="Z749" t="s">
        <v>13665</v>
      </c>
      <c r="AA749" t="s">
        <v>13666</v>
      </c>
      <c r="AB749" t="s">
        <v>13667</v>
      </c>
      <c r="AC749" t="s">
        <v>13668</v>
      </c>
      <c r="AD749" t="s">
        <v>13669</v>
      </c>
      <c r="AE749" t="s">
        <v>13670</v>
      </c>
      <c r="AF749" t="s">
        <v>74</v>
      </c>
      <c r="AG749">
        <v>31</v>
      </c>
      <c r="AH749">
        <v>19</v>
      </c>
      <c r="AI749">
        <v>20</v>
      </c>
      <c r="AJ749">
        <v>0</v>
      </c>
      <c r="AK749">
        <v>7</v>
      </c>
      <c r="AL749" t="s">
        <v>9150</v>
      </c>
      <c r="AM749" t="s">
        <v>1896</v>
      </c>
      <c r="AN749" t="s">
        <v>9151</v>
      </c>
      <c r="AO749" t="s">
        <v>13619</v>
      </c>
      <c r="AP749" t="s">
        <v>74</v>
      </c>
      <c r="AQ749" t="s">
        <v>74</v>
      </c>
      <c r="AR749" t="s">
        <v>13620</v>
      </c>
      <c r="AS749" t="s">
        <v>13621</v>
      </c>
      <c r="AT749" t="s">
        <v>74</v>
      </c>
      <c r="AU749">
        <v>2010</v>
      </c>
      <c r="AV749">
        <v>56</v>
      </c>
      <c r="AW749">
        <v>195</v>
      </c>
      <c r="AX749" t="s">
        <v>74</v>
      </c>
      <c r="AY749" t="s">
        <v>74</v>
      </c>
      <c r="AZ749" t="s">
        <v>74</v>
      </c>
      <c r="BA749" t="s">
        <v>74</v>
      </c>
      <c r="BB749">
        <v>167</v>
      </c>
      <c r="BC749">
        <v>176</v>
      </c>
      <c r="BD749" t="s">
        <v>74</v>
      </c>
      <c r="BE749" t="s">
        <v>13671</v>
      </c>
      <c r="BF749" t="str">
        <f>HYPERLINK("http://dx.doi.org/10.3189/002214310791190848","http://dx.doi.org/10.3189/002214310791190848")</f>
        <v>http://dx.doi.org/10.3189/002214310791190848</v>
      </c>
      <c r="BG749" t="s">
        <v>74</v>
      </c>
      <c r="BH749" t="s">
        <v>74</v>
      </c>
      <c r="BI749">
        <v>10</v>
      </c>
      <c r="BJ749" t="s">
        <v>2881</v>
      </c>
      <c r="BK749" t="s">
        <v>102</v>
      </c>
      <c r="BL749" t="s">
        <v>2628</v>
      </c>
      <c r="BM749" t="s">
        <v>13623</v>
      </c>
      <c r="BN749" t="s">
        <v>74</v>
      </c>
      <c r="BO749" t="s">
        <v>104</v>
      </c>
      <c r="BP749" t="s">
        <v>74</v>
      </c>
      <c r="BQ749" t="s">
        <v>74</v>
      </c>
      <c r="BR749" t="s">
        <v>105</v>
      </c>
      <c r="BS749" t="s">
        <v>13672</v>
      </c>
      <c r="BT749" t="str">
        <f>HYPERLINK("https%3A%2F%2Fwww.webofscience.com%2Fwos%2Fwoscc%2Ffull-record%2FWOS:000281257600017","View Full Record in Web of Science")</f>
        <v>View Full Record in Web of Science</v>
      </c>
    </row>
    <row r="750" spans="1:72" x14ac:dyDescent="0.15">
      <c r="A750" t="s">
        <v>72</v>
      </c>
      <c r="B750" t="s">
        <v>13673</v>
      </c>
      <c r="C750" t="s">
        <v>74</v>
      </c>
      <c r="D750" t="s">
        <v>74</v>
      </c>
      <c r="E750" t="s">
        <v>74</v>
      </c>
      <c r="F750" t="s">
        <v>13674</v>
      </c>
      <c r="G750" t="s">
        <v>74</v>
      </c>
      <c r="H750" t="s">
        <v>74</v>
      </c>
      <c r="I750" t="s">
        <v>13675</v>
      </c>
      <c r="J750" t="s">
        <v>13608</v>
      </c>
      <c r="K750" t="s">
        <v>74</v>
      </c>
      <c r="L750" t="s">
        <v>74</v>
      </c>
      <c r="M750" t="s">
        <v>78</v>
      </c>
      <c r="N750" t="s">
        <v>79</v>
      </c>
      <c r="O750" t="s">
        <v>74</v>
      </c>
      <c r="P750" t="s">
        <v>74</v>
      </c>
      <c r="Q750" t="s">
        <v>74</v>
      </c>
      <c r="R750" t="s">
        <v>74</v>
      </c>
      <c r="S750" t="s">
        <v>74</v>
      </c>
      <c r="T750" t="s">
        <v>74</v>
      </c>
      <c r="U750" t="s">
        <v>13676</v>
      </c>
      <c r="V750" t="s">
        <v>13677</v>
      </c>
      <c r="W750" t="s">
        <v>13678</v>
      </c>
      <c r="X750" t="s">
        <v>13679</v>
      </c>
      <c r="Y750" t="s">
        <v>13680</v>
      </c>
      <c r="Z750" t="s">
        <v>13681</v>
      </c>
      <c r="AA750" t="s">
        <v>13682</v>
      </c>
      <c r="AB750" t="s">
        <v>13683</v>
      </c>
      <c r="AC750" t="s">
        <v>13684</v>
      </c>
      <c r="AD750" t="s">
        <v>13685</v>
      </c>
      <c r="AE750" t="s">
        <v>13686</v>
      </c>
      <c r="AF750" t="s">
        <v>74</v>
      </c>
      <c r="AG750">
        <v>71</v>
      </c>
      <c r="AH750">
        <v>44</v>
      </c>
      <c r="AI750">
        <v>46</v>
      </c>
      <c r="AJ750">
        <v>0</v>
      </c>
      <c r="AK750">
        <v>15</v>
      </c>
      <c r="AL750" t="s">
        <v>587</v>
      </c>
      <c r="AM750" t="s">
        <v>1896</v>
      </c>
      <c r="AN750" t="s">
        <v>8249</v>
      </c>
      <c r="AO750" t="s">
        <v>13619</v>
      </c>
      <c r="AP750" t="s">
        <v>13654</v>
      </c>
      <c r="AQ750" t="s">
        <v>74</v>
      </c>
      <c r="AR750" t="s">
        <v>13620</v>
      </c>
      <c r="AS750" t="s">
        <v>13621</v>
      </c>
      <c r="AT750" t="s">
        <v>74</v>
      </c>
      <c r="AU750">
        <v>2010</v>
      </c>
      <c r="AV750">
        <v>56</v>
      </c>
      <c r="AW750">
        <v>196</v>
      </c>
      <c r="AX750" t="s">
        <v>74</v>
      </c>
      <c r="AY750" t="s">
        <v>74</v>
      </c>
      <c r="AZ750" t="s">
        <v>74</v>
      </c>
      <c r="BA750" t="s">
        <v>74</v>
      </c>
      <c r="BB750">
        <v>200</v>
      </c>
      <c r="BC750">
        <v>214</v>
      </c>
      <c r="BD750" t="s">
        <v>74</v>
      </c>
      <c r="BE750" t="s">
        <v>13687</v>
      </c>
      <c r="BF750" t="str">
        <f>HYPERLINK("http://dx.doi.org/10.3189/002214310791968539","http://dx.doi.org/10.3189/002214310791968539")</f>
        <v>http://dx.doi.org/10.3189/002214310791968539</v>
      </c>
      <c r="BG750" t="s">
        <v>74</v>
      </c>
      <c r="BH750" t="s">
        <v>74</v>
      </c>
      <c r="BI750">
        <v>15</v>
      </c>
      <c r="BJ750" t="s">
        <v>2881</v>
      </c>
      <c r="BK750" t="s">
        <v>102</v>
      </c>
      <c r="BL750" t="s">
        <v>2628</v>
      </c>
      <c r="BM750" t="s">
        <v>13688</v>
      </c>
      <c r="BN750" t="s">
        <v>74</v>
      </c>
      <c r="BO750" t="s">
        <v>346</v>
      </c>
      <c r="BP750" t="s">
        <v>74</v>
      </c>
      <c r="BQ750" t="s">
        <v>74</v>
      </c>
      <c r="BR750" t="s">
        <v>105</v>
      </c>
      <c r="BS750" t="s">
        <v>13689</v>
      </c>
      <c r="BT750" t="str">
        <f>HYPERLINK("https%3A%2F%2Fwww.webofscience.com%2Fwos%2Fwoscc%2Ffull-record%2FWOS:000280258200002","View Full Record in Web of Science")</f>
        <v>View Full Record in Web of Science</v>
      </c>
    </row>
    <row r="751" spans="1:72" x14ac:dyDescent="0.15">
      <c r="A751" t="s">
        <v>72</v>
      </c>
      <c r="B751" t="s">
        <v>13690</v>
      </c>
      <c r="C751" t="s">
        <v>74</v>
      </c>
      <c r="D751" t="s">
        <v>74</v>
      </c>
      <c r="E751" t="s">
        <v>74</v>
      </c>
      <c r="F751" t="s">
        <v>13691</v>
      </c>
      <c r="G751" t="s">
        <v>74</v>
      </c>
      <c r="H751" t="s">
        <v>74</v>
      </c>
      <c r="I751" t="s">
        <v>13692</v>
      </c>
      <c r="J751" t="s">
        <v>13608</v>
      </c>
      <c r="K751" t="s">
        <v>74</v>
      </c>
      <c r="L751" t="s">
        <v>74</v>
      </c>
      <c r="M751" t="s">
        <v>78</v>
      </c>
      <c r="N751" t="s">
        <v>79</v>
      </c>
      <c r="O751" t="s">
        <v>74</v>
      </c>
      <c r="P751" t="s">
        <v>74</v>
      </c>
      <c r="Q751" t="s">
        <v>74</v>
      </c>
      <c r="R751" t="s">
        <v>74</v>
      </c>
      <c r="S751" t="s">
        <v>74</v>
      </c>
      <c r="T751" t="s">
        <v>74</v>
      </c>
      <c r="U751" t="s">
        <v>13693</v>
      </c>
      <c r="V751" t="s">
        <v>13694</v>
      </c>
      <c r="W751" t="s">
        <v>13695</v>
      </c>
      <c r="X751" t="s">
        <v>13696</v>
      </c>
      <c r="Y751" t="s">
        <v>13697</v>
      </c>
      <c r="Z751" t="s">
        <v>13698</v>
      </c>
      <c r="AA751" t="s">
        <v>13699</v>
      </c>
      <c r="AB751" t="s">
        <v>13700</v>
      </c>
      <c r="AC751" t="s">
        <v>13701</v>
      </c>
      <c r="AD751" t="s">
        <v>13702</v>
      </c>
      <c r="AE751" t="s">
        <v>13703</v>
      </c>
      <c r="AF751" t="s">
        <v>74</v>
      </c>
      <c r="AG751">
        <v>19</v>
      </c>
      <c r="AH751">
        <v>7</v>
      </c>
      <c r="AI751">
        <v>8</v>
      </c>
      <c r="AJ751">
        <v>0</v>
      </c>
      <c r="AK751">
        <v>6</v>
      </c>
      <c r="AL751" t="s">
        <v>587</v>
      </c>
      <c r="AM751" t="s">
        <v>1896</v>
      </c>
      <c r="AN751" t="s">
        <v>8249</v>
      </c>
      <c r="AO751" t="s">
        <v>13619</v>
      </c>
      <c r="AP751" t="s">
        <v>13654</v>
      </c>
      <c r="AQ751" t="s">
        <v>74</v>
      </c>
      <c r="AR751" t="s">
        <v>13620</v>
      </c>
      <c r="AS751" t="s">
        <v>13621</v>
      </c>
      <c r="AT751" t="s">
        <v>74</v>
      </c>
      <c r="AU751">
        <v>2010</v>
      </c>
      <c r="AV751">
        <v>56</v>
      </c>
      <c r="AW751">
        <v>196</v>
      </c>
      <c r="AX751" t="s">
        <v>74</v>
      </c>
      <c r="AY751" t="s">
        <v>74</v>
      </c>
      <c r="AZ751" t="s">
        <v>74</v>
      </c>
      <c r="BA751" t="s">
        <v>74</v>
      </c>
      <c r="BB751">
        <v>318</v>
      </c>
      <c r="BC751">
        <v>332</v>
      </c>
      <c r="BD751" t="s">
        <v>74</v>
      </c>
      <c r="BE751" t="s">
        <v>13704</v>
      </c>
      <c r="BF751" t="str">
        <f>HYPERLINK("http://dx.doi.org/10.3189/002214310791968476","http://dx.doi.org/10.3189/002214310791968476")</f>
        <v>http://dx.doi.org/10.3189/002214310791968476</v>
      </c>
      <c r="BG751" t="s">
        <v>74</v>
      </c>
      <c r="BH751" t="s">
        <v>74</v>
      </c>
      <c r="BI751">
        <v>15</v>
      </c>
      <c r="BJ751" t="s">
        <v>2881</v>
      </c>
      <c r="BK751" t="s">
        <v>102</v>
      </c>
      <c r="BL751" t="s">
        <v>2628</v>
      </c>
      <c r="BM751" t="s">
        <v>13688</v>
      </c>
      <c r="BN751" t="s">
        <v>74</v>
      </c>
      <c r="BO751" t="s">
        <v>104</v>
      </c>
      <c r="BP751" t="s">
        <v>74</v>
      </c>
      <c r="BQ751" t="s">
        <v>74</v>
      </c>
      <c r="BR751" t="s">
        <v>105</v>
      </c>
      <c r="BS751" t="s">
        <v>13705</v>
      </c>
      <c r="BT751" t="str">
        <f>HYPERLINK("https%3A%2F%2Fwww.webofscience.com%2Fwos%2Fwoscc%2Ffull-record%2FWOS:000280258200014","View Full Record in Web of Science")</f>
        <v>View Full Record in Web of Science</v>
      </c>
    </row>
    <row r="752" spans="1:72" x14ac:dyDescent="0.15">
      <c r="A752" t="s">
        <v>72</v>
      </c>
      <c r="B752" t="s">
        <v>13706</v>
      </c>
      <c r="C752" t="s">
        <v>74</v>
      </c>
      <c r="D752" t="s">
        <v>74</v>
      </c>
      <c r="E752" t="s">
        <v>74</v>
      </c>
      <c r="F752" t="s">
        <v>13707</v>
      </c>
      <c r="G752" t="s">
        <v>74</v>
      </c>
      <c r="H752" t="s">
        <v>74</v>
      </c>
      <c r="I752" t="s">
        <v>13708</v>
      </c>
      <c r="J752" t="s">
        <v>13608</v>
      </c>
      <c r="K752" t="s">
        <v>74</v>
      </c>
      <c r="L752" t="s">
        <v>74</v>
      </c>
      <c r="M752" t="s">
        <v>78</v>
      </c>
      <c r="N752" t="s">
        <v>79</v>
      </c>
      <c r="O752" t="s">
        <v>74</v>
      </c>
      <c r="P752" t="s">
        <v>74</v>
      </c>
      <c r="Q752" t="s">
        <v>74</v>
      </c>
      <c r="R752" t="s">
        <v>74</v>
      </c>
      <c r="S752" t="s">
        <v>74</v>
      </c>
      <c r="T752" t="s">
        <v>74</v>
      </c>
      <c r="U752" t="s">
        <v>13709</v>
      </c>
      <c r="V752" t="s">
        <v>13710</v>
      </c>
      <c r="W752" t="s">
        <v>13711</v>
      </c>
      <c r="X752" t="s">
        <v>13712</v>
      </c>
      <c r="Y752" t="s">
        <v>13713</v>
      </c>
      <c r="Z752" t="s">
        <v>13714</v>
      </c>
      <c r="AA752" t="s">
        <v>13715</v>
      </c>
      <c r="AB752" t="s">
        <v>13716</v>
      </c>
      <c r="AC752" t="s">
        <v>13717</v>
      </c>
      <c r="AD752" t="s">
        <v>13718</v>
      </c>
      <c r="AE752" t="s">
        <v>13719</v>
      </c>
      <c r="AF752" t="s">
        <v>74</v>
      </c>
      <c r="AG752">
        <v>34</v>
      </c>
      <c r="AH752">
        <v>112</v>
      </c>
      <c r="AI752">
        <v>116</v>
      </c>
      <c r="AJ752">
        <v>3</v>
      </c>
      <c r="AK752">
        <v>42</v>
      </c>
      <c r="AL752" t="s">
        <v>9150</v>
      </c>
      <c r="AM752" t="s">
        <v>1896</v>
      </c>
      <c r="AN752" t="s">
        <v>9151</v>
      </c>
      <c r="AO752" t="s">
        <v>13619</v>
      </c>
      <c r="AP752" t="s">
        <v>74</v>
      </c>
      <c r="AQ752" t="s">
        <v>74</v>
      </c>
      <c r="AR752" t="s">
        <v>13620</v>
      </c>
      <c r="AS752" t="s">
        <v>13621</v>
      </c>
      <c r="AT752" t="s">
        <v>74</v>
      </c>
      <c r="AU752">
        <v>2010</v>
      </c>
      <c r="AV752">
        <v>56</v>
      </c>
      <c r="AW752">
        <v>196</v>
      </c>
      <c r="AX752" t="s">
        <v>74</v>
      </c>
      <c r="AY752" t="s">
        <v>74</v>
      </c>
      <c r="AZ752" t="s">
        <v>74</v>
      </c>
      <c r="BA752" t="s">
        <v>74</v>
      </c>
      <c r="BB752">
        <v>349</v>
      </c>
      <c r="BC752">
        <v>362</v>
      </c>
      <c r="BD752" t="s">
        <v>74</v>
      </c>
      <c r="BE752" t="s">
        <v>13720</v>
      </c>
      <c r="BF752" t="str">
        <f>HYPERLINK("http://dx.doi.org/10.3189/002214310791968403","http://dx.doi.org/10.3189/002214310791968403")</f>
        <v>http://dx.doi.org/10.3189/002214310791968403</v>
      </c>
      <c r="BG752" t="s">
        <v>74</v>
      </c>
      <c r="BH752" t="s">
        <v>74</v>
      </c>
      <c r="BI752">
        <v>14</v>
      </c>
      <c r="BJ752" t="s">
        <v>2881</v>
      </c>
      <c r="BK752" t="s">
        <v>102</v>
      </c>
      <c r="BL752" t="s">
        <v>2628</v>
      </c>
      <c r="BM752" t="s">
        <v>13688</v>
      </c>
      <c r="BN752" t="s">
        <v>74</v>
      </c>
      <c r="BO752" t="s">
        <v>104</v>
      </c>
      <c r="BP752" t="s">
        <v>74</v>
      </c>
      <c r="BQ752" t="s">
        <v>74</v>
      </c>
      <c r="BR752" t="s">
        <v>105</v>
      </c>
      <c r="BS752" t="s">
        <v>13721</v>
      </c>
      <c r="BT752" t="str">
        <f>HYPERLINK("https%3A%2F%2Fwww.webofscience.com%2Fwos%2Fwoscc%2Ffull-record%2FWOS:000280258200017","View Full Record in Web of Science")</f>
        <v>View Full Record in Web of Science</v>
      </c>
    </row>
    <row r="753" spans="1:72" x14ac:dyDescent="0.15">
      <c r="A753" t="s">
        <v>72</v>
      </c>
      <c r="B753" t="s">
        <v>13722</v>
      </c>
      <c r="C753" t="s">
        <v>74</v>
      </c>
      <c r="D753" t="s">
        <v>74</v>
      </c>
      <c r="E753" t="s">
        <v>74</v>
      </c>
      <c r="F753" t="s">
        <v>13723</v>
      </c>
      <c r="G753" t="s">
        <v>74</v>
      </c>
      <c r="H753" t="s">
        <v>74</v>
      </c>
      <c r="I753" t="s">
        <v>13724</v>
      </c>
      <c r="J753" t="s">
        <v>13608</v>
      </c>
      <c r="K753" t="s">
        <v>74</v>
      </c>
      <c r="L753" t="s">
        <v>74</v>
      </c>
      <c r="M753" t="s">
        <v>78</v>
      </c>
      <c r="N753" t="s">
        <v>79</v>
      </c>
      <c r="O753" t="s">
        <v>74</v>
      </c>
      <c r="P753" t="s">
        <v>74</v>
      </c>
      <c r="Q753" t="s">
        <v>74</v>
      </c>
      <c r="R753" t="s">
        <v>74</v>
      </c>
      <c r="S753" t="s">
        <v>74</v>
      </c>
      <c r="T753" t="s">
        <v>74</v>
      </c>
      <c r="U753" t="s">
        <v>13725</v>
      </c>
      <c r="V753" t="s">
        <v>13726</v>
      </c>
      <c r="W753" t="s">
        <v>13727</v>
      </c>
      <c r="X753" t="s">
        <v>13728</v>
      </c>
      <c r="Y753" t="s">
        <v>13729</v>
      </c>
      <c r="Z753" t="s">
        <v>13730</v>
      </c>
      <c r="AA753" t="s">
        <v>13731</v>
      </c>
      <c r="AB753" t="s">
        <v>13732</v>
      </c>
      <c r="AC753" t="s">
        <v>13733</v>
      </c>
      <c r="AD753" t="s">
        <v>13733</v>
      </c>
      <c r="AE753" t="s">
        <v>13734</v>
      </c>
      <c r="AF753" t="s">
        <v>74</v>
      </c>
      <c r="AG753">
        <v>49</v>
      </c>
      <c r="AH753">
        <v>43</v>
      </c>
      <c r="AI753">
        <v>45</v>
      </c>
      <c r="AJ753">
        <v>0</v>
      </c>
      <c r="AK753">
        <v>10</v>
      </c>
      <c r="AL753" t="s">
        <v>587</v>
      </c>
      <c r="AM753" t="s">
        <v>1896</v>
      </c>
      <c r="AN753" t="s">
        <v>8249</v>
      </c>
      <c r="AO753" t="s">
        <v>13619</v>
      </c>
      <c r="AP753" t="s">
        <v>13654</v>
      </c>
      <c r="AQ753" t="s">
        <v>74</v>
      </c>
      <c r="AR753" t="s">
        <v>13620</v>
      </c>
      <c r="AS753" t="s">
        <v>13621</v>
      </c>
      <c r="AT753" t="s">
        <v>74</v>
      </c>
      <c r="AU753">
        <v>2010</v>
      </c>
      <c r="AV753">
        <v>56</v>
      </c>
      <c r="AW753">
        <v>197</v>
      </c>
      <c r="AX753" t="s">
        <v>74</v>
      </c>
      <c r="AY753" t="s">
        <v>74</v>
      </c>
      <c r="AZ753" t="s">
        <v>74</v>
      </c>
      <c r="BA753" t="s">
        <v>74</v>
      </c>
      <c r="BB753">
        <v>371</v>
      </c>
      <c r="BC753">
        <v>383</v>
      </c>
      <c r="BD753" t="s">
        <v>74</v>
      </c>
      <c r="BE753" t="s">
        <v>13735</v>
      </c>
      <c r="BF753" t="str">
        <f>HYPERLINK("http://dx.doi.org/10.3189/002214310792447789","http://dx.doi.org/10.3189/002214310792447789")</f>
        <v>http://dx.doi.org/10.3189/002214310792447789</v>
      </c>
      <c r="BG753" t="s">
        <v>74</v>
      </c>
      <c r="BH753" t="s">
        <v>74</v>
      </c>
      <c r="BI753">
        <v>13</v>
      </c>
      <c r="BJ753" t="s">
        <v>2881</v>
      </c>
      <c r="BK753" t="s">
        <v>102</v>
      </c>
      <c r="BL753" t="s">
        <v>2628</v>
      </c>
      <c r="BM753" t="s">
        <v>13736</v>
      </c>
      <c r="BN753" t="s">
        <v>74</v>
      </c>
      <c r="BO753" t="s">
        <v>13737</v>
      </c>
      <c r="BP753" t="s">
        <v>74</v>
      </c>
      <c r="BQ753" t="s">
        <v>74</v>
      </c>
      <c r="BR753" t="s">
        <v>105</v>
      </c>
      <c r="BS753" t="s">
        <v>13738</v>
      </c>
      <c r="BT753" t="str">
        <f>HYPERLINK("https%3A%2F%2Fwww.webofscience.com%2Fwos%2Fwoscc%2Ffull-record%2FWOS:000280930000001","View Full Record in Web of Science")</f>
        <v>View Full Record in Web of Science</v>
      </c>
    </row>
    <row r="754" spans="1:72" x14ac:dyDescent="0.15">
      <c r="A754" t="s">
        <v>72</v>
      </c>
      <c r="B754" t="s">
        <v>13739</v>
      </c>
      <c r="C754" t="s">
        <v>74</v>
      </c>
      <c r="D754" t="s">
        <v>74</v>
      </c>
      <c r="E754" t="s">
        <v>74</v>
      </c>
      <c r="F754" t="s">
        <v>13740</v>
      </c>
      <c r="G754" t="s">
        <v>74</v>
      </c>
      <c r="H754" t="s">
        <v>74</v>
      </c>
      <c r="I754" t="s">
        <v>13741</v>
      </c>
      <c r="J754" t="s">
        <v>13608</v>
      </c>
      <c r="K754" t="s">
        <v>74</v>
      </c>
      <c r="L754" t="s">
        <v>74</v>
      </c>
      <c r="M754" t="s">
        <v>78</v>
      </c>
      <c r="N754" t="s">
        <v>79</v>
      </c>
      <c r="O754" t="s">
        <v>74</v>
      </c>
      <c r="P754" t="s">
        <v>74</v>
      </c>
      <c r="Q754" t="s">
        <v>74</v>
      </c>
      <c r="R754" t="s">
        <v>74</v>
      </c>
      <c r="S754" t="s">
        <v>74</v>
      </c>
      <c r="T754" t="s">
        <v>74</v>
      </c>
      <c r="U754" t="s">
        <v>13742</v>
      </c>
      <c r="V754" t="s">
        <v>13743</v>
      </c>
      <c r="W754" t="s">
        <v>13744</v>
      </c>
      <c r="X754" t="s">
        <v>13745</v>
      </c>
      <c r="Y754" t="s">
        <v>13746</v>
      </c>
      <c r="Z754" t="s">
        <v>13747</v>
      </c>
      <c r="AA754" t="s">
        <v>13748</v>
      </c>
      <c r="AB754" t="s">
        <v>13749</v>
      </c>
      <c r="AC754" t="s">
        <v>13750</v>
      </c>
      <c r="AD754" t="s">
        <v>13751</v>
      </c>
      <c r="AE754" t="s">
        <v>13752</v>
      </c>
      <c r="AF754" t="s">
        <v>74</v>
      </c>
      <c r="AG754">
        <v>30</v>
      </c>
      <c r="AH754">
        <v>2</v>
      </c>
      <c r="AI754">
        <v>2</v>
      </c>
      <c r="AJ754">
        <v>0</v>
      </c>
      <c r="AK754">
        <v>10</v>
      </c>
      <c r="AL754" t="s">
        <v>587</v>
      </c>
      <c r="AM754" t="s">
        <v>1896</v>
      </c>
      <c r="AN754" t="s">
        <v>8249</v>
      </c>
      <c r="AO754" t="s">
        <v>13619</v>
      </c>
      <c r="AP754" t="s">
        <v>13654</v>
      </c>
      <c r="AQ754" t="s">
        <v>74</v>
      </c>
      <c r="AR754" t="s">
        <v>13620</v>
      </c>
      <c r="AS754" t="s">
        <v>13621</v>
      </c>
      <c r="AT754" t="s">
        <v>74</v>
      </c>
      <c r="AU754">
        <v>2010</v>
      </c>
      <c r="AV754">
        <v>56</v>
      </c>
      <c r="AW754">
        <v>197</v>
      </c>
      <c r="AX754" t="s">
        <v>74</v>
      </c>
      <c r="AY754" t="s">
        <v>74</v>
      </c>
      <c r="AZ754" t="s">
        <v>74</v>
      </c>
      <c r="BA754" t="s">
        <v>74</v>
      </c>
      <c r="BB754">
        <v>395</v>
      </c>
      <c r="BC754">
        <v>404</v>
      </c>
      <c r="BD754" t="s">
        <v>74</v>
      </c>
      <c r="BE754" t="s">
        <v>13753</v>
      </c>
      <c r="BF754" t="str">
        <f>HYPERLINK("http://dx.doi.org/10.3189/002214310792447707","http://dx.doi.org/10.3189/002214310792447707")</f>
        <v>http://dx.doi.org/10.3189/002214310792447707</v>
      </c>
      <c r="BG754" t="s">
        <v>74</v>
      </c>
      <c r="BH754" t="s">
        <v>74</v>
      </c>
      <c r="BI754">
        <v>10</v>
      </c>
      <c r="BJ754" t="s">
        <v>2881</v>
      </c>
      <c r="BK754" t="s">
        <v>102</v>
      </c>
      <c r="BL754" t="s">
        <v>2628</v>
      </c>
      <c r="BM754" t="s">
        <v>13736</v>
      </c>
      <c r="BN754" t="s">
        <v>74</v>
      </c>
      <c r="BO754" t="s">
        <v>260</v>
      </c>
      <c r="BP754" t="s">
        <v>74</v>
      </c>
      <c r="BQ754" t="s">
        <v>74</v>
      </c>
      <c r="BR754" t="s">
        <v>105</v>
      </c>
      <c r="BS754" t="s">
        <v>13754</v>
      </c>
      <c r="BT754" t="str">
        <f>HYPERLINK("https%3A%2F%2Fwww.webofscience.com%2Fwos%2Fwoscc%2Ffull-record%2FWOS:000280930000003","View Full Record in Web of Science")</f>
        <v>View Full Record in Web of Science</v>
      </c>
    </row>
    <row r="755" spans="1:72" x14ac:dyDescent="0.15">
      <c r="A755" t="s">
        <v>72</v>
      </c>
      <c r="B755" t="s">
        <v>13755</v>
      </c>
      <c r="C755" t="s">
        <v>74</v>
      </c>
      <c r="D755" t="s">
        <v>74</v>
      </c>
      <c r="E755" t="s">
        <v>74</v>
      </c>
      <c r="F755" t="s">
        <v>13756</v>
      </c>
      <c r="G755" t="s">
        <v>74</v>
      </c>
      <c r="H755" t="s">
        <v>74</v>
      </c>
      <c r="I755" t="s">
        <v>13757</v>
      </c>
      <c r="J755" t="s">
        <v>13608</v>
      </c>
      <c r="K755" t="s">
        <v>74</v>
      </c>
      <c r="L755" t="s">
        <v>74</v>
      </c>
      <c r="M755" t="s">
        <v>78</v>
      </c>
      <c r="N755" t="s">
        <v>79</v>
      </c>
      <c r="O755" t="s">
        <v>74</v>
      </c>
      <c r="P755" t="s">
        <v>74</v>
      </c>
      <c r="Q755" t="s">
        <v>74</v>
      </c>
      <c r="R755" t="s">
        <v>74</v>
      </c>
      <c r="S755" t="s">
        <v>74</v>
      </c>
      <c r="T755" t="s">
        <v>74</v>
      </c>
      <c r="U755" t="s">
        <v>13758</v>
      </c>
      <c r="V755" t="s">
        <v>13759</v>
      </c>
      <c r="W755" t="s">
        <v>13760</v>
      </c>
      <c r="X755" t="s">
        <v>13761</v>
      </c>
      <c r="Y755" t="s">
        <v>13762</v>
      </c>
      <c r="Z755" t="s">
        <v>13763</v>
      </c>
      <c r="AA755" t="s">
        <v>13764</v>
      </c>
      <c r="AB755" t="s">
        <v>13765</v>
      </c>
      <c r="AC755" t="s">
        <v>13766</v>
      </c>
      <c r="AD755" t="s">
        <v>13767</v>
      </c>
      <c r="AE755" t="s">
        <v>13768</v>
      </c>
      <c r="AF755" t="s">
        <v>74</v>
      </c>
      <c r="AG755">
        <v>99</v>
      </c>
      <c r="AH755">
        <v>46</v>
      </c>
      <c r="AI755">
        <v>48</v>
      </c>
      <c r="AJ755">
        <v>1</v>
      </c>
      <c r="AK755">
        <v>21</v>
      </c>
      <c r="AL755" t="s">
        <v>587</v>
      </c>
      <c r="AM755" t="s">
        <v>1896</v>
      </c>
      <c r="AN755" t="s">
        <v>8249</v>
      </c>
      <c r="AO755" t="s">
        <v>13619</v>
      </c>
      <c r="AP755" t="s">
        <v>13654</v>
      </c>
      <c r="AQ755" t="s">
        <v>74</v>
      </c>
      <c r="AR755" t="s">
        <v>13620</v>
      </c>
      <c r="AS755" t="s">
        <v>13621</v>
      </c>
      <c r="AT755" t="s">
        <v>74</v>
      </c>
      <c r="AU755">
        <v>2010</v>
      </c>
      <c r="AV755">
        <v>56</v>
      </c>
      <c r="AW755">
        <v>197</v>
      </c>
      <c r="AX755" t="s">
        <v>74</v>
      </c>
      <c r="AY755" t="s">
        <v>74</v>
      </c>
      <c r="AZ755" t="s">
        <v>74</v>
      </c>
      <c r="BA755" t="s">
        <v>74</v>
      </c>
      <c r="BB755">
        <v>514</v>
      </c>
      <c r="BC755">
        <v>526</v>
      </c>
      <c r="BD755" t="s">
        <v>74</v>
      </c>
      <c r="BE755" t="s">
        <v>13769</v>
      </c>
      <c r="BF755" t="str">
        <f>HYPERLINK("http://dx.doi.org/10.3189/002214310792447806","http://dx.doi.org/10.3189/002214310792447806")</f>
        <v>http://dx.doi.org/10.3189/002214310792447806</v>
      </c>
      <c r="BG755" t="s">
        <v>74</v>
      </c>
      <c r="BH755" t="s">
        <v>74</v>
      </c>
      <c r="BI755">
        <v>13</v>
      </c>
      <c r="BJ755" t="s">
        <v>2881</v>
      </c>
      <c r="BK755" t="s">
        <v>102</v>
      </c>
      <c r="BL755" t="s">
        <v>2628</v>
      </c>
      <c r="BM755" t="s">
        <v>13736</v>
      </c>
      <c r="BN755" t="s">
        <v>74</v>
      </c>
      <c r="BO755" t="s">
        <v>1561</v>
      </c>
      <c r="BP755" t="s">
        <v>74</v>
      </c>
      <c r="BQ755" t="s">
        <v>74</v>
      </c>
      <c r="BR755" t="s">
        <v>105</v>
      </c>
      <c r="BS755" t="s">
        <v>13770</v>
      </c>
      <c r="BT755" t="str">
        <f>HYPERLINK("https%3A%2F%2Fwww.webofscience.com%2Fwos%2Fwoscc%2Ffull-record%2FWOS:000280930000012","View Full Record in Web of Science")</f>
        <v>View Full Record in Web of Science</v>
      </c>
    </row>
    <row r="756" spans="1:72" x14ac:dyDescent="0.15">
      <c r="A756" t="s">
        <v>72</v>
      </c>
      <c r="B756" t="s">
        <v>13771</v>
      </c>
      <c r="C756" t="s">
        <v>74</v>
      </c>
      <c r="D756" t="s">
        <v>74</v>
      </c>
      <c r="E756" t="s">
        <v>74</v>
      </c>
      <c r="F756" t="s">
        <v>13772</v>
      </c>
      <c r="G756" t="s">
        <v>74</v>
      </c>
      <c r="H756" t="s">
        <v>74</v>
      </c>
      <c r="I756" t="s">
        <v>13773</v>
      </c>
      <c r="J756" t="s">
        <v>13608</v>
      </c>
      <c r="K756" t="s">
        <v>74</v>
      </c>
      <c r="L756" t="s">
        <v>74</v>
      </c>
      <c r="M756" t="s">
        <v>78</v>
      </c>
      <c r="N756" t="s">
        <v>79</v>
      </c>
      <c r="O756" t="s">
        <v>74</v>
      </c>
      <c r="P756" t="s">
        <v>74</v>
      </c>
      <c r="Q756" t="s">
        <v>74</v>
      </c>
      <c r="R756" t="s">
        <v>74</v>
      </c>
      <c r="S756" t="s">
        <v>74</v>
      </c>
      <c r="T756" t="s">
        <v>74</v>
      </c>
      <c r="U756" t="s">
        <v>13774</v>
      </c>
      <c r="V756" t="s">
        <v>13775</v>
      </c>
      <c r="W756" t="s">
        <v>13776</v>
      </c>
      <c r="X756" t="s">
        <v>656</v>
      </c>
      <c r="Y756" t="s">
        <v>13777</v>
      </c>
      <c r="Z756" t="s">
        <v>13778</v>
      </c>
      <c r="AA756" t="s">
        <v>13779</v>
      </c>
      <c r="AB756" t="s">
        <v>11238</v>
      </c>
      <c r="AC756" t="s">
        <v>403</v>
      </c>
      <c r="AD756" t="s">
        <v>404</v>
      </c>
      <c r="AE756" t="s">
        <v>13780</v>
      </c>
      <c r="AF756" t="s">
        <v>74</v>
      </c>
      <c r="AG756">
        <v>20</v>
      </c>
      <c r="AH756">
        <v>86</v>
      </c>
      <c r="AI756">
        <v>91</v>
      </c>
      <c r="AJ756">
        <v>1</v>
      </c>
      <c r="AK756">
        <v>21</v>
      </c>
      <c r="AL756" t="s">
        <v>9150</v>
      </c>
      <c r="AM756" t="s">
        <v>1896</v>
      </c>
      <c r="AN756" t="s">
        <v>9151</v>
      </c>
      <c r="AO756" t="s">
        <v>13619</v>
      </c>
      <c r="AP756" t="s">
        <v>74</v>
      </c>
      <c r="AQ756" t="s">
        <v>74</v>
      </c>
      <c r="AR756" t="s">
        <v>13620</v>
      </c>
      <c r="AS756" t="s">
        <v>13621</v>
      </c>
      <c r="AT756" t="s">
        <v>74</v>
      </c>
      <c r="AU756">
        <v>2010</v>
      </c>
      <c r="AV756">
        <v>56</v>
      </c>
      <c r="AW756">
        <v>197</v>
      </c>
      <c r="AX756" t="s">
        <v>74</v>
      </c>
      <c r="AY756" t="s">
        <v>74</v>
      </c>
      <c r="AZ756" t="s">
        <v>74</v>
      </c>
      <c r="BA756" t="s">
        <v>74</v>
      </c>
      <c r="BB756">
        <v>527</v>
      </c>
      <c r="BC756">
        <v>533</v>
      </c>
      <c r="BD756" t="s">
        <v>74</v>
      </c>
      <c r="BE756" t="s">
        <v>13781</v>
      </c>
      <c r="BF756" t="str">
        <f>HYPERLINK("http://dx.doi.org/10.3189/002214310792447699","http://dx.doi.org/10.3189/002214310792447699")</f>
        <v>http://dx.doi.org/10.3189/002214310792447699</v>
      </c>
      <c r="BG756" t="s">
        <v>74</v>
      </c>
      <c r="BH756" t="s">
        <v>74</v>
      </c>
      <c r="BI756">
        <v>7</v>
      </c>
      <c r="BJ756" t="s">
        <v>2881</v>
      </c>
      <c r="BK756" t="s">
        <v>102</v>
      </c>
      <c r="BL756" t="s">
        <v>2628</v>
      </c>
      <c r="BM756" t="s">
        <v>13736</v>
      </c>
      <c r="BN756" t="s">
        <v>74</v>
      </c>
      <c r="BO756" t="s">
        <v>104</v>
      </c>
      <c r="BP756" t="s">
        <v>74</v>
      </c>
      <c r="BQ756" t="s">
        <v>74</v>
      </c>
      <c r="BR756" t="s">
        <v>105</v>
      </c>
      <c r="BS756" t="s">
        <v>13782</v>
      </c>
      <c r="BT756" t="str">
        <f>HYPERLINK("https%3A%2F%2Fwww.webofscience.com%2Fwos%2Fwoscc%2Ffull-record%2FWOS:000280930000013","View Full Record in Web of Science")</f>
        <v>View Full Record in Web of Science</v>
      </c>
    </row>
    <row r="757" spans="1:72" x14ac:dyDescent="0.15">
      <c r="A757" t="s">
        <v>72</v>
      </c>
      <c r="B757" t="s">
        <v>13783</v>
      </c>
      <c r="C757" t="s">
        <v>74</v>
      </c>
      <c r="D757" t="s">
        <v>74</v>
      </c>
      <c r="E757" t="s">
        <v>74</v>
      </c>
      <c r="F757" t="s">
        <v>13784</v>
      </c>
      <c r="G757" t="s">
        <v>74</v>
      </c>
      <c r="H757" t="s">
        <v>74</v>
      </c>
      <c r="I757" t="s">
        <v>13785</v>
      </c>
      <c r="J757" t="s">
        <v>13608</v>
      </c>
      <c r="K757" t="s">
        <v>74</v>
      </c>
      <c r="L757" t="s">
        <v>74</v>
      </c>
      <c r="M757" t="s">
        <v>78</v>
      </c>
      <c r="N757" t="s">
        <v>79</v>
      </c>
      <c r="O757" t="s">
        <v>74</v>
      </c>
      <c r="P757" t="s">
        <v>74</v>
      </c>
      <c r="Q757" t="s">
        <v>74</v>
      </c>
      <c r="R757" t="s">
        <v>74</v>
      </c>
      <c r="S757" t="s">
        <v>74</v>
      </c>
      <c r="T757" t="s">
        <v>74</v>
      </c>
      <c r="U757" t="s">
        <v>13786</v>
      </c>
      <c r="V757" t="s">
        <v>13787</v>
      </c>
      <c r="W757" t="s">
        <v>13788</v>
      </c>
      <c r="X757" t="s">
        <v>13789</v>
      </c>
      <c r="Y757" t="s">
        <v>13790</v>
      </c>
      <c r="Z757" t="s">
        <v>13791</v>
      </c>
      <c r="AA757" t="s">
        <v>13792</v>
      </c>
      <c r="AB757" t="s">
        <v>13793</v>
      </c>
      <c r="AC757" t="s">
        <v>13794</v>
      </c>
      <c r="AD757" t="s">
        <v>13795</v>
      </c>
      <c r="AE757" t="s">
        <v>13796</v>
      </c>
      <c r="AF757" t="s">
        <v>74</v>
      </c>
      <c r="AG757">
        <v>40</v>
      </c>
      <c r="AH757">
        <v>34</v>
      </c>
      <c r="AI757">
        <v>36</v>
      </c>
      <c r="AJ757">
        <v>0</v>
      </c>
      <c r="AK757">
        <v>17</v>
      </c>
      <c r="AL757" t="s">
        <v>9150</v>
      </c>
      <c r="AM757" t="s">
        <v>1896</v>
      </c>
      <c r="AN757" t="s">
        <v>9151</v>
      </c>
      <c r="AO757" t="s">
        <v>13619</v>
      </c>
      <c r="AP757" t="s">
        <v>74</v>
      </c>
      <c r="AQ757" t="s">
        <v>74</v>
      </c>
      <c r="AR757" t="s">
        <v>13620</v>
      </c>
      <c r="AS757" t="s">
        <v>13621</v>
      </c>
      <c r="AT757" t="s">
        <v>74</v>
      </c>
      <c r="AU757">
        <v>2010</v>
      </c>
      <c r="AV757">
        <v>56</v>
      </c>
      <c r="AW757">
        <v>197</v>
      </c>
      <c r="AX757" t="s">
        <v>74</v>
      </c>
      <c r="AY757" t="s">
        <v>74</v>
      </c>
      <c r="AZ757" t="s">
        <v>74</v>
      </c>
      <c r="BA757" t="s">
        <v>74</v>
      </c>
      <c r="BB757">
        <v>545</v>
      </c>
      <c r="BC757">
        <v>554</v>
      </c>
      <c r="BD757" t="s">
        <v>74</v>
      </c>
      <c r="BE757" t="s">
        <v>13797</v>
      </c>
      <c r="BF757" t="str">
        <f>HYPERLINK("http://dx.doi.org/10.3189/002214310792447842","http://dx.doi.org/10.3189/002214310792447842")</f>
        <v>http://dx.doi.org/10.3189/002214310792447842</v>
      </c>
      <c r="BG757" t="s">
        <v>74</v>
      </c>
      <c r="BH757" t="s">
        <v>74</v>
      </c>
      <c r="BI757">
        <v>10</v>
      </c>
      <c r="BJ757" t="s">
        <v>2881</v>
      </c>
      <c r="BK757" t="s">
        <v>102</v>
      </c>
      <c r="BL757" t="s">
        <v>2628</v>
      </c>
      <c r="BM757" t="s">
        <v>13736</v>
      </c>
      <c r="BN757" t="s">
        <v>74</v>
      </c>
      <c r="BO757" t="s">
        <v>1561</v>
      </c>
      <c r="BP757" t="s">
        <v>74</v>
      </c>
      <c r="BQ757" t="s">
        <v>74</v>
      </c>
      <c r="BR757" t="s">
        <v>105</v>
      </c>
      <c r="BS757" t="s">
        <v>13798</v>
      </c>
      <c r="BT757" t="str">
        <f>HYPERLINK("https%3A%2F%2Fwww.webofscience.com%2Fwos%2Fwoscc%2Ffull-record%2FWOS:000280930000015","View Full Record in Web of Science")</f>
        <v>View Full Record in Web of Science</v>
      </c>
    </row>
    <row r="758" spans="1:72" x14ac:dyDescent="0.15">
      <c r="A758" t="s">
        <v>72</v>
      </c>
      <c r="B758" t="s">
        <v>13799</v>
      </c>
      <c r="C758" t="s">
        <v>74</v>
      </c>
      <c r="D758" t="s">
        <v>74</v>
      </c>
      <c r="E758" t="s">
        <v>74</v>
      </c>
      <c r="F758" t="s">
        <v>13800</v>
      </c>
      <c r="G758" t="s">
        <v>74</v>
      </c>
      <c r="H758" t="s">
        <v>74</v>
      </c>
      <c r="I758" t="s">
        <v>13801</v>
      </c>
      <c r="J758" t="s">
        <v>13608</v>
      </c>
      <c r="K758" t="s">
        <v>74</v>
      </c>
      <c r="L758" t="s">
        <v>74</v>
      </c>
      <c r="M758" t="s">
        <v>78</v>
      </c>
      <c r="N758" t="s">
        <v>79</v>
      </c>
      <c r="O758" t="s">
        <v>74</v>
      </c>
      <c r="P758" t="s">
        <v>74</v>
      </c>
      <c r="Q758" t="s">
        <v>74</v>
      </c>
      <c r="R758" t="s">
        <v>74</v>
      </c>
      <c r="S758" t="s">
        <v>74</v>
      </c>
      <c r="T758" t="s">
        <v>74</v>
      </c>
      <c r="U758" t="s">
        <v>13802</v>
      </c>
      <c r="V758" t="s">
        <v>13803</v>
      </c>
      <c r="W758" t="s">
        <v>13804</v>
      </c>
      <c r="X758" t="s">
        <v>13805</v>
      </c>
      <c r="Y758" t="s">
        <v>13806</v>
      </c>
      <c r="Z758" t="s">
        <v>13807</v>
      </c>
      <c r="AA758" t="s">
        <v>13808</v>
      </c>
      <c r="AB758" t="s">
        <v>13809</v>
      </c>
      <c r="AC758" t="s">
        <v>13810</v>
      </c>
      <c r="AD758" t="s">
        <v>4729</v>
      </c>
      <c r="AE758" t="s">
        <v>74</v>
      </c>
      <c r="AF758" t="s">
        <v>74</v>
      </c>
      <c r="AG758">
        <v>34</v>
      </c>
      <c r="AH758">
        <v>40</v>
      </c>
      <c r="AI758">
        <v>43</v>
      </c>
      <c r="AJ758">
        <v>1</v>
      </c>
      <c r="AK758">
        <v>18</v>
      </c>
      <c r="AL758" t="s">
        <v>587</v>
      </c>
      <c r="AM758" t="s">
        <v>1896</v>
      </c>
      <c r="AN758" t="s">
        <v>8249</v>
      </c>
      <c r="AO758" t="s">
        <v>13619</v>
      </c>
      <c r="AP758" t="s">
        <v>13654</v>
      </c>
      <c r="AQ758" t="s">
        <v>74</v>
      </c>
      <c r="AR758" t="s">
        <v>13620</v>
      </c>
      <c r="AS758" t="s">
        <v>13621</v>
      </c>
      <c r="AT758" t="s">
        <v>74</v>
      </c>
      <c r="AU758">
        <v>2010</v>
      </c>
      <c r="AV758">
        <v>56</v>
      </c>
      <c r="AW758">
        <v>198</v>
      </c>
      <c r="AX758" t="s">
        <v>74</v>
      </c>
      <c r="AY758" t="s">
        <v>74</v>
      </c>
      <c r="AZ758" t="s">
        <v>74</v>
      </c>
      <c r="BA758" t="s">
        <v>74</v>
      </c>
      <c r="BB758">
        <v>593</v>
      </c>
      <c r="BC758">
        <v>600</v>
      </c>
      <c r="BD758" t="s">
        <v>74</v>
      </c>
      <c r="BE758" t="s">
        <v>13811</v>
      </c>
      <c r="BF758" t="str">
        <f>HYPERLINK("http://dx.doi.org/10.3189/002214310793146223","http://dx.doi.org/10.3189/002214310793146223")</f>
        <v>http://dx.doi.org/10.3189/002214310793146223</v>
      </c>
      <c r="BG758" t="s">
        <v>74</v>
      </c>
      <c r="BH758" t="s">
        <v>74</v>
      </c>
      <c r="BI758">
        <v>8</v>
      </c>
      <c r="BJ758" t="s">
        <v>2881</v>
      </c>
      <c r="BK758" t="s">
        <v>102</v>
      </c>
      <c r="BL758" t="s">
        <v>2628</v>
      </c>
      <c r="BM758" t="s">
        <v>13812</v>
      </c>
      <c r="BN758" t="s">
        <v>74</v>
      </c>
      <c r="BO758" t="s">
        <v>104</v>
      </c>
      <c r="BP758" t="s">
        <v>74</v>
      </c>
      <c r="BQ758" t="s">
        <v>74</v>
      </c>
      <c r="BR758" t="s">
        <v>105</v>
      </c>
      <c r="BS758" t="s">
        <v>13813</v>
      </c>
      <c r="BT758" t="str">
        <f>HYPERLINK("https%3A%2F%2Fwww.webofscience.com%2Fwos%2Fwoscc%2Ffull-record%2FWOS:000283027700003","View Full Record in Web of Science")</f>
        <v>View Full Record in Web of Science</v>
      </c>
    </row>
    <row r="759" spans="1:72" x14ac:dyDescent="0.15">
      <c r="A759" t="s">
        <v>72</v>
      </c>
      <c r="B759" t="s">
        <v>13814</v>
      </c>
      <c r="C759" t="s">
        <v>74</v>
      </c>
      <c r="D759" t="s">
        <v>74</v>
      </c>
      <c r="E759" t="s">
        <v>74</v>
      </c>
      <c r="F759" t="s">
        <v>13815</v>
      </c>
      <c r="G759" t="s">
        <v>74</v>
      </c>
      <c r="H759" t="s">
        <v>74</v>
      </c>
      <c r="I759" t="s">
        <v>13816</v>
      </c>
      <c r="J759" t="s">
        <v>13608</v>
      </c>
      <c r="K759" t="s">
        <v>74</v>
      </c>
      <c r="L759" t="s">
        <v>74</v>
      </c>
      <c r="M759" t="s">
        <v>78</v>
      </c>
      <c r="N759" t="s">
        <v>79</v>
      </c>
      <c r="O759" t="s">
        <v>74</v>
      </c>
      <c r="P759" t="s">
        <v>74</v>
      </c>
      <c r="Q759" t="s">
        <v>74</v>
      </c>
      <c r="R759" t="s">
        <v>74</v>
      </c>
      <c r="S759" t="s">
        <v>74</v>
      </c>
      <c r="T759" t="s">
        <v>74</v>
      </c>
      <c r="U759" t="s">
        <v>13817</v>
      </c>
      <c r="V759" t="s">
        <v>13818</v>
      </c>
      <c r="W759" t="s">
        <v>13819</v>
      </c>
      <c r="X759" t="s">
        <v>13820</v>
      </c>
      <c r="Y759" t="s">
        <v>13821</v>
      </c>
      <c r="Z759" t="s">
        <v>13822</v>
      </c>
      <c r="AA759" t="s">
        <v>74</v>
      </c>
      <c r="AB759" t="s">
        <v>74</v>
      </c>
      <c r="AC759" t="s">
        <v>13823</v>
      </c>
      <c r="AD759" t="s">
        <v>13824</v>
      </c>
      <c r="AE759" t="s">
        <v>13825</v>
      </c>
      <c r="AF759" t="s">
        <v>74</v>
      </c>
      <c r="AG759">
        <v>33</v>
      </c>
      <c r="AH759">
        <v>23</v>
      </c>
      <c r="AI759">
        <v>30</v>
      </c>
      <c r="AJ759">
        <v>0</v>
      </c>
      <c r="AK759">
        <v>13</v>
      </c>
      <c r="AL759" t="s">
        <v>587</v>
      </c>
      <c r="AM759" t="s">
        <v>1896</v>
      </c>
      <c r="AN759" t="s">
        <v>8249</v>
      </c>
      <c r="AO759" t="s">
        <v>13619</v>
      </c>
      <c r="AP759" t="s">
        <v>13654</v>
      </c>
      <c r="AQ759" t="s">
        <v>74</v>
      </c>
      <c r="AR759" t="s">
        <v>13620</v>
      </c>
      <c r="AS759" t="s">
        <v>13621</v>
      </c>
      <c r="AT759" t="s">
        <v>74</v>
      </c>
      <c r="AU759">
        <v>2010</v>
      </c>
      <c r="AV759">
        <v>56</v>
      </c>
      <c r="AW759">
        <v>198</v>
      </c>
      <c r="AX759" t="s">
        <v>74</v>
      </c>
      <c r="AY759" t="s">
        <v>74</v>
      </c>
      <c r="AZ759" t="s">
        <v>74</v>
      </c>
      <c r="BA759" t="s">
        <v>74</v>
      </c>
      <c r="BB759">
        <v>647</v>
      </c>
      <c r="BC759">
        <v>654</v>
      </c>
      <c r="BD759" t="s">
        <v>74</v>
      </c>
      <c r="BE759" t="s">
        <v>13826</v>
      </c>
      <c r="BF759" t="str">
        <f>HYPERLINK("http://dx.doi.org/10.3189/002214310793146241","http://dx.doi.org/10.3189/002214310793146241")</f>
        <v>http://dx.doi.org/10.3189/002214310793146241</v>
      </c>
      <c r="BG759" t="s">
        <v>74</v>
      </c>
      <c r="BH759" t="s">
        <v>74</v>
      </c>
      <c r="BI759">
        <v>8</v>
      </c>
      <c r="BJ759" t="s">
        <v>2881</v>
      </c>
      <c r="BK759" t="s">
        <v>102</v>
      </c>
      <c r="BL759" t="s">
        <v>2628</v>
      </c>
      <c r="BM759" t="s">
        <v>13812</v>
      </c>
      <c r="BN759" t="s">
        <v>74</v>
      </c>
      <c r="BO759" t="s">
        <v>1561</v>
      </c>
      <c r="BP759" t="s">
        <v>74</v>
      </c>
      <c r="BQ759" t="s">
        <v>74</v>
      </c>
      <c r="BR759" t="s">
        <v>105</v>
      </c>
      <c r="BS759" t="s">
        <v>13827</v>
      </c>
      <c r="BT759" t="str">
        <f>HYPERLINK("https%3A%2F%2Fwww.webofscience.com%2Fwos%2Fwoscc%2Ffull-record%2FWOS:000283027700008","View Full Record in Web of Science")</f>
        <v>View Full Record in Web of Science</v>
      </c>
    </row>
    <row r="760" spans="1:72" x14ac:dyDescent="0.15">
      <c r="A760" t="s">
        <v>72</v>
      </c>
      <c r="B760" t="s">
        <v>13828</v>
      </c>
      <c r="C760" t="s">
        <v>74</v>
      </c>
      <c r="D760" t="s">
        <v>74</v>
      </c>
      <c r="E760" t="s">
        <v>74</v>
      </c>
      <c r="F760" t="s">
        <v>13829</v>
      </c>
      <c r="G760" t="s">
        <v>74</v>
      </c>
      <c r="H760" t="s">
        <v>74</v>
      </c>
      <c r="I760" t="s">
        <v>13830</v>
      </c>
      <c r="J760" t="s">
        <v>13608</v>
      </c>
      <c r="K760" t="s">
        <v>74</v>
      </c>
      <c r="L760" t="s">
        <v>74</v>
      </c>
      <c r="M760" t="s">
        <v>78</v>
      </c>
      <c r="N760" t="s">
        <v>79</v>
      </c>
      <c r="O760" t="s">
        <v>74</v>
      </c>
      <c r="P760" t="s">
        <v>74</v>
      </c>
      <c r="Q760" t="s">
        <v>74</v>
      </c>
      <c r="R760" t="s">
        <v>74</v>
      </c>
      <c r="S760" t="s">
        <v>74</v>
      </c>
      <c r="T760" t="s">
        <v>74</v>
      </c>
      <c r="U760" t="s">
        <v>13831</v>
      </c>
      <c r="V760" t="s">
        <v>13832</v>
      </c>
      <c r="W760" t="s">
        <v>13833</v>
      </c>
      <c r="X760" t="s">
        <v>13834</v>
      </c>
      <c r="Y760" t="s">
        <v>13835</v>
      </c>
      <c r="Z760" t="s">
        <v>13836</v>
      </c>
      <c r="AA760" t="s">
        <v>13837</v>
      </c>
      <c r="AB760" t="s">
        <v>13838</v>
      </c>
      <c r="AC760" t="s">
        <v>13839</v>
      </c>
      <c r="AD760" t="s">
        <v>13840</v>
      </c>
      <c r="AE760" t="s">
        <v>13841</v>
      </c>
      <c r="AF760" t="s">
        <v>74</v>
      </c>
      <c r="AG760">
        <v>35</v>
      </c>
      <c r="AH760">
        <v>41</v>
      </c>
      <c r="AI760">
        <v>42</v>
      </c>
      <c r="AJ760">
        <v>0</v>
      </c>
      <c r="AK760">
        <v>19</v>
      </c>
      <c r="AL760" t="s">
        <v>587</v>
      </c>
      <c r="AM760" t="s">
        <v>1896</v>
      </c>
      <c r="AN760" t="s">
        <v>8249</v>
      </c>
      <c r="AO760" t="s">
        <v>13619</v>
      </c>
      <c r="AP760" t="s">
        <v>13654</v>
      </c>
      <c r="AQ760" t="s">
        <v>74</v>
      </c>
      <c r="AR760" t="s">
        <v>13620</v>
      </c>
      <c r="AS760" t="s">
        <v>13621</v>
      </c>
      <c r="AT760" t="s">
        <v>74</v>
      </c>
      <c r="AU760">
        <v>2010</v>
      </c>
      <c r="AV760">
        <v>56</v>
      </c>
      <c r="AW760">
        <v>199</v>
      </c>
      <c r="AX760" t="s">
        <v>74</v>
      </c>
      <c r="AY760" t="s">
        <v>74</v>
      </c>
      <c r="AZ760" t="s">
        <v>74</v>
      </c>
      <c r="BA760" t="s">
        <v>74</v>
      </c>
      <c r="BB760">
        <v>771</v>
      </c>
      <c r="BC760">
        <v>780</v>
      </c>
      <c r="BD760" t="s">
        <v>74</v>
      </c>
      <c r="BE760" t="s">
        <v>13842</v>
      </c>
      <c r="BF760" t="str">
        <f>HYPERLINK("http://dx.doi.org/10.3189/002214310794457362","http://dx.doi.org/10.3189/002214310794457362")</f>
        <v>http://dx.doi.org/10.3189/002214310794457362</v>
      </c>
      <c r="BG760" t="s">
        <v>74</v>
      </c>
      <c r="BH760" t="s">
        <v>74</v>
      </c>
      <c r="BI760">
        <v>10</v>
      </c>
      <c r="BJ760" t="s">
        <v>2881</v>
      </c>
      <c r="BK760" t="s">
        <v>102</v>
      </c>
      <c r="BL760" t="s">
        <v>2628</v>
      </c>
      <c r="BM760" t="s">
        <v>13843</v>
      </c>
      <c r="BN760" t="s">
        <v>74</v>
      </c>
      <c r="BO760" t="s">
        <v>104</v>
      </c>
      <c r="BP760" t="s">
        <v>74</v>
      </c>
      <c r="BQ760" t="s">
        <v>74</v>
      </c>
      <c r="BR760" t="s">
        <v>105</v>
      </c>
      <c r="BS760" t="s">
        <v>13844</v>
      </c>
      <c r="BT760" t="str">
        <f>HYPERLINK("https%3A%2F%2Fwww.webofscience.com%2Fwos%2Fwoscc%2Ffull-record%2FWOS:000286407400003","View Full Record in Web of Science")</f>
        <v>View Full Record in Web of Science</v>
      </c>
    </row>
    <row r="761" spans="1:72" x14ac:dyDescent="0.15">
      <c r="A761" t="s">
        <v>72</v>
      </c>
      <c r="B761" t="s">
        <v>13845</v>
      </c>
      <c r="C761" t="s">
        <v>74</v>
      </c>
      <c r="D761" t="s">
        <v>74</v>
      </c>
      <c r="E761" t="s">
        <v>74</v>
      </c>
      <c r="F761" t="s">
        <v>13846</v>
      </c>
      <c r="G761" t="s">
        <v>74</v>
      </c>
      <c r="H761" t="s">
        <v>74</v>
      </c>
      <c r="I761" t="s">
        <v>13847</v>
      </c>
      <c r="J761" t="s">
        <v>13608</v>
      </c>
      <c r="K761" t="s">
        <v>74</v>
      </c>
      <c r="L761" t="s">
        <v>74</v>
      </c>
      <c r="M761" t="s">
        <v>78</v>
      </c>
      <c r="N761" t="s">
        <v>79</v>
      </c>
      <c r="O761" t="s">
        <v>74</v>
      </c>
      <c r="P761" t="s">
        <v>74</v>
      </c>
      <c r="Q761" t="s">
        <v>74</v>
      </c>
      <c r="R761" t="s">
        <v>74</v>
      </c>
      <c r="S761" t="s">
        <v>74</v>
      </c>
      <c r="T761" t="s">
        <v>74</v>
      </c>
      <c r="U761" t="s">
        <v>13848</v>
      </c>
      <c r="V761" t="s">
        <v>13849</v>
      </c>
      <c r="W761" t="s">
        <v>13850</v>
      </c>
      <c r="X761" t="s">
        <v>13851</v>
      </c>
      <c r="Y761" t="s">
        <v>13852</v>
      </c>
      <c r="Z761" t="s">
        <v>13853</v>
      </c>
      <c r="AA761" t="s">
        <v>13854</v>
      </c>
      <c r="AB761" t="s">
        <v>13855</v>
      </c>
      <c r="AC761" t="s">
        <v>13856</v>
      </c>
      <c r="AD761" t="s">
        <v>13857</v>
      </c>
      <c r="AE761" t="s">
        <v>13858</v>
      </c>
      <c r="AF761" t="s">
        <v>74</v>
      </c>
      <c r="AG761">
        <v>31</v>
      </c>
      <c r="AH761">
        <v>73</v>
      </c>
      <c r="AI761">
        <v>80</v>
      </c>
      <c r="AJ761">
        <v>0</v>
      </c>
      <c r="AK761">
        <v>8</v>
      </c>
      <c r="AL761" t="s">
        <v>9150</v>
      </c>
      <c r="AM761" t="s">
        <v>1896</v>
      </c>
      <c r="AN761" t="s">
        <v>9151</v>
      </c>
      <c r="AO761" t="s">
        <v>13619</v>
      </c>
      <c r="AP761" t="s">
        <v>74</v>
      </c>
      <c r="AQ761" t="s">
        <v>74</v>
      </c>
      <c r="AR761" t="s">
        <v>13620</v>
      </c>
      <c r="AS761" t="s">
        <v>13621</v>
      </c>
      <c r="AT761" t="s">
        <v>74</v>
      </c>
      <c r="AU761">
        <v>2010</v>
      </c>
      <c r="AV761">
        <v>56</v>
      </c>
      <c r="AW761">
        <v>199</v>
      </c>
      <c r="AX761" t="s">
        <v>74</v>
      </c>
      <c r="AY761" t="s">
        <v>74</v>
      </c>
      <c r="AZ761" t="s">
        <v>74</v>
      </c>
      <c r="BA761" t="s">
        <v>74</v>
      </c>
      <c r="BB761">
        <v>805</v>
      </c>
      <c r="BC761">
        <v>812</v>
      </c>
      <c r="BD761" t="s">
        <v>74</v>
      </c>
      <c r="BE761" t="s">
        <v>13859</v>
      </c>
      <c r="BF761" t="str">
        <f>HYPERLINK("http://dx.doi.org/10.3189/002214310794457209","http://dx.doi.org/10.3189/002214310794457209")</f>
        <v>http://dx.doi.org/10.3189/002214310794457209</v>
      </c>
      <c r="BG761" t="s">
        <v>74</v>
      </c>
      <c r="BH761" t="s">
        <v>74</v>
      </c>
      <c r="BI761">
        <v>8</v>
      </c>
      <c r="BJ761" t="s">
        <v>2881</v>
      </c>
      <c r="BK761" t="s">
        <v>102</v>
      </c>
      <c r="BL761" t="s">
        <v>2628</v>
      </c>
      <c r="BM761" t="s">
        <v>13843</v>
      </c>
      <c r="BN761" t="s">
        <v>74</v>
      </c>
      <c r="BO761" t="s">
        <v>1561</v>
      </c>
      <c r="BP761" t="s">
        <v>74</v>
      </c>
      <c r="BQ761" t="s">
        <v>74</v>
      </c>
      <c r="BR761" t="s">
        <v>105</v>
      </c>
      <c r="BS761" t="s">
        <v>13860</v>
      </c>
      <c r="BT761" t="str">
        <f>HYPERLINK("https%3A%2F%2Fwww.webofscience.com%2Fwos%2Fwoscc%2Ffull-record%2FWOS:000286407400006","View Full Record in Web of Science")</f>
        <v>View Full Record in Web of Science</v>
      </c>
    </row>
    <row r="762" spans="1:72" x14ac:dyDescent="0.15">
      <c r="A762" t="s">
        <v>72</v>
      </c>
      <c r="B762" t="s">
        <v>13861</v>
      </c>
      <c r="C762" t="s">
        <v>74</v>
      </c>
      <c r="D762" t="s">
        <v>74</v>
      </c>
      <c r="E762" t="s">
        <v>74</v>
      </c>
      <c r="F762" t="s">
        <v>13862</v>
      </c>
      <c r="G762" t="s">
        <v>74</v>
      </c>
      <c r="H762" t="s">
        <v>74</v>
      </c>
      <c r="I762" t="s">
        <v>13863</v>
      </c>
      <c r="J762" t="s">
        <v>13608</v>
      </c>
      <c r="K762" t="s">
        <v>74</v>
      </c>
      <c r="L762" t="s">
        <v>74</v>
      </c>
      <c r="M762" t="s">
        <v>78</v>
      </c>
      <c r="N762" t="s">
        <v>79</v>
      </c>
      <c r="O762" t="s">
        <v>74</v>
      </c>
      <c r="P762" t="s">
        <v>74</v>
      </c>
      <c r="Q762" t="s">
        <v>74</v>
      </c>
      <c r="R762" t="s">
        <v>74</v>
      </c>
      <c r="S762" t="s">
        <v>74</v>
      </c>
      <c r="T762" t="s">
        <v>74</v>
      </c>
      <c r="U762" t="s">
        <v>13864</v>
      </c>
      <c r="V762" t="s">
        <v>13865</v>
      </c>
      <c r="W762" t="s">
        <v>13866</v>
      </c>
      <c r="X762" t="s">
        <v>13867</v>
      </c>
      <c r="Y762" t="s">
        <v>13868</v>
      </c>
      <c r="Z762" t="s">
        <v>13869</v>
      </c>
      <c r="AA762" t="s">
        <v>13870</v>
      </c>
      <c r="AB762" t="s">
        <v>13871</v>
      </c>
      <c r="AC762" t="s">
        <v>13872</v>
      </c>
      <c r="AD762" t="s">
        <v>13873</v>
      </c>
      <c r="AE762" t="s">
        <v>13874</v>
      </c>
      <c r="AF762" t="s">
        <v>74</v>
      </c>
      <c r="AG762">
        <v>65</v>
      </c>
      <c r="AH762">
        <v>23</v>
      </c>
      <c r="AI762">
        <v>23</v>
      </c>
      <c r="AJ762">
        <v>0</v>
      </c>
      <c r="AK762">
        <v>4</v>
      </c>
      <c r="AL762" t="s">
        <v>587</v>
      </c>
      <c r="AM762" t="s">
        <v>1896</v>
      </c>
      <c r="AN762" t="s">
        <v>8249</v>
      </c>
      <c r="AO762" t="s">
        <v>13619</v>
      </c>
      <c r="AP762" t="s">
        <v>13654</v>
      </c>
      <c r="AQ762" t="s">
        <v>74</v>
      </c>
      <c r="AR762" t="s">
        <v>13620</v>
      </c>
      <c r="AS762" t="s">
        <v>13621</v>
      </c>
      <c r="AT762" t="s">
        <v>74</v>
      </c>
      <c r="AU762">
        <v>2010</v>
      </c>
      <c r="AV762">
        <v>56</v>
      </c>
      <c r="AW762">
        <v>199</v>
      </c>
      <c r="AX762" t="s">
        <v>74</v>
      </c>
      <c r="AY762" t="s">
        <v>74</v>
      </c>
      <c r="AZ762" t="s">
        <v>74</v>
      </c>
      <c r="BA762" t="s">
        <v>74</v>
      </c>
      <c r="BB762">
        <v>877</v>
      </c>
      <c r="BC762">
        <v>890</v>
      </c>
      <c r="BD762" t="s">
        <v>74</v>
      </c>
      <c r="BE762" t="s">
        <v>13875</v>
      </c>
      <c r="BF762" t="str">
        <f>HYPERLINK("http://dx.doi.org/10.3189/002214310794457353","http://dx.doi.org/10.3189/002214310794457353")</f>
        <v>http://dx.doi.org/10.3189/002214310794457353</v>
      </c>
      <c r="BG762" t="s">
        <v>74</v>
      </c>
      <c r="BH762" t="s">
        <v>74</v>
      </c>
      <c r="BI762">
        <v>14</v>
      </c>
      <c r="BJ762" t="s">
        <v>2881</v>
      </c>
      <c r="BK762" t="s">
        <v>102</v>
      </c>
      <c r="BL762" t="s">
        <v>2628</v>
      </c>
      <c r="BM762" t="s">
        <v>13843</v>
      </c>
      <c r="BN762" t="s">
        <v>74</v>
      </c>
      <c r="BO762" t="s">
        <v>13876</v>
      </c>
      <c r="BP762" t="s">
        <v>74</v>
      </c>
      <c r="BQ762" t="s">
        <v>74</v>
      </c>
      <c r="BR762" t="s">
        <v>105</v>
      </c>
      <c r="BS762" t="s">
        <v>13877</v>
      </c>
      <c r="BT762" t="str">
        <f>HYPERLINK("https%3A%2F%2Fwww.webofscience.com%2Fwos%2Fwoscc%2Ffull-record%2FWOS:000286407400015","View Full Record in Web of Science")</f>
        <v>View Full Record in Web of Science</v>
      </c>
    </row>
    <row r="763" spans="1:72" x14ac:dyDescent="0.15">
      <c r="A763" t="s">
        <v>72</v>
      </c>
      <c r="B763" t="s">
        <v>13878</v>
      </c>
      <c r="C763" t="s">
        <v>74</v>
      </c>
      <c r="D763" t="s">
        <v>74</v>
      </c>
      <c r="E763" t="s">
        <v>74</v>
      </c>
      <c r="F763" t="s">
        <v>13879</v>
      </c>
      <c r="G763" t="s">
        <v>74</v>
      </c>
      <c r="H763" t="s">
        <v>74</v>
      </c>
      <c r="I763" t="s">
        <v>13880</v>
      </c>
      <c r="J763" t="s">
        <v>13608</v>
      </c>
      <c r="K763" t="s">
        <v>74</v>
      </c>
      <c r="L763" t="s">
        <v>74</v>
      </c>
      <c r="M763" t="s">
        <v>78</v>
      </c>
      <c r="N763" t="s">
        <v>79</v>
      </c>
      <c r="O763" t="s">
        <v>74</v>
      </c>
      <c r="P763" t="s">
        <v>74</v>
      </c>
      <c r="Q763" t="s">
        <v>74</v>
      </c>
      <c r="R763" t="s">
        <v>74</v>
      </c>
      <c r="S763" t="s">
        <v>74</v>
      </c>
      <c r="T763" t="s">
        <v>74</v>
      </c>
      <c r="U763" t="s">
        <v>13881</v>
      </c>
      <c r="V763" t="s">
        <v>13882</v>
      </c>
      <c r="W763" t="s">
        <v>13883</v>
      </c>
      <c r="X763" t="s">
        <v>13884</v>
      </c>
      <c r="Y763" t="s">
        <v>13885</v>
      </c>
      <c r="Z763" t="s">
        <v>13886</v>
      </c>
      <c r="AA763" t="s">
        <v>13887</v>
      </c>
      <c r="AB763" t="s">
        <v>13888</v>
      </c>
      <c r="AC763" t="s">
        <v>74</v>
      </c>
      <c r="AD763" t="s">
        <v>74</v>
      </c>
      <c r="AE763" t="s">
        <v>74</v>
      </c>
      <c r="AF763" t="s">
        <v>74</v>
      </c>
      <c r="AG763">
        <v>29</v>
      </c>
      <c r="AH763">
        <v>14</v>
      </c>
      <c r="AI763">
        <v>16</v>
      </c>
      <c r="AJ763">
        <v>0</v>
      </c>
      <c r="AK763">
        <v>15</v>
      </c>
      <c r="AL763" t="s">
        <v>9150</v>
      </c>
      <c r="AM763" t="s">
        <v>1896</v>
      </c>
      <c r="AN763" t="s">
        <v>9151</v>
      </c>
      <c r="AO763" t="s">
        <v>13619</v>
      </c>
      <c r="AP763" t="s">
        <v>74</v>
      </c>
      <c r="AQ763" t="s">
        <v>74</v>
      </c>
      <c r="AR763" t="s">
        <v>13620</v>
      </c>
      <c r="AS763" t="s">
        <v>13621</v>
      </c>
      <c r="AT763" t="s">
        <v>74</v>
      </c>
      <c r="AU763">
        <v>2010</v>
      </c>
      <c r="AV763">
        <v>56</v>
      </c>
      <c r="AW763">
        <v>199</v>
      </c>
      <c r="AX763" t="s">
        <v>74</v>
      </c>
      <c r="AY763" t="s">
        <v>74</v>
      </c>
      <c r="AZ763" t="s">
        <v>74</v>
      </c>
      <c r="BA763" t="s">
        <v>74</v>
      </c>
      <c r="BB763">
        <v>917</v>
      </c>
      <c r="BC763">
        <v>921</v>
      </c>
      <c r="BD763" t="s">
        <v>74</v>
      </c>
      <c r="BE763" t="s">
        <v>13889</v>
      </c>
      <c r="BF763" t="str">
        <f>HYPERLINK("http://dx.doi.org/10.3189/002214310794457317","http://dx.doi.org/10.3189/002214310794457317")</f>
        <v>http://dx.doi.org/10.3189/002214310794457317</v>
      </c>
      <c r="BG763" t="s">
        <v>74</v>
      </c>
      <c r="BH763" t="s">
        <v>74</v>
      </c>
      <c r="BI763">
        <v>5</v>
      </c>
      <c r="BJ763" t="s">
        <v>2881</v>
      </c>
      <c r="BK763" t="s">
        <v>102</v>
      </c>
      <c r="BL763" t="s">
        <v>2628</v>
      </c>
      <c r="BM763" t="s">
        <v>13843</v>
      </c>
      <c r="BN763" t="s">
        <v>74</v>
      </c>
      <c r="BO763" t="s">
        <v>260</v>
      </c>
      <c r="BP763" t="s">
        <v>74</v>
      </c>
      <c r="BQ763" t="s">
        <v>74</v>
      </c>
      <c r="BR763" t="s">
        <v>105</v>
      </c>
      <c r="BS763" t="s">
        <v>13890</v>
      </c>
      <c r="BT763" t="str">
        <f>HYPERLINK("https%3A%2F%2Fwww.webofscience.com%2Fwos%2Fwoscc%2Ffull-record%2FWOS:000286407400018","View Full Record in Web of Science")</f>
        <v>View Full Record in Web of Science</v>
      </c>
    </row>
    <row r="764" spans="1:72" x14ac:dyDescent="0.15">
      <c r="A764" t="s">
        <v>72</v>
      </c>
      <c r="B764" t="s">
        <v>13891</v>
      </c>
      <c r="C764" t="s">
        <v>74</v>
      </c>
      <c r="D764" t="s">
        <v>74</v>
      </c>
      <c r="E764" t="s">
        <v>74</v>
      </c>
      <c r="F764" t="s">
        <v>13892</v>
      </c>
      <c r="G764" t="s">
        <v>74</v>
      </c>
      <c r="H764" t="s">
        <v>74</v>
      </c>
      <c r="I764" t="s">
        <v>13893</v>
      </c>
      <c r="J764" t="s">
        <v>13608</v>
      </c>
      <c r="K764" t="s">
        <v>74</v>
      </c>
      <c r="L764" t="s">
        <v>74</v>
      </c>
      <c r="M764" t="s">
        <v>78</v>
      </c>
      <c r="N764" t="s">
        <v>79</v>
      </c>
      <c r="O764" t="s">
        <v>74</v>
      </c>
      <c r="P764" t="s">
        <v>74</v>
      </c>
      <c r="Q764" t="s">
        <v>74</v>
      </c>
      <c r="R764" t="s">
        <v>74</v>
      </c>
      <c r="S764" t="s">
        <v>74</v>
      </c>
      <c r="T764" t="s">
        <v>74</v>
      </c>
      <c r="U764" t="s">
        <v>13894</v>
      </c>
      <c r="V764" t="s">
        <v>13895</v>
      </c>
      <c r="W764" t="s">
        <v>13896</v>
      </c>
      <c r="X764" t="s">
        <v>13897</v>
      </c>
      <c r="Y764" t="s">
        <v>13898</v>
      </c>
      <c r="Z764" t="s">
        <v>13899</v>
      </c>
      <c r="AA764" t="s">
        <v>13900</v>
      </c>
      <c r="AB764" t="s">
        <v>13901</v>
      </c>
      <c r="AC764" t="s">
        <v>13902</v>
      </c>
      <c r="AD764" t="s">
        <v>13903</v>
      </c>
      <c r="AE764" t="s">
        <v>13904</v>
      </c>
      <c r="AF764" t="s">
        <v>74</v>
      </c>
      <c r="AG764">
        <v>190</v>
      </c>
      <c r="AH764">
        <v>57</v>
      </c>
      <c r="AI764">
        <v>71</v>
      </c>
      <c r="AJ764">
        <v>0</v>
      </c>
      <c r="AK764">
        <v>23</v>
      </c>
      <c r="AL764" t="s">
        <v>587</v>
      </c>
      <c r="AM764" t="s">
        <v>1896</v>
      </c>
      <c r="AN764" t="s">
        <v>8249</v>
      </c>
      <c r="AO764" t="s">
        <v>13619</v>
      </c>
      <c r="AP764" t="s">
        <v>13654</v>
      </c>
      <c r="AQ764" t="s">
        <v>74</v>
      </c>
      <c r="AR764" t="s">
        <v>13620</v>
      </c>
      <c r="AS764" t="s">
        <v>13621</v>
      </c>
      <c r="AT764" t="s">
        <v>74</v>
      </c>
      <c r="AU764">
        <v>2010</v>
      </c>
      <c r="AV764">
        <v>56</v>
      </c>
      <c r="AW764">
        <v>200</v>
      </c>
      <c r="AX764" t="s">
        <v>74</v>
      </c>
      <c r="AY764" t="s">
        <v>74</v>
      </c>
      <c r="AZ764" t="s">
        <v>152</v>
      </c>
      <c r="BA764" t="s">
        <v>74</v>
      </c>
      <c r="BB764">
        <v>1026</v>
      </c>
      <c r="BC764">
        <v>1042</v>
      </c>
      <c r="BD764" t="s">
        <v>74</v>
      </c>
      <c r="BE764" t="s">
        <v>13905</v>
      </c>
      <c r="BF764" t="str">
        <f>HYPERLINK("http://dx.doi.org/10.3189/002214311796406158","http://dx.doi.org/10.3189/002214311796406158")</f>
        <v>http://dx.doi.org/10.3189/002214311796406158</v>
      </c>
      <c r="BG764" t="s">
        <v>74</v>
      </c>
      <c r="BH764" t="s">
        <v>74</v>
      </c>
      <c r="BI764">
        <v>17</v>
      </c>
      <c r="BJ764" t="s">
        <v>2881</v>
      </c>
      <c r="BK764" t="s">
        <v>102</v>
      </c>
      <c r="BL764" t="s">
        <v>2628</v>
      </c>
      <c r="BM764" t="s">
        <v>13906</v>
      </c>
      <c r="BN764" t="s">
        <v>74</v>
      </c>
      <c r="BO764" t="s">
        <v>104</v>
      </c>
      <c r="BP764" t="s">
        <v>74</v>
      </c>
      <c r="BQ764" t="s">
        <v>74</v>
      </c>
      <c r="BR764" t="s">
        <v>105</v>
      </c>
      <c r="BS764" t="s">
        <v>13907</v>
      </c>
      <c r="BT764" t="str">
        <f>HYPERLINK("https%3A%2F%2Fwww.webofscience.com%2Fwos%2Fwoscc%2Ffull-record%2FWOS:000294750900008","View Full Record in Web of Science")</f>
        <v>View Full Record in Web of Science</v>
      </c>
    </row>
    <row r="765" spans="1:72" x14ac:dyDescent="0.15">
      <c r="A765" t="s">
        <v>72</v>
      </c>
      <c r="B765" t="s">
        <v>13908</v>
      </c>
      <c r="C765" t="s">
        <v>74</v>
      </c>
      <c r="D765" t="s">
        <v>74</v>
      </c>
      <c r="E765" t="s">
        <v>74</v>
      </c>
      <c r="F765" t="s">
        <v>13909</v>
      </c>
      <c r="G765" t="s">
        <v>74</v>
      </c>
      <c r="H765" t="s">
        <v>74</v>
      </c>
      <c r="I765" t="s">
        <v>13910</v>
      </c>
      <c r="J765" t="s">
        <v>13608</v>
      </c>
      <c r="K765" t="s">
        <v>74</v>
      </c>
      <c r="L765" t="s">
        <v>74</v>
      </c>
      <c r="M765" t="s">
        <v>78</v>
      </c>
      <c r="N765" t="s">
        <v>79</v>
      </c>
      <c r="O765" t="s">
        <v>74</v>
      </c>
      <c r="P765" t="s">
        <v>74</v>
      </c>
      <c r="Q765" t="s">
        <v>74</v>
      </c>
      <c r="R765" t="s">
        <v>74</v>
      </c>
      <c r="S765" t="s">
        <v>74</v>
      </c>
      <c r="T765" t="s">
        <v>74</v>
      </c>
      <c r="U765" t="s">
        <v>13911</v>
      </c>
      <c r="V765" t="s">
        <v>13912</v>
      </c>
      <c r="W765" t="s">
        <v>13913</v>
      </c>
      <c r="X765" t="s">
        <v>13914</v>
      </c>
      <c r="Y765" t="s">
        <v>13915</v>
      </c>
      <c r="Z765" t="s">
        <v>13916</v>
      </c>
      <c r="AA765" t="s">
        <v>74</v>
      </c>
      <c r="AB765" t="s">
        <v>74</v>
      </c>
      <c r="AC765" t="s">
        <v>13917</v>
      </c>
      <c r="AD765" t="s">
        <v>13918</v>
      </c>
      <c r="AE765" t="s">
        <v>13919</v>
      </c>
      <c r="AF765" t="s">
        <v>74</v>
      </c>
      <c r="AG765">
        <v>123</v>
      </c>
      <c r="AH765">
        <v>4</v>
      </c>
      <c r="AI765">
        <v>7</v>
      </c>
      <c r="AJ765">
        <v>0</v>
      </c>
      <c r="AK765">
        <v>7</v>
      </c>
      <c r="AL765" t="s">
        <v>9150</v>
      </c>
      <c r="AM765" t="s">
        <v>1896</v>
      </c>
      <c r="AN765" t="s">
        <v>9151</v>
      </c>
      <c r="AO765" t="s">
        <v>13619</v>
      </c>
      <c r="AP765" t="s">
        <v>13654</v>
      </c>
      <c r="AQ765" t="s">
        <v>74</v>
      </c>
      <c r="AR765" t="s">
        <v>13620</v>
      </c>
      <c r="AS765" t="s">
        <v>13621</v>
      </c>
      <c r="AT765" t="s">
        <v>74</v>
      </c>
      <c r="AU765">
        <v>2010</v>
      </c>
      <c r="AV765">
        <v>56</v>
      </c>
      <c r="AW765">
        <v>200</v>
      </c>
      <c r="AX765" t="s">
        <v>74</v>
      </c>
      <c r="AY765" t="s">
        <v>74</v>
      </c>
      <c r="AZ765" t="s">
        <v>152</v>
      </c>
      <c r="BA765" t="s">
        <v>74</v>
      </c>
      <c r="BB765">
        <v>1069</v>
      </c>
      <c r="BC765">
        <v>1078</v>
      </c>
      <c r="BD765" t="s">
        <v>74</v>
      </c>
      <c r="BE765" t="s">
        <v>13920</v>
      </c>
      <c r="BF765" t="str">
        <f>HYPERLINK("http://dx.doi.org/10.3189/002214311796406103","http://dx.doi.org/10.3189/002214311796406103")</f>
        <v>http://dx.doi.org/10.3189/002214311796406103</v>
      </c>
      <c r="BG765" t="s">
        <v>74</v>
      </c>
      <c r="BH765" t="s">
        <v>74</v>
      </c>
      <c r="BI765">
        <v>10</v>
      </c>
      <c r="BJ765" t="s">
        <v>2881</v>
      </c>
      <c r="BK765" t="s">
        <v>102</v>
      </c>
      <c r="BL765" t="s">
        <v>2628</v>
      </c>
      <c r="BM765" t="s">
        <v>13906</v>
      </c>
      <c r="BN765" t="s">
        <v>74</v>
      </c>
      <c r="BO765" t="s">
        <v>104</v>
      </c>
      <c r="BP765" t="s">
        <v>74</v>
      </c>
      <c r="BQ765" t="s">
        <v>74</v>
      </c>
      <c r="BR765" t="s">
        <v>105</v>
      </c>
      <c r="BS765" t="s">
        <v>13921</v>
      </c>
      <c r="BT765" t="str">
        <f>HYPERLINK("https%3A%2F%2Fwww.webofscience.com%2Fwos%2Fwoscc%2Ffull-record%2FWOS:000294750900011","View Full Record in Web of Science")</f>
        <v>View Full Record in Web of Science</v>
      </c>
    </row>
    <row r="766" spans="1:72" x14ac:dyDescent="0.15">
      <c r="A766" t="s">
        <v>72</v>
      </c>
      <c r="B766" t="s">
        <v>13922</v>
      </c>
      <c r="C766" t="s">
        <v>74</v>
      </c>
      <c r="D766" t="s">
        <v>74</v>
      </c>
      <c r="E766" t="s">
        <v>74</v>
      </c>
      <c r="F766" t="s">
        <v>13923</v>
      </c>
      <c r="G766" t="s">
        <v>74</v>
      </c>
      <c r="H766" t="s">
        <v>74</v>
      </c>
      <c r="I766" t="s">
        <v>13924</v>
      </c>
      <c r="J766" t="s">
        <v>13608</v>
      </c>
      <c r="K766" t="s">
        <v>74</v>
      </c>
      <c r="L766" t="s">
        <v>74</v>
      </c>
      <c r="M766" t="s">
        <v>78</v>
      </c>
      <c r="N766" t="s">
        <v>79</v>
      </c>
      <c r="O766" t="s">
        <v>74</v>
      </c>
      <c r="P766" t="s">
        <v>74</v>
      </c>
      <c r="Q766" t="s">
        <v>74</v>
      </c>
      <c r="R766" t="s">
        <v>74</v>
      </c>
      <c r="S766" t="s">
        <v>74</v>
      </c>
      <c r="T766" t="s">
        <v>74</v>
      </c>
      <c r="U766" t="s">
        <v>13925</v>
      </c>
      <c r="V766" t="s">
        <v>13926</v>
      </c>
      <c r="W766" t="s">
        <v>13927</v>
      </c>
      <c r="X766" t="s">
        <v>13928</v>
      </c>
      <c r="Y766" t="s">
        <v>13929</v>
      </c>
      <c r="Z766" t="s">
        <v>13930</v>
      </c>
      <c r="AA766" t="s">
        <v>74</v>
      </c>
      <c r="AB766" t="s">
        <v>74</v>
      </c>
      <c r="AC766" t="s">
        <v>13931</v>
      </c>
      <c r="AD766" t="s">
        <v>13932</v>
      </c>
      <c r="AE766" t="s">
        <v>13933</v>
      </c>
      <c r="AF766" t="s">
        <v>74</v>
      </c>
      <c r="AG766">
        <v>94</v>
      </c>
      <c r="AH766">
        <v>11</v>
      </c>
      <c r="AI766">
        <v>18</v>
      </c>
      <c r="AJ766">
        <v>1</v>
      </c>
      <c r="AK766">
        <v>29</v>
      </c>
      <c r="AL766" t="s">
        <v>587</v>
      </c>
      <c r="AM766" t="s">
        <v>1896</v>
      </c>
      <c r="AN766" t="s">
        <v>8249</v>
      </c>
      <c r="AO766" t="s">
        <v>13619</v>
      </c>
      <c r="AP766" t="s">
        <v>13654</v>
      </c>
      <c r="AQ766" t="s">
        <v>74</v>
      </c>
      <c r="AR766" t="s">
        <v>13620</v>
      </c>
      <c r="AS766" t="s">
        <v>13621</v>
      </c>
      <c r="AT766" t="s">
        <v>74</v>
      </c>
      <c r="AU766">
        <v>2010</v>
      </c>
      <c r="AV766">
        <v>56</v>
      </c>
      <c r="AW766">
        <v>200</v>
      </c>
      <c r="AX766" t="s">
        <v>74</v>
      </c>
      <c r="AY766" t="s">
        <v>74</v>
      </c>
      <c r="AZ766" t="s">
        <v>152</v>
      </c>
      <c r="BA766" t="s">
        <v>74</v>
      </c>
      <c r="BB766">
        <v>1095</v>
      </c>
      <c r="BC766">
        <v>1103</v>
      </c>
      <c r="BD766" t="s">
        <v>74</v>
      </c>
      <c r="BE766" t="s">
        <v>13934</v>
      </c>
      <c r="BF766" t="str">
        <f>HYPERLINK("http://dx.doi.org/10.3189/002214311796406130","http://dx.doi.org/10.3189/002214311796406130")</f>
        <v>http://dx.doi.org/10.3189/002214311796406130</v>
      </c>
      <c r="BG766" t="s">
        <v>74</v>
      </c>
      <c r="BH766" t="s">
        <v>74</v>
      </c>
      <c r="BI766">
        <v>9</v>
      </c>
      <c r="BJ766" t="s">
        <v>2881</v>
      </c>
      <c r="BK766" t="s">
        <v>102</v>
      </c>
      <c r="BL766" t="s">
        <v>2628</v>
      </c>
      <c r="BM766" t="s">
        <v>13906</v>
      </c>
      <c r="BN766" t="s">
        <v>74</v>
      </c>
      <c r="BO766" t="s">
        <v>104</v>
      </c>
      <c r="BP766" t="s">
        <v>74</v>
      </c>
      <c r="BQ766" t="s">
        <v>74</v>
      </c>
      <c r="BR766" t="s">
        <v>105</v>
      </c>
      <c r="BS766" t="s">
        <v>13935</v>
      </c>
      <c r="BT766" t="str">
        <f>HYPERLINK("https%3A%2F%2Fwww.webofscience.com%2Fwos%2Fwoscc%2Ffull-record%2FWOS:000294750900014","View Full Record in Web of Science")</f>
        <v>View Full Record in Web of Science</v>
      </c>
    </row>
    <row r="767" spans="1:72" x14ac:dyDescent="0.15">
      <c r="A767" t="s">
        <v>72</v>
      </c>
      <c r="B767" t="s">
        <v>13936</v>
      </c>
      <c r="C767" t="s">
        <v>74</v>
      </c>
      <c r="D767" t="s">
        <v>74</v>
      </c>
      <c r="E767" t="s">
        <v>74</v>
      </c>
      <c r="F767" t="s">
        <v>13937</v>
      </c>
      <c r="G767" t="s">
        <v>74</v>
      </c>
      <c r="H767" t="s">
        <v>74</v>
      </c>
      <c r="I767" t="s">
        <v>13938</v>
      </c>
      <c r="J767" t="s">
        <v>13608</v>
      </c>
      <c r="K767" t="s">
        <v>74</v>
      </c>
      <c r="L767" t="s">
        <v>74</v>
      </c>
      <c r="M767" t="s">
        <v>78</v>
      </c>
      <c r="N767" t="s">
        <v>79</v>
      </c>
      <c r="O767" t="s">
        <v>74</v>
      </c>
      <c r="P767" t="s">
        <v>74</v>
      </c>
      <c r="Q767" t="s">
        <v>74</v>
      </c>
      <c r="R767" t="s">
        <v>74</v>
      </c>
      <c r="S767" t="s">
        <v>74</v>
      </c>
      <c r="T767" t="s">
        <v>74</v>
      </c>
      <c r="U767" t="s">
        <v>13939</v>
      </c>
      <c r="V767" t="s">
        <v>13940</v>
      </c>
      <c r="W767" t="s">
        <v>13941</v>
      </c>
      <c r="X767" t="s">
        <v>13942</v>
      </c>
      <c r="Y767" t="s">
        <v>13943</v>
      </c>
      <c r="Z767" t="s">
        <v>13944</v>
      </c>
      <c r="AA767" t="s">
        <v>13945</v>
      </c>
      <c r="AB767" t="s">
        <v>74</v>
      </c>
      <c r="AC767" t="s">
        <v>13946</v>
      </c>
      <c r="AD767" t="s">
        <v>4729</v>
      </c>
      <c r="AE767" t="s">
        <v>74</v>
      </c>
      <c r="AF767" t="s">
        <v>74</v>
      </c>
      <c r="AG767">
        <v>52</v>
      </c>
      <c r="AH767">
        <v>18</v>
      </c>
      <c r="AI767">
        <v>25</v>
      </c>
      <c r="AJ767">
        <v>1</v>
      </c>
      <c r="AK767">
        <v>39</v>
      </c>
      <c r="AL767" t="s">
        <v>587</v>
      </c>
      <c r="AM767" t="s">
        <v>1896</v>
      </c>
      <c r="AN767" t="s">
        <v>8249</v>
      </c>
      <c r="AO767" t="s">
        <v>13619</v>
      </c>
      <c r="AP767" t="s">
        <v>13654</v>
      </c>
      <c r="AQ767" t="s">
        <v>74</v>
      </c>
      <c r="AR767" t="s">
        <v>13620</v>
      </c>
      <c r="AS767" t="s">
        <v>13621</v>
      </c>
      <c r="AT767" t="s">
        <v>74</v>
      </c>
      <c r="AU767">
        <v>2010</v>
      </c>
      <c r="AV767">
        <v>56</v>
      </c>
      <c r="AW767">
        <v>200</v>
      </c>
      <c r="AX767" t="s">
        <v>74</v>
      </c>
      <c r="AY767" t="s">
        <v>74</v>
      </c>
      <c r="AZ767" t="s">
        <v>152</v>
      </c>
      <c r="BA767" t="s">
        <v>74</v>
      </c>
      <c r="BB767">
        <v>1151</v>
      </c>
      <c r="BC767">
        <v>1161</v>
      </c>
      <c r="BD767" t="s">
        <v>74</v>
      </c>
      <c r="BE767" t="s">
        <v>13947</v>
      </c>
      <c r="BF767" t="str">
        <f>HYPERLINK("http://dx.doi.org/10.3189/002214311796406194","http://dx.doi.org/10.3189/002214311796406194")</f>
        <v>http://dx.doi.org/10.3189/002214311796406194</v>
      </c>
      <c r="BG767" t="s">
        <v>74</v>
      </c>
      <c r="BH767" t="s">
        <v>74</v>
      </c>
      <c r="BI767">
        <v>11</v>
      </c>
      <c r="BJ767" t="s">
        <v>2881</v>
      </c>
      <c r="BK767" t="s">
        <v>102</v>
      </c>
      <c r="BL767" t="s">
        <v>2628</v>
      </c>
      <c r="BM767" t="s">
        <v>13906</v>
      </c>
      <c r="BN767" t="s">
        <v>74</v>
      </c>
      <c r="BO767" t="s">
        <v>104</v>
      </c>
      <c r="BP767" t="s">
        <v>74</v>
      </c>
      <c r="BQ767" t="s">
        <v>74</v>
      </c>
      <c r="BR767" t="s">
        <v>105</v>
      </c>
      <c r="BS767" t="s">
        <v>13948</v>
      </c>
      <c r="BT767" t="str">
        <f>HYPERLINK("https%3A%2F%2Fwww.webofscience.com%2Fwos%2Fwoscc%2Ffull-record%2FWOS:000294750900020","View Full Record in Web of Science")</f>
        <v>View Full Record in Web of Science</v>
      </c>
    </row>
    <row r="768" spans="1:72" x14ac:dyDescent="0.15">
      <c r="A768" t="s">
        <v>72</v>
      </c>
      <c r="B768" t="s">
        <v>13949</v>
      </c>
      <c r="C768" t="s">
        <v>74</v>
      </c>
      <c r="D768" t="s">
        <v>74</v>
      </c>
      <c r="E768" t="s">
        <v>74</v>
      </c>
      <c r="F768" t="s">
        <v>13950</v>
      </c>
      <c r="G768" t="s">
        <v>74</v>
      </c>
      <c r="H768" t="s">
        <v>74</v>
      </c>
      <c r="I768" t="s">
        <v>13951</v>
      </c>
      <c r="J768" t="s">
        <v>13952</v>
      </c>
      <c r="K768" t="s">
        <v>74</v>
      </c>
      <c r="L768" t="s">
        <v>74</v>
      </c>
      <c r="M768" t="s">
        <v>78</v>
      </c>
      <c r="N768" t="s">
        <v>79</v>
      </c>
      <c r="O768" t="s">
        <v>74</v>
      </c>
      <c r="P768" t="s">
        <v>74</v>
      </c>
      <c r="Q768" t="s">
        <v>74</v>
      </c>
      <c r="R768" t="s">
        <v>74</v>
      </c>
      <c r="S768" t="s">
        <v>74</v>
      </c>
      <c r="T768" t="s">
        <v>13953</v>
      </c>
      <c r="U768" t="s">
        <v>13954</v>
      </c>
      <c r="V768" t="s">
        <v>13955</v>
      </c>
      <c r="W768" t="s">
        <v>13956</v>
      </c>
      <c r="X768" t="s">
        <v>13957</v>
      </c>
      <c r="Y768" t="s">
        <v>13958</v>
      </c>
      <c r="Z768" t="s">
        <v>13959</v>
      </c>
      <c r="AA768" t="s">
        <v>13960</v>
      </c>
      <c r="AB768" t="s">
        <v>13961</v>
      </c>
      <c r="AC768" t="s">
        <v>13962</v>
      </c>
      <c r="AD768" t="s">
        <v>13963</v>
      </c>
      <c r="AE768" t="s">
        <v>13964</v>
      </c>
      <c r="AF768" t="s">
        <v>74</v>
      </c>
      <c r="AG768">
        <v>54</v>
      </c>
      <c r="AH768">
        <v>14</v>
      </c>
      <c r="AI768">
        <v>15</v>
      </c>
      <c r="AJ768">
        <v>0</v>
      </c>
      <c r="AK768">
        <v>7</v>
      </c>
      <c r="AL768" t="s">
        <v>13965</v>
      </c>
      <c r="AM768" t="s">
        <v>5245</v>
      </c>
      <c r="AN768" t="s">
        <v>13966</v>
      </c>
      <c r="AO768" t="s">
        <v>13967</v>
      </c>
      <c r="AP768" t="s">
        <v>74</v>
      </c>
      <c r="AQ768" t="s">
        <v>74</v>
      </c>
      <c r="AR768" t="s">
        <v>13968</v>
      </c>
      <c r="AS768" t="s">
        <v>13969</v>
      </c>
      <c r="AT768" t="s">
        <v>74</v>
      </c>
      <c r="AU768">
        <v>2010</v>
      </c>
      <c r="AV768">
        <v>36</v>
      </c>
      <c r="AW768">
        <v>1</v>
      </c>
      <c r="AX768" t="s">
        <v>74</v>
      </c>
      <c r="AY768" t="s">
        <v>74</v>
      </c>
      <c r="AZ768" t="s">
        <v>74</v>
      </c>
      <c r="BA768" t="s">
        <v>74</v>
      </c>
      <c r="BB768">
        <v>21</v>
      </c>
      <c r="BC768">
        <v>37</v>
      </c>
      <c r="BD768" t="s">
        <v>74</v>
      </c>
      <c r="BE768" t="s">
        <v>74</v>
      </c>
      <c r="BF768" t="s">
        <v>74</v>
      </c>
      <c r="BG768" t="s">
        <v>74</v>
      </c>
      <c r="BH768" t="s">
        <v>74</v>
      </c>
      <c r="BI768">
        <v>17</v>
      </c>
      <c r="BJ768" t="s">
        <v>914</v>
      </c>
      <c r="BK768" t="s">
        <v>102</v>
      </c>
      <c r="BL768" t="s">
        <v>914</v>
      </c>
      <c r="BM768" t="s">
        <v>13970</v>
      </c>
      <c r="BN768" t="s">
        <v>74</v>
      </c>
      <c r="BO768" t="s">
        <v>74</v>
      </c>
      <c r="BP768" t="s">
        <v>74</v>
      </c>
      <c r="BQ768" t="s">
        <v>74</v>
      </c>
      <c r="BR768" t="s">
        <v>105</v>
      </c>
      <c r="BS768" t="s">
        <v>13971</v>
      </c>
      <c r="BT768" t="str">
        <f>HYPERLINK("https%3A%2F%2Fwww.webofscience.com%2Fwos%2Fwoscc%2Ffull-record%2FWOS:000276304100002","View Full Record in Web of Science")</f>
        <v>View Full Record in Web of Science</v>
      </c>
    </row>
    <row r="769" spans="1:72" x14ac:dyDescent="0.15">
      <c r="A769" t="s">
        <v>72</v>
      </c>
      <c r="B769" t="s">
        <v>13972</v>
      </c>
      <c r="C769" t="s">
        <v>74</v>
      </c>
      <c r="D769" t="s">
        <v>74</v>
      </c>
      <c r="E769" t="s">
        <v>74</v>
      </c>
      <c r="F769" t="s">
        <v>13973</v>
      </c>
      <c r="G769" t="s">
        <v>74</v>
      </c>
      <c r="H769" t="s">
        <v>74</v>
      </c>
      <c r="I769" t="s">
        <v>13974</v>
      </c>
      <c r="J769" t="s">
        <v>1922</v>
      </c>
      <c r="K769" t="s">
        <v>74</v>
      </c>
      <c r="L769" t="s">
        <v>74</v>
      </c>
      <c r="M769" t="s">
        <v>78</v>
      </c>
      <c r="N769" t="s">
        <v>79</v>
      </c>
      <c r="O769" t="s">
        <v>74</v>
      </c>
      <c r="P769" t="s">
        <v>74</v>
      </c>
      <c r="Q769" t="s">
        <v>74</v>
      </c>
      <c r="R769" t="s">
        <v>74</v>
      </c>
      <c r="S769" t="s">
        <v>74</v>
      </c>
      <c r="T769" t="s">
        <v>13975</v>
      </c>
      <c r="U769" t="s">
        <v>13976</v>
      </c>
      <c r="V769" t="s">
        <v>13977</v>
      </c>
      <c r="W769" t="s">
        <v>13978</v>
      </c>
      <c r="X769" t="s">
        <v>13979</v>
      </c>
      <c r="Y769" t="s">
        <v>13472</v>
      </c>
      <c r="Z769" t="s">
        <v>3445</v>
      </c>
      <c r="AA769" t="s">
        <v>13980</v>
      </c>
      <c r="AB769" t="s">
        <v>13981</v>
      </c>
      <c r="AC769" t="s">
        <v>13982</v>
      </c>
      <c r="AD769" t="s">
        <v>13983</v>
      </c>
      <c r="AE769" t="s">
        <v>13984</v>
      </c>
      <c r="AF769" t="s">
        <v>74</v>
      </c>
      <c r="AG769">
        <v>52</v>
      </c>
      <c r="AH769">
        <v>10</v>
      </c>
      <c r="AI769">
        <v>10</v>
      </c>
      <c r="AJ769">
        <v>0</v>
      </c>
      <c r="AK769">
        <v>28</v>
      </c>
      <c r="AL769" t="s">
        <v>1063</v>
      </c>
      <c r="AM769" t="s">
        <v>1064</v>
      </c>
      <c r="AN769" t="s">
        <v>1065</v>
      </c>
      <c r="AO769" t="s">
        <v>1932</v>
      </c>
      <c r="AP769" t="s">
        <v>74</v>
      </c>
      <c r="AQ769" t="s">
        <v>74</v>
      </c>
      <c r="AR769" t="s">
        <v>1934</v>
      </c>
      <c r="AS769" t="s">
        <v>1935</v>
      </c>
      <c r="AT769" t="s">
        <v>8958</v>
      </c>
      <c r="AU769">
        <v>2010</v>
      </c>
      <c r="AV769">
        <v>56</v>
      </c>
      <c r="AW769">
        <v>1</v>
      </c>
      <c r="AX769" t="s">
        <v>74</v>
      </c>
      <c r="AY769" t="s">
        <v>74</v>
      </c>
      <c r="AZ769" t="s">
        <v>74</v>
      </c>
      <c r="BA769" t="s">
        <v>74</v>
      </c>
      <c r="BB769">
        <v>57</v>
      </c>
      <c r="BC769">
        <v>64</v>
      </c>
      <c r="BD769" t="s">
        <v>74</v>
      </c>
      <c r="BE769" t="s">
        <v>13985</v>
      </c>
      <c r="BF769" t="str">
        <f>HYPERLINK("http://dx.doi.org/10.1016/j.jinsphys.2009.09.003","http://dx.doi.org/10.1016/j.jinsphys.2009.09.003")</f>
        <v>http://dx.doi.org/10.1016/j.jinsphys.2009.09.003</v>
      </c>
      <c r="BG769" t="s">
        <v>74</v>
      </c>
      <c r="BH769" t="s">
        <v>74</v>
      </c>
      <c r="BI769">
        <v>8</v>
      </c>
      <c r="BJ769" t="s">
        <v>1937</v>
      </c>
      <c r="BK769" t="s">
        <v>102</v>
      </c>
      <c r="BL769" t="s">
        <v>1937</v>
      </c>
      <c r="BM769" t="s">
        <v>13986</v>
      </c>
      <c r="BN769">
        <v>19766651</v>
      </c>
      <c r="BO769" t="s">
        <v>74</v>
      </c>
      <c r="BP769" t="s">
        <v>74</v>
      </c>
      <c r="BQ769" t="s">
        <v>74</v>
      </c>
      <c r="BR769" t="s">
        <v>105</v>
      </c>
      <c r="BS769" t="s">
        <v>13987</v>
      </c>
      <c r="BT769" t="str">
        <f>HYPERLINK("https%3A%2F%2Fwww.webofscience.com%2Fwos%2Fwoscc%2Ffull-record%2FWOS:000273924500008","View Full Record in Web of Science")</f>
        <v>View Full Record in Web of Science</v>
      </c>
    </row>
    <row r="770" spans="1:72" x14ac:dyDescent="0.15">
      <c r="A770" t="s">
        <v>72</v>
      </c>
      <c r="B770" t="s">
        <v>13988</v>
      </c>
      <c r="C770" t="s">
        <v>74</v>
      </c>
      <c r="D770" t="s">
        <v>74</v>
      </c>
      <c r="E770" t="s">
        <v>74</v>
      </c>
      <c r="F770" t="s">
        <v>13989</v>
      </c>
      <c r="G770" t="s">
        <v>74</v>
      </c>
      <c r="H770" t="s">
        <v>74</v>
      </c>
      <c r="I770" t="s">
        <v>13990</v>
      </c>
      <c r="J770" t="s">
        <v>13991</v>
      </c>
      <c r="K770" t="s">
        <v>74</v>
      </c>
      <c r="L770" t="s">
        <v>74</v>
      </c>
      <c r="M770" t="s">
        <v>78</v>
      </c>
      <c r="N770" t="s">
        <v>79</v>
      </c>
      <c r="O770" t="s">
        <v>74</v>
      </c>
      <c r="P770" t="s">
        <v>74</v>
      </c>
      <c r="Q770" t="s">
        <v>74</v>
      </c>
      <c r="R770" t="s">
        <v>74</v>
      </c>
      <c r="S770" t="s">
        <v>74</v>
      </c>
      <c r="T770" t="s">
        <v>13992</v>
      </c>
      <c r="U770" t="s">
        <v>13993</v>
      </c>
      <c r="V770" t="s">
        <v>13994</v>
      </c>
      <c r="W770" t="s">
        <v>13995</v>
      </c>
      <c r="X770" t="s">
        <v>13996</v>
      </c>
      <c r="Y770" t="s">
        <v>13997</v>
      </c>
      <c r="Z770" t="s">
        <v>13998</v>
      </c>
      <c r="AA770" t="s">
        <v>74</v>
      </c>
      <c r="AB770" t="s">
        <v>74</v>
      </c>
      <c r="AC770" t="s">
        <v>74</v>
      </c>
      <c r="AD770" t="s">
        <v>74</v>
      </c>
      <c r="AE770" t="s">
        <v>74</v>
      </c>
      <c r="AF770" t="s">
        <v>74</v>
      </c>
      <c r="AG770">
        <v>53</v>
      </c>
      <c r="AH770">
        <v>7</v>
      </c>
      <c r="AI770">
        <v>7</v>
      </c>
      <c r="AJ770">
        <v>0</v>
      </c>
      <c r="AK770">
        <v>19</v>
      </c>
      <c r="AL770" t="s">
        <v>13999</v>
      </c>
      <c r="AM770" t="s">
        <v>14000</v>
      </c>
      <c r="AN770" t="s">
        <v>14001</v>
      </c>
      <c r="AO770" t="s">
        <v>14002</v>
      </c>
      <c r="AP770" t="s">
        <v>14003</v>
      </c>
      <c r="AQ770" t="s">
        <v>74</v>
      </c>
      <c r="AR770" t="s">
        <v>14004</v>
      </c>
      <c r="AS770" t="s">
        <v>14005</v>
      </c>
      <c r="AT770" t="s">
        <v>74</v>
      </c>
      <c r="AU770">
        <v>2010</v>
      </c>
      <c r="AV770">
        <v>69</v>
      </c>
      <c r="AW770">
        <v>2</v>
      </c>
      <c r="AX770" t="s">
        <v>74</v>
      </c>
      <c r="AY770" t="s">
        <v>74</v>
      </c>
      <c r="AZ770" t="s">
        <v>74</v>
      </c>
      <c r="BA770" t="s">
        <v>74</v>
      </c>
      <c r="BB770">
        <v>333</v>
      </c>
      <c r="BC770">
        <v>340</v>
      </c>
      <c r="BD770" t="s">
        <v>74</v>
      </c>
      <c r="BE770" t="s">
        <v>14006</v>
      </c>
      <c r="BF770" t="str">
        <f>HYPERLINK("http://dx.doi.org/10.4081/jlimnol.2010.333","http://dx.doi.org/10.4081/jlimnol.2010.333")</f>
        <v>http://dx.doi.org/10.4081/jlimnol.2010.333</v>
      </c>
      <c r="BG770" t="s">
        <v>74</v>
      </c>
      <c r="BH770" t="s">
        <v>74</v>
      </c>
      <c r="BI770">
        <v>8</v>
      </c>
      <c r="BJ770" t="s">
        <v>8980</v>
      </c>
      <c r="BK770" t="s">
        <v>102</v>
      </c>
      <c r="BL770" t="s">
        <v>2186</v>
      </c>
      <c r="BM770" t="s">
        <v>14007</v>
      </c>
      <c r="BN770" t="s">
        <v>74</v>
      </c>
      <c r="BO770" t="s">
        <v>5253</v>
      </c>
      <c r="BP770" t="s">
        <v>74</v>
      </c>
      <c r="BQ770" t="s">
        <v>74</v>
      </c>
      <c r="BR770" t="s">
        <v>105</v>
      </c>
      <c r="BS770" t="s">
        <v>14008</v>
      </c>
      <c r="BT770" t="str">
        <f>HYPERLINK("https%3A%2F%2Fwww.webofscience.com%2Fwos%2Fwoscc%2Ffull-record%2FWOS:000282859700014","View Full Record in Web of Science")</f>
        <v>View Full Record in Web of Science</v>
      </c>
    </row>
    <row r="771" spans="1:72" x14ac:dyDescent="0.15">
      <c r="A771" t="s">
        <v>72</v>
      </c>
      <c r="B771" t="s">
        <v>14009</v>
      </c>
      <c r="C771" t="s">
        <v>74</v>
      </c>
      <c r="D771" t="s">
        <v>74</v>
      </c>
      <c r="E771" t="s">
        <v>74</v>
      </c>
      <c r="F771" t="s">
        <v>14010</v>
      </c>
      <c r="G771" t="s">
        <v>74</v>
      </c>
      <c r="H771" t="s">
        <v>74</v>
      </c>
      <c r="I771" t="s">
        <v>14011</v>
      </c>
      <c r="J771" t="s">
        <v>14012</v>
      </c>
      <c r="K771" t="s">
        <v>74</v>
      </c>
      <c r="L771" t="s">
        <v>74</v>
      </c>
      <c r="M771" t="s">
        <v>78</v>
      </c>
      <c r="N771" t="s">
        <v>79</v>
      </c>
      <c r="O771" t="s">
        <v>74</v>
      </c>
      <c r="P771" t="s">
        <v>74</v>
      </c>
      <c r="Q771" t="s">
        <v>74</v>
      </c>
      <c r="R771" t="s">
        <v>74</v>
      </c>
      <c r="S771" t="s">
        <v>74</v>
      </c>
      <c r="T771" t="s">
        <v>14013</v>
      </c>
      <c r="U771" t="s">
        <v>14014</v>
      </c>
      <c r="V771" t="s">
        <v>14015</v>
      </c>
      <c r="W771" t="s">
        <v>14016</v>
      </c>
      <c r="X771" t="s">
        <v>74</v>
      </c>
      <c r="Y771" t="s">
        <v>14017</v>
      </c>
      <c r="Z771" t="s">
        <v>14018</v>
      </c>
      <c r="AA771" t="s">
        <v>14019</v>
      </c>
      <c r="AB771" t="s">
        <v>14020</v>
      </c>
      <c r="AC771" t="s">
        <v>74</v>
      </c>
      <c r="AD771" t="s">
        <v>74</v>
      </c>
      <c r="AE771" t="s">
        <v>74</v>
      </c>
      <c r="AF771" t="s">
        <v>74</v>
      </c>
      <c r="AG771">
        <v>18</v>
      </c>
      <c r="AH771">
        <v>3</v>
      </c>
      <c r="AI771">
        <v>3</v>
      </c>
      <c r="AJ771">
        <v>0</v>
      </c>
      <c r="AK771">
        <v>2</v>
      </c>
      <c r="AL771" t="s">
        <v>546</v>
      </c>
      <c r="AM771" t="s">
        <v>547</v>
      </c>
      <c r="AN771" t="s">
        <v>548</v>
      </c>
      <c r="AO771" t="s">
        <v>14021</v>
      </c>
      <c r="AP771" t="s">
        <v>14022</v>
      </c>
      <c r="AQ771" t="s">
        <v>74</v>
      </c>
      <c r="AR771" t="s">
        <v>14023</v>
      </c>
      <c r="AS771" t="s">
        <v>14024</v>
      </c>
      <c r="AT771" t="s">
        <v>74</v>
      </c>
      <c r="AU771">
        <v>2010</v>
      </c>
      <c r="AV771">
        <v>4</v>
      </c>
      <c r="AW771" t="s">
        <v>971</v>
      </c>
      <c r="AX771" t="s">
        <v>74</v>
      </c>
      <c r="AY771" t="s">
        <v>74</v>
      </c>
      <c r="AZ771" t="s">
        <v>152</v>
      </c>
      <c r="BA771" t="s">
        <v>74</v>
      </c>
      <c r="BB771">
        <v>166</v>
      </c>
      <c r="BC771">
        <v>182</v>
      </c>
      <c r="BD771" t="s">
        <v>74</v>
      </c>
      <c r="BE771" t="s">
        <v>14025</v>
      </c>
      <c r="BF771" t="str">
        <f>HYPERLINK("http://dx.doi.org/10.1080/17489725.2010.532815","http://dx.doi.org/10.1080/17489725.2010.532815")</f>
        <v>http://dx.doi.org/10.1080/17489725.2010.532815</v>
      </c>
      <c r="BG771" t="s">
        <v>74</v>
      </c>
      <c r="BH771" t="s">
        <v>74</v>
      </c>
      <c r="BI771">
        <v>17</v>
      </c>
      <c r="BJ771" t="s">
        <v>14026</v>
      </c>
      <c r="BK771" t="s">
        <v>1408</v>
      </c>
      <c r="BL771" t="s">
        <v>14026</v>
      </c>
      <c r="BM771" t="s">
        <v>14027</v>
      </c>
      <c r="BN771" t="s">
        <v>74</v>
      </c>
      <c r="BO771" t="s">
        <v>74</v>
      </c>
      <c r="BP771" t="s">
        <v>74</v>
      </c>
      <c r="BQ771" t="s">
        <v>74</v>
      </c>
      <c r="BR771" t="s">
        <v>105</v>
      </c>
      <c r="BS771" t="s">
        <v>14028</v>
      </c>
      <c r="BT771" t="str">
        <f>HYPERLINK("https%3A%2F%2Fwww.webofscience.com%2Fwos%2Fwoscc%2Ffull-record%2FWOS:000214053100003","View Full Record in Web of Science")</f>
        <v>View Full Record in Web of Science</v>
      </c>
    </row>
    <row r="772" spans="1:72" x14ac:dyDescent="0.15">
      <c r="A772" t="s">
        <v>72</v>
      </c>
      <c r="B772" t="s">
        <v>14029</v>
      </c>
      <c r="C772" t="s">
        <v>74</v>
      </c>
      <c r="D772" t="s">
        <v>74</v>
      </c>
      <c r="E772" t="s">
        <v>74</v>
      </c>
      <c r="F772" t="s">
        <v>14030</v>
      </c>
      <c r="G772" t="s">
        <v>74</v>
      </c>
      <c r="H772" t="s">
        <v>74</v>
      </c>
      <c r="I772" t="s">
        <v>14031</v>
      </c>
      <c r="J772" t="s">
        <v>1958</v>
      </c>
      <c r="K772" t="s">
        <v>74</v>
      </c>
      <c r="L772" t="s">
        <v>74</v>
      </c>
      <c r="M772" t="s">
        <v>78</v>
      </c>
      <c r="N772" t="s">
        <v>79</v>
      </c>
      <c r="O772" t="s">
        <v>74</v>
      </c>
      <c r="P772" t="s">
        <v>74</v>
      </c>
      <c r="Q772" t="s">
        <v>74</v>
      </c>
      <c r="R772" t="s">
        <v>74</v>
      </c>
      <c r="S772" t="s">
        <v>74</v>
      </c>
      <c r="T772" t="s">
        <v>14032</v>
      </c>
      <c r="U772" t="s">
        <v>14033</v>
      </c>
      <c r="V772" t="s">
        <v>14034</v>
      </c>
      <c r="W772" t="s">
        <v>14035</v>
      </c>
      <c r="X772" t="s">
        <v>14036</v>
      </c>
      <c r="Y772" t="s">
        <v>14037</v>
      </c>
      <c r="Z772" t="s">
        <v>14038</v>
      </c>
      <c r="AA772" t="s">
        <v>74</v>
      </c>
      <c r="AB772" t="s">
        <v>14039</v>
      </c>
      <c r="AC772" t="s">
        <v>74</v>
      </c>
      <c r="AD772" t="s">
        <v>74</v>
      </c>
      <c r="AE772" t="s">
        <v>74</v>
      </c>
      <c r="AF772" t="s">
        <v>74</v>
      </c>
      <c r="AG772">
        <v>54</v>
      </c>
      <c r="AH772">
        <v>78</v>
      </c>
      <c r="AI772">
        <v>85</v>
      </c>
      <c r="AJ772">
        <v>4</v>
      </c>
      <c r="AK772">
        <v>53</v>
      </c>
      <c r="AL772" t="s">
        <v>144</v>
      </c>
      <c r="AM772" t="s">
        <v>145</v>
      </c>
      <c r="AN772" t="s">
        <v>146</v>
      </c>
      <c r="AO772" t="s">
        <v>1973</v>
      </c>
      <c r="AP772" t="s">
        <v>1974</v>
      </c>
      <c r="AQ772" t="s">
        <v>74</v>
      </c>
      <c r="AR772" t="s">
        <v>1975</v>
      </c>
      <c r="AS772" t="s">
        <v>1976</v>
      </c>
      <c r="AT772" t="s">
        <v>8958</v>
      </c>
      <c r="AU772">
        <v>2010</v>
      </c>
      <c r="AV772">
        <v>79</v>
      </c>
      <c r="AW772" t="s">
        <v>1854</v>
      </c>
      <c r="AX772" t="s">
        <v>74</v>
      </c>
      <c r="AY772" t="s">
        <v>74</v>
      </c>
      <c r="AZ772" t="s">
        <v>74</v>
      </c>
      <c r="BA772" t="s">
        <v>74</v>
      </c>
      <c r="BB772">
        <v>199</v>
      </c>
      <c r="BC772">
        <v>209</v>
      </c>
      <c r="BD772" t="s">
        <v>74</v>
      </c>
      <c r="BE772" t="s">
        <v>14040</v>
      </c>
      <c r="BF772" t="str">
        <f>HYPERLINK("http://dx.doi.org/10.1016/j.jmarsys.2009.09.002","http://dx.doi.org/10.1016/j.jmarsys.2009.09.002")</f>
        <v>http://dx.doi.org/10.1016/j.jmarsys.2009.09.002</v>
      </c>
      <c r="BG772" t="s">
        <v>74</v>
      </c>
      <c r="BH772" t="s">
        <v>74</v>
      </c>
      <c r="BI772">
        <v>11</v>
      </c>
      <c r="BJ772" t="s">
        <v>1978</v>
      </c>
      <c r="BK772" t="s">
        <v>102</v>
      </c>
      <c r="BL772" t="s">
        <v>1979</v>
      </c>
      <c r="BM772" t="s">
        <v>14041</v>
      </c>
      <c r="BN772" t="s">
        <v>74</v>
      </c>
      <c r="BO772" t="s">
        <v>5889</v>
      </c>
      <c r="BP772" t="s">
        <v>74</v>
      </c>
      <c r="BQ772" t="s">
        <v>74</v>
      </c>
      <c r="BR772" t="s">
        <v>105</v>
      </c>
      <c r="BS772" t="s">
        <v>14042</v>
      </c>
      <c r="BT772" t="str">
        <f>HYPERLINK("https%3A%2F%2Fwww.webofscience.com%2Fwos%2Fwoscc%2Ffull-record%2FWOS:000272761400016","View Full Record in Web of Science")</f>
        <v>View Full Record in Web of Science</v>
      </c>
    </row>
    <row r="773" spans="1:72" x14ac:dyDescent="0.15">
      <c r="A773" t="s">
        <v>72</v>
      </c>
      <c r="B773" t="s">
        <v>14043</v>
      </c>
      <c r="C773" t="s">
        <v>74</v>
      </c>
      <c r="D773" t="s">
        <v>74</v>
      </c>
      <c r="E773" t="s">
        <v>74</v>
      </c>
      <c r="F773" t="s">
        <v>14044</v>
      </c>
      <c r="G773" t="s">
        <v>74</v>
      </c>
      <c r="H773" t="s">
        <v>74</v>
      </c>
      <c r="I773" t="s">
        <v>14045</v>
      </c>
      <c r="J773" t="s">
        <v>14046</v>
      </c>
      <c r="K773" t="s">
        <v>74</v>
      </c>
      <c r="L773" t="s">
        <v>74</v>
      </c>
      <c r="M773" t="s">
        <v>7744</v>
      </c>
      <c r="N773" t="s">
        <v>79</v>
      </c>
      <c r="O773" t="s">
        <v>74</v>
      </c>
      <c r="P773" t="s">
        <v>74</v>
      </c>
      <c r="Q773" t="s">
        <v>74</v>
      </c>
      <c r="R773" t="s">
        <v>74</v>
      </c>
      <c r="S773" t="s">
        <v>74</v>
      </c>
      <c r="T773" t="s">
        <v>14047</v>
      </c>
      <c r="U773" t="s">
        <v>74</v>
      </c>
      <c r="V773" t="s">
        <v>14048</v>
      </c>
      <c r="W773" t="s">
        <v>14049</v>
      </c>
      <c r="X773" t="s">
        <v>14050</v>
      </c>
      <c r="Y773" t="s">
        <v>14051</v>
      </c>
      <c r="Z773" t="s">
        <v>14052</v>
      </c>
      <c r="AA773" t="s">
        <v>14053</v>
      </c>
      <c r="AB773" t="s">
        <v>14054</v>
      </c>
      <c r="AC773" t="s">
        <v>74</v>
      </c>
      <c r="AD773" t="s">
        <v>74</v>
      </c>
      <c r="AE773" t="s">
        <v>74</v>
      </c>
      <c r="AF773" t="s">
        <v>74</v>
      </c>
      <c r="AG773">
        <v>6</v>
      </c>
      <c r="AH773">
        <v>0</v>
      </c>
      <c r="AI773">
        <v>0</v>
      </c>
      <c r="AJ773">
        <v>0</v>
      </c>
      <c r="AK773">
        <v>0</v>
      </c>
      <c r="AL773" t="s">
        <v>14055</v>
      </c>
      <c r="AM773" t="s">
        <v>14056</v>
      </c>
      <c r="AN773" t="s">
        <v>14057</v>
      </c>
      <c r="AO773" t="s">
        <v>14058</v>
      </c>
      <c r="AP773" t="s">
        <v>14059</v>
      </c>
      <c r="AQ773" t="s">
        <v>74</v>
      </c>
      <c r="AR773" t="s">
        <v>14060</v>
      </c>
      <c r="AS773" t="s">
        <v>14061</v>
      </c>
      <c r="AT773" t="s">
        <v>74</v>
      </c>
      <c r="AU773">
        <v>2010</v>
      </c>
      <c r="AV773">
        <v>187</v>
      </c>
      <c r="AW773" t="s">
        <v>74</v>
      </c>
      <c r="AX773" t="s">
        <v>74</v>
      </c>
      <c r="AY773" t="s">
        <v>74</v>
      </c>
      <c r="AZ773" t="s">
        <v>74</v>
      </c>
      <c r="BA773" t="s">
        <v>74</v>
      </c>
      <c r="BB773">
        <v>31</v>
      </c>
      <c r="BC773">
        <v>35</v>
      </c>
      <c r="BD773" t="s">
        <v>74</v>
      </c>
      <c r="BE773" t="s">
        <v>74</v>
      </c>
      <c r="BF773" t="s">
        <v>74</v>
      </c>
      <c r="BG773" t="s">
        <v>74</v>
      </c>
      <c r="BH773" t="s">
        <v>74</v>
      </c>
      <c r="BI773">
        <v>5</v>
      </c>
      <c r="BJ773" t="s">
        <v>14062</v>
      </c>
      <c r="BK773" t="s">
        <v>1408</v>
      </c>
      <c r="BL773" t="s">
        <v>14062</v>
      </c>
      <c r="BM773" t="s">
        <v>14063</v>
      </c>
      <c r="BN773" t="s">
        <v>74</v>
      </c>
      <c r="BO773" t="s">
        <v>74</v>
      </c>
      <c r="BP773" t="s">
        <v>74</v>
      </c>
      <c r="BQ773" t="s">
        <v>74</v>
      </c>
      <c r="BR773" t="s">
        <v>105</v>
      </c>
      <c r="BS773" t="s">
        <v>14064</v>
      </c>
      <c r="BT773" t="str">
        <f>HYPERLINK("https%3A%2F%2Fwww.webofscience.com%2Fwos%2Fwoscc%2Ffull-record%2FWOS:000409755900004","View Full Record in Web of Science")</f>
        <v>View Full Record in Web of Science</v>
      </c>
    </row>
    <row r="774" spans="1:72" x14ac:dyDescent="0.15">
      <c r="A774" t="s">
        <v>72</v>
      </c>
      <c r="B774" t="s">
        <v>14065</v>
      </c>
      <c r="C774" t="s">
        <v>74</v>
      </c>
      <c r="D774" t="s">
        <v>74</v>
      </c>
      <c r="E774" t="s">
        <v>74</v>
      </c>
      <c r="F774" t="s">
        <v>14066</v>
      </c>
      <c r="G774" t="s">
        <v>74</v>
      </c>
      <c r="H774" t="s">
        <v>74</v>
      </c>
      <c r="I774" t="s">
        <v>14067</v>
      </c>
      <c r="J774" t="s">
        <v>14068</v>
      </c>
      <c r="K774" t="s">
        <v>74</v>
      </c>
      <c r="L774" t="s">
        <v>74</v>
      </c>
      <c r="M774" t="s">
        <v>78</v>
      </c>
      <c r="N774" t="s">
        <v>79</v>
      </c>
      <c r="O774" t="s">
        <v>74</v>
      </c>
      <c r="P774" t="s">
        <v>74</v>
      </c>
      <c r="Q774" t="s">
        <v>74</v>
      </c>
      <c r="R774" t="s">
        <v>74</v>
      </c>
      <c r="S774" t="s">
        <v>74</v>
      </c>
      <c r="T774" t="s">
        <v>14069</v>
      </c>
      <c r="U774" t="s">
        <v>14070</v>
      </c>
      <c r="V774" t="s">
        <v>14071</v>
      </c>
      <c r="W774" t="s">
        <v>14072</v>
      </c>
      <c r="X774" t="s">
        <v>269</v>
      </c>
      <c r="Y774" t="s">
        <v>14073</v>
      </c>
      <c r="Z774" t="s">
        <v>14074</v>
      </c>
      <c r="AA774" t="s">
        <v>74</v>
      </c>
      <c r="AB774" t="s">
        <v>14075</v>
      </c>
      <c r="AC774" t="s">
        <v>14076</v>
      </c>
      <c r="AD774" t="s">
        <v>14077</v>
      </c>
      <c r="AE774" t="s">
        <v>14078</v>
      </c>
      <c r="AF774" t="s">
        <v>74</v>
      </c>
      <c r="AG774">
        <v>64</v>
      </c>
      <c r="AH774">
        <v>3</v>
      </c>
      <c r="AI774">
        <v>3</v>
      </c>
      <c r="AJ774">
        <v>0</v>
      </c>
      <c r="AK774">
        <v>8</v>
      </c>
      <c r="AL774" t="s">
        <v>546</v>
      </c>
      <c r="AM774" t="s">
        <v>547</v>
      </c>
      <c r="AN774" t="s">
        <v>548</v>
      </c>
      <c r="AO774" t="s">
        <v>14079</v>
      </c>
      <c r="AP774" t="s">
        <v>14080</v>
      </c>
      <c r="AQ774" t="s">
        <v>74</v>
      </c>
      <c r="AR774" t="s">
        <v>14081</v>
      </c>
      <c r="AS774" t="s">
        <v>14082</v>
      </c>
      <c r="AT774" t="s">
        <v>74</v>
      </c>
      <c r="AU774">
        <v>2010</v>
      </c>
      <c r="AV774">
        <v>44</v>
      </c>
      <c r="AW774" t="s">
        <v>1691</v>
      </c>
      <c r="AX774" t="s">
        <v>74</v>
      </c>
      <c r="AY774" t="s">
        <v>74</v>
      </c>
      <c r="AZ774" t="s">
        <v>74</v>
      </c>
      <c r="BA774" t="s">
        <v>74</v>
      </c>
      <c r="BB774">
        <v>279</v>
      </c>
      <c r="BC774">
        <v>299</v>
      </c>
      <c r="BD774" t="s">
        <v>74</v>
      </c>
      <c r="BE774" t="s">
        <v>14083</v>
      </c>
      <c r="BF774" t="str">
        <f>HYPERLINK("http://dx.doi.org/10.1080/00222930903359644","http://dx.doi.org/10.1080/00222930903359644")</f>
        <v>http://dx.doi.org/10.1080/00222930903359644</v>
      </c>
      <c r="BG774" t="s">
        <v>74</v>
      </c>
      <c r="BH774" t="s">
        <v>74</v>
      </c>
      <c r="BI774">
        <v>21</v>
      </c>
      <c r="BJ774" t="s">
        <v>14084</v>
      </c>
      <c r="BK774" t="s">
        <v>102</v>
      </c>
      <c r="BL774" t="s">
        <v>14085</v>
      </c>
      <c r="BM774" t="s">
        <v>14086</v>
      </c>
      <c r="BN774" t="s">
        <v>74</v>
      </c>
      <c r="BO774" t="s">
        <v>74</v>
      </c>
      <c r="BP774" t="s">
        <v>74</v>
      </c>
      <c r="BQ774" t="s">
        <v>74</v>
      </c>
      <c r="BR774" t="s">
        <v>105</v>
      </c>
      <c r="BS774" t="s">
        <v>14087</v>
      </c>
      <c r="BT774" t="str">
        <f>HYPERLINK("https%3A%2F%2Fwww.webofscience.com%2Fwos%2Fwoscc%2Ffull-record%2FWOS:000274636400002","View Full Record in Web of Science")</f>
        <v>View Full Record in Web of Science</v>
      </c>
    </row>
    <row r="775" spans="1:72" x14ac:dyDescent="0.15">
      <c r="A775" t="s">
        <v>72</v>
      </c>
      <c r="B775" t="s">
        <v>4905</v>
      </c>
      <c r="C775" t="s">
        <v>74</v>
      </c>
      <c r="D775" t="s">
        <v>74</v>
      </c>
      <c r="E775" t="s">
        <v>74</v>
      </c>
      <c r="F775" t="s">
        <v>14088</v>
      </c>
      <c r="G775" t="s">
        <v>74</v>
      </c>
      <c r="H775" t="s">
        <v>74</v>
      </c>
      <c r="I775" t="s">
        <v>14089</v>
      </c>
      <c r="J775" t="s">
        <v>14068</v>
      </c>
      <c r="K775" t="s">
        <v>74</v>
      </c>
      <c r="L775" t="s">
        <v>74</v>
      </c>
      <c r="M775" t="s">
        <v>78</v>
      </c>
      <c r="N775" t="s">
        <v>79</v>
      </c>
      <c r="O775" t="s">
        <v>74</v>
      </c>
      <c r="P775" t="s">
        <v>74</v>
      </c>
      <c r="Q775" t="s">
        <v>74</v>
      </c>
      <c r="R775" t="s">
        <v>74</v>
      </c>
      <c r="S775" t="s">
        <v>74</v>
      </c>
      <c r="T775" t="s">
        <v>14090</v>
      </c>
      <c r="U775" t="s">
        <v>74</v>
      </c>
      <c r="V775" t="s">
        <v>14091</v>
      </c>
      <c r="W775" t="s">
        <v>14092</v>
      </c>
      <c r="X775" t="s">
        <v>4912</v>
      </c>
      <c r="Y775" t="s">
        <v>14093</v>
      </c>
      <c r="Z775" t="s">
        <v>14094</v>
      </c>
      <c r="AA775" t="s">
        <v>14095</v>
      </c>
      <c r="AB775" t="s">
        <v>14096</v>
      </c>
      <c r="AC775" t="s">
        <v>14097</v>
      </c>
      <c r="AD775" t="s">
        <v>4918</v>
      </c>
      <c r="AE775" t="s">
        <v>14098</v>
      </c>
      <c r="AF775" t="s">
        <v>74</v>
      </c>
      <c r="AG775">
        <v>16</v>
      </c>
      <c r="AH775">
        <v>2</v>
      </c>
      <c r="AI775">
        <v>2</v>
      </c>
      <c r="AJ775">
        <v>0</v>
      </c>
      <c r="AK775">
        <v>4</v>
      </c>
      <c r="AL775" t="s">
        <v>546</v>
      </c>
      <c r="AM775" t="s">
        <v>547</v>
      </c>
      <c r="AN775" t="s">
        <v>548</v>
      </c>
      <c r="AO775" t="s">
        <v>14079</v>
      </c>
      <c r="AP775" t="s">
        <v>14080</v>
      </c>
      <c r="AQ775" t="s">
        <v>74</v>
      </c>
      <c r="AR775" t="s">
        <v>14081</v>
      </c>
      <c r="AS775" t="s">
        <v>14082</v>
      </c>
      <c r="AT775" t="s">
        <v>74</v>
      </c>
      <c r="AU775">
        <v>2010</v>
      </c>
      <c r="AV775">
        <v>44</v>
      </c>
      <c r="AW775" t="s">
        <v>14099</v>
      </c>
      <c r="AX775" t="s">
        <v>74</v>
      </c>
      <c r="AY775" t="s">
        <v>74</v>
      </c>
      <c r="AZ775" t="s">
        <v>74</v>
      </c>
      <c r="BA775" t="s">
        <v>74</v>
      </c>
      <c r="BB775">
        <v>1995</v>
      </c>
      <c r="BC775">
        <v>2013</v>
      </c>
      <c r="BD775" t="s">
        <v>74</v>
      </c>
      <c r="BE775" t="s">
        <v>14100</v>
      </c>
      <c r="BF775" t="str">
        <f>HYPERLINK("http://dx.doi.org/10.1080/00222933.2010.485739","http://dx.doi.org/10.1080/00222933.2010.485739")</f>
        <v>http://dx.doi.org/10.1080/00222933.2010.485739</v>
      </c>
      <c r="BG775" t="s">
        <v>74</v>
      </c>
      <c r="BH775" t="s">
        <v>74</v>
      </c>
      <c r="BI775">
        <v>19</v>
      </c>
      <c r="BJ775" t="s">
        <v>14084</v>
      </c>
      <c r="BK775" t="s">
        <v>102</v>
      </c>
      <c r="BL775" t="s">
        <v>14085</v>
      </c>
      <c r="BM775" t="s">
        <v>14101</v>
      </c>
      <c r="BN775" t="s">
        <v>74</v>
      </c>
      <c r="BO775" t="s">
        <v>74</v>
      </c>
      <c r="BP775" t="s">
        <v>74</v>
      </c>
      <c r="BQ775" t="s">
        <v>74</v>
      </c>
      <c r="BR775" t="s">
        <v>105</v>
      </c>
      <c r="BS775" t="s">
        <v>14102</v>
      </c>
      <c r="BT775" t="str">
        <f>HYPERLINK("https%3A%2F%2Fwww.webofscience.com%2Fwos%2Fwoscc%2Ffull-record%2FWOS:000280447800001","View Full Record in Web of Science")</f>
        <v>View Full Record in Web of Science</v>
      </c>
    </row>
    <row r="776" spans="1:72" x14ac:dyDescent="0.15">
      <c r="A776" t="s">
        <v>72</v>
      </c>
      <c r="B776" t="s">
        <v>14103</v>
      </c>
      <c r="C776" t="s">
        <v>74</v>
      </c>
      <c r="D776" t="s">
        <v>74</v>
      </c>
      <c r="E776" t="s">
        <v>74</v>
      </c>
      <c r="F776" t="s">
        <v>14104</v>
      </c>
      <c r="G776" t="s">
        <v>74</v>
      </c>
      <c r="H776" t="s">
        <v>74</v>
      </c>
      <c r="I776" t="s">
        <v>14105</v>
      </c>
      <c r="J776" t="s">
        <v>14068</v>
      </c>
      <c r="K776" t="s">
        <v>74</v>
      </c>
      <c r="L776" t="s">
        <v>74</v>
      </c>
      <c r="M776" t="s">
        <v>78</v>
      </c>
      <c r="N776" t="s">
        <v>79</v>
      </c>
      <c r="O776" t="s">
        <v>74</v>
      </c>
      <c r="P776" t="s">
        <v>74</v>
      </c>
      <c r="Q776" t="s">
        <v>74</v>
      </c>
      <c r="R776" t="s">
        <v>74</v>
      </c>
      <c r="S776" t="s">
        <v>74</v>
      </c>
      <c r="T776" t="s">
        <v>14106</v>
      </c>
      <c r="U776" t="s">
        <v>74</v>
      </c>
      <c r="V776" t="s">
        <v>14107</v>
      </c>
      <c r="W776" t="s">
        <v>14108</v>
      </c>
      <c r="X776" t="s">
        <v>14109</v>
      </c>
      <c r="Y776" t="s">
        <v>14110</v>
      </c>
      <c r="Z776" t="s">
        <v>14111</v>
      </c>
      <c r="AA776" t="s">
        <v>74</v>
      </c>
      <c r="AB776" t="s">
        <v>74</v>
      </c>
      <c r="AC776" t="s">
        <v>74</v>
      </c>
      <c r="AD776" t="s">
        <v>74</v>
      </c>
      <c r="AE776" t="s">
        <v>74</v>
      </c>
      <c r="AF776" t="s">
        <v>74</v>
      </c>
      <c r="AG776">
        <v>6</v>
      </c>
      <c r="AH776">
        <v>2</v>
      </c>
      <c r="AI776">
        <v>2</v>
      </c>
      <c r="AJ776">
        <v>0</v>
      </c>
      <c r="AK776">
        <v>0</v>
      </c>
      <c r="AL776" t="s">
        <v>546</v>
      </c>
      <c r="AM776" t="s">
        <v>547</v>
      </c>
      <c r="AN776" t="s">
        <v>8932</v>
      </c>
      <c r="AO776" t="s">
        <v>14079</v>
      </c>
      <c r="AP776" t="s">
        <v>74</v>
      </c>
      <c r="AQ776" t="s">
        <v>74</v>
      </c>
      <c r="AR776" t="s">
        <v>14081</v>
      </c>
      <c r="AS776" t="s">
        <v>14082</v>
      </c>
      <c r="AT776" t="s">
        <v>74</v>
      </c>
      <c r="AU776">
        <v>2010</v>
      </c>
      <c r="AV776">
        <v>44</v>
      </c>
      <c r="AW776" t="s">
        <v>14112</v>
      </c>
      <c r="AX776" t="s">
        <v>74</v>
      </c>
      <c r="AY776" t="s">
        <v>74</v>
      </c>
      <c r="AZ776" t="s">
        <v>74</v>
      </c>
      <c r="BA776" t="s">
        <v>74</v>
      </c>
      <c r="BB776">
        <v>2411</v>
      </c>
      <c r="BC776">
        <v>2424</v>
      </c>
      <c r="BD776" t="s">
        <v>14113</v>
      </c>
      <c r="BE776" t="s">
        <v>14114</v>
      </c>
      <c r="BF776" t="str">
        <f>HYPERLINK("http://dx.doi.org/10.1080/00222933.2010.508567","http://dx.doi.org/10.1080/00222933.2010.508567")</f>
        <v>http://dx.doi.org/10.1080/00222933.2010.508567</v>
      </c>
      <c r="BG776" t="s">
        <v>74</v>
      </c>
      <c r="BH776" t="s">
        <v>74</v>
      </c>
      <c r="BI776">
        <v>14</v>
      </c>
      <c r="BJ776" t="s">
        <v>14084</v>
      </c>
      <c r="BK776" t="s">
        <v>102</v>
      </c>
      <c r="BL776" t="s">
        <v>14085</v>
      </c>
      <c r="BM776" t="s">
        <v>14115</v>
      </c>
      <c r="BN776" t="s">
        <v>74</v>
      </c>
      <c r="BO776" t="s">
        <v>74</v>
      </c>
      <c r="BP776" t="s">
        <v>74</v>
      </c>
      <c r="BQ776" t="s">
        <v>74</v>
      </c>
      <c r="BR776" t="s">
        <v>105</v>
      </c>
      <c r="BS776" t="s">
        <v>14116</v>
      </c>
      <c r="BT776" t="str">
        <f>HYPERLINK("https%3A%2F%2Fwww.webofscience.com%2Fwos%2Fwoscc%2Ffull-record%2FWOS:000282168200011","View Full Record in Web of Science")</f>
        <v>View Full Record in Web of Science</v>
      </c>
    </row>
    <row r="777" spans="1:72" x14ac:dyDescent="0.15">
      <c r="A777" t="s">
        <v>72</v>
      </c>
      <c r="B777" t="s">
        <v>14117</v>
      </c>
      <c r="C777" t="s">
        <v>74</v>
      </c>
      <c r="D777" t="s">
        <v>74</v>
      </c>
      <c r="E777" t="s">
        <v>74</v>
      </c>
      <c r="F777" t="s">
        <v>14118</v>
      </c>
      <c r="G777" t="s">
        <v>74</v>
      </c>
      <c r="H777" t="s">
        <v>74</v>
      </c>
      <c r="I777" t="s">
        <v>14119</v>
      </c>
      <c r="J777" t="s">
        <v>14068</v>
      </c>
      <c r="K777" t="s">
        <v>74</v>
      </c>
      <c r="L777" t="s">
        <v>74</v>
      </c>
      <c r="M777" t="s">
        <v>78</v>
      </c>
      <c r="N777" t="s">
        <v>79</v>
      </c>
      <c r="O777" t="s">
        <v>74</v>
      </c>
      <c r="P777" t="s">
        <v>74</v>
      </c>
      <c r="Q777" t="s">
        <v>74</v>
      </c>
      <c r="R777" t="s">
        <v>74</v>
      </c>
      <c r="S777" t="s">
        <v>74</v>
      </c>
      <c r="T777" t="s">
        <v>14120</v>
      </c>
      <c r="U777" t="s">
        <v>14121</v>
      </c>
      <c r="V777" t="s">
        <v>14122</v>
      </c>
      <c r="W777" t="s">
        <v>14123</v>
      </c>
      <c r="X777" t="s">
        <v>14124</v>
      </c>
      <c r="Y777" t="s">
        <v>74</v>
      </c>
      <c r="Z777" t="s">
        <v>14125</v>
      </c>
      <c r="AA777" t="s">
        <v>74</v>
      </c>
      <c r="AB777" t="s">
        <v>12025</v>
      </c>
      <c r="AC777" t="s">
        <v>74</v>
      </c>
      <c r="AD777" t="s">
        <v>74</v>
      </c>
      <c r="AE777" t="s">
        <v>74</v>
      </c>
      <c r="AF777" t="s">
        <v>74</v>
      </c>
      <c r="AG777">
        <v>29</v>
      </c>
      <c r="AH777">
        <v>2</v>
      </c>
      <c r="AI777">
        <v>2</v>
      </c>
      <c r="AJ777">
        <v>0</v>
      </c>
      <c r="AK777">
        <v>0</v>
      </c>
      <c r="AL777" t="s">
        <v>546</v>
      </c>
      <c r="AM777" t="s">
        <v>547</v>
      </c>
      <c r="AN777" t="s">
        <v>8932</v>
      </c>
      <c r="AO777" t="s">
        <v>14079</v>
      </c>
      <c r="AP777" t="s">
        <v>74</v>
      </c>
      <c r="AQ777" t="s">
        <v>74</v>
      </c>
      <c r="AR777" t="s">
        <v>14081</v>
      </c>
      <c r="AS777" t="s">
        <v>14082</v>
      </c>
      <c r="AT777" t="s">
        <v>74</v>
      </c>
      <c r="AU777">
        <v>2010</v>
      </c>
      <c r="AV777">
        <v>44</v>
      </c>
      <c r="AW777" t="s">
        <v>14112</v>
      </c>
      <c r="AX777" t="s">
        <v>74</v>
      </c>
      <c r="AY777" t="s">
        <v>74</v>
      </c>
      <c r="AZ777" t="s">
        <v>74</v>
      </c>
      <c r="BA777" t="s">
        <v>74</v>
      </c>
      <c r="BB777">
        <v>2425</v>
      </c>
      <c r="BC777">
        <v>2451</v>
      </c>
      <c r="BD777" t="s">
        <v>14126</v>
      </c>
      <c r="BE777" t="s">
        <v>14127</v>
      </c>
      <c r="BF777" t="str">
        <f>HYPERLINK("http://dx.doi.org/10.1080/00222933.2010.510251","http://dx.doi.org/10.1080/00222933.2010.510251")</f>
        <v>http://dx.doi.org/10.1080/00222933.2010.510251</v>
      </c>
      <c r="BG777" t="s">
        <v>74</v>
      </c>
      <c r="BH777" t="s">
        <v>74</v>
      </c>
      <c r="BI777">
        <v>27</v>
      </c>
      <c r="BJ777" t="s">
        <v>14084</v>
      </c>
      <c r="BK777" t="s">
        <v>102</v>
      </c>
      <c r="BL777" t="s">
        <v>14085</v>
      </c>
      <c r="BM777" t="s">
        <v>14115</v>
      </c>
      <c r="BN777" t="s">
        <v>74</v>
      </c>
      <c r="BO777" t="s">
        <v>74</v>
      </c>
      <c r="BP777" t="s">
        <v>74</v>
      </c>
      <c r="BQ777" t="s">
        <v>74</v>
      </c>
      <c r="BR777" t="s">
        <v>105</v>
      </c>
      <c r="BS777" t="s">
        <v>14128</v>
      </c>
      <c r="BT777" t="str">
        <f>HYPERLINK("https%3A%2F%2Fwww.webofscience.com%2Fwos%2Fwoscc%2Ffull-record%2FWOS:000282168200012","View Full Record in Web of Science")</f>
        <v>View Full Record in Web of Science</v>
      </c>
    </row>
    <row r="778" spans="1:72" x14ac:dyDescent="0.15">
      <c r="A778" t="s">
        <v>72</v>
      </c>
      <c r="B778" t="s">
        <v>14129</v>
      </c>
      <c r="C778" t="s">
        <v>74</v>
      </c>
      <c r="D778" t="s">
        <v>74</v>
      </c>
      <c r="E778" t="s">
        <v>74</v>
      </c>
      <c r="F778" t="s">
        <v>14130</v>
      </c>
      <c r="G778" t="s">
        <v>74</v>
      </c>
      <c r="H778" t="s">
        <v>74</v>
      </c>
      <c r="I778" t="s">
        <v>14131</v>
      </c>
      <c r="J778" t="s">
        <v>4415</v>
      </c>
      <c r="K778" t="s">
        <v>74</v>
      </c>
      <c r="L778" t="s">
        <v>74</v>
      </c>
      <c r="M778" t="s">
        <v>78</v>
      </c>
      <c r="N778" t="s">
        <v>79</v>
      </c>
      <c r="O778" t="s">
        <v>74</v>
      </c>
      <c r="P778" t="s">
        <v>74</v>
      </c>
      <c r="Q778" t="s">
        <v>74</v>
      </c>
      <c r="R778" t="s">
        <v>74</v>
      </c>
      <c r="S778" t="s">
        <v>74</v>
      </c>
      <c r="T778" t="s">
        <v>74</v>
      </c>
      <c r="U778" t="s">
        <v>14132</v>
      </c>
      <c r="V778" t="s">
        <v>14133</v>
      </c>
      <c r="W778" t="s">
        <v>14134</v>
      </c>
      <c r="X778" t="s">
        <v>14135</v>
      </c>
      <c r="Y778" t="s">
        <v>14136</v>
      </c>
      <c r="Z778" t="s">
        <v>14137</v>
      </c>
      <c r="AA778" t="s">
        <v>14138</v>
      </c>
      <c r="AB778" t="s">
        <v>14139</v>
      </c>
      <c r="AC778" t="s">
        <v>74</v>
      </c>
      <c r="AD778" t="s">
        <v>74</v>
      </c>
      <c r="AE778" t="s">
        <v>74</v>
      </c>
      <c r="AF778" t="s">
        <v>74</v>
      </c>
      <c r="AG778">
        <v>39</v>
      </c>
      <c r="AH778">
        <v>35</v>
      </c>
      <c r="AI778">
        <v>37</v>
      </c>
      <c r="AJ778">
        <v>0</v>
      </c>
      <c r="AK778">
        <v>13</v>
      </c>
      <c r="AL778" t="s">
        <v>1824</v>
      </c>
      <c r="AM778" t="s">
        <v>1825</v>
      </c>
      <c r="AN778" t="s">
        <v>4266</v>
      </c>
      <c r="AO778" t="s">
        <v>4426</v>
      </c>
      <c r="AP778" t="s">
        <v>4427</v>
      </c>
      <c r="AQ778" t="s">
        <v>74</v>
      </c>
      <c r="AR778" t="s">
        <v>4428</v>
      </c>
      <c r="AS778" t="s">
        <v>4429</v>
      </c>
      <c r="AT778" t="s">
        <v>8958</v>
      </c>
      <c r="AU778">
        <v>2010</v>
      </c>
      <c r="AV778">
        <v>40</v>
      </c>
      <c r="AW778">
        <v>1</v>
      </c>
      <c r="AX778" t="s">
        <v>74</v>
      </c>
      <c r="AY778" t="s">
        <v>74</v>
      </c>
      <c r="AZ778" t="s">
        <v>74</v>
      </c>
      <c r="BA778" t="s">
        <v>74</v>
      </c>
      <c r="BB778">
        <v>3</v>
      </c>
      <c r="BC778">
        <v>25</v>
      </c>
      <c r="BD778" t="s">
        <v>74</v>
      </c>
      <c r="BE778" t="s">
        <v>14140</v>
      </c>
      <c r="BF778" t="str">
        <f>HYPERLINK("http://dx.doi.org/10.1175/2009JPO4018.1","http://dx.doi.org/10.1175/2009JPO4018.1")</f>
        <v>http://dx.doi.org/10.1175/2009JPO4018.1</v>
      </c>
      <c r="BG778" t="s">
        <v>74</v>
      </c>
      <c r="BH778" t="s">
        <v>74</v>
      </c>
      <c r="BI778">
        <v>23</v>
      </c>
      <c r="BJ778" t="s">
        <v>101</v>
      </c>
      <c r="BK778" t="s">
        <v>102</v>
      </c>
      <c r="BL778" t="s">
        <v>101</v>
      </c>
      <c r="BM778" t="s">
        <v>14141</v>
      </c>
      <c r="BN778" t="s">
        <v>74</v>
      </c>
      <c r="BO778" t="s">
        <v>3033</v>
      </c>
      <c r="BP778" t="s">
        <v>74</v>
      </c>
      <c r="BQ778" t="s">
        <v>74</v>
      </c>
      <c r="BR778" t="s">
        <v>105</v>
      </c>
      <c r="BS778" t="s">
        <v>14142</v>
      </c>
      <c r="BT778" t="str">
        <f>HYPERLINK("https%3A%2F%2Fwww.webofscience.com%2Fwos%2Fwoscc%2Ffull-record%2FWOS:000273899200001","View Full Record in Web of Science")</f>
        <v>View Full Record in Web of Science</v>
      </c>
    </row>
    <row r="779" spans="1:72" x14ac:dyDescent="0.15">
      <c r="A779" t="s">
        <v>72</v>
      </c>
      <c r="B779" t="s">
        <v>14143</v>
      </c>
      <c r="C779" t="s">
        <v>74</v>
      </c>
      <c r="D779" t="s">
        <v>74</v>
      </c>
      <c r="E779" t="s">
        <v>74</v>
      </c>
      <c r="F779" t="s">
        <v>14144</v>
      </c>
      <c r="G779" t="s">
        <v>74</v>
      </c>
      <c r="H779" t="s">
        <v>74</v>
      </c>
      <c r="I779" t="s">
        <v>14145</v>
      </c>
      <c r="J779" t="s">
        <v>4415</v>
      </c>
      <c r="K779" t="s">
        <v>74</v>
      </c>
      <c r="L779" t="s">
        <v>74</v>
      </c>
      <c r="M779" t="s">
        <v>78</v>
      </c>
      <c r="N779" t="s">
        <v>79</v>
      </c>
      <c r="O779" t="s">
        <v>74</v>
      </c>
      <c r="P779" t="s">
        <v>74</v>
      </c>
      <c r="Q779" t="s">
        <v>74</v>
      </c>
      <c r="R779" t="s">
        <v>74</v>
      </c>
      <c r="S779" t="s">
        <v>74</v>
      </c>
      <c r="T779" t="s">
        <v>74</v>
      </c>
      <c r="U779" t="s">
        <v>14146</v>
      </c>
      <c r="V779" t="s">
        <v>14147</v>
      </c>
      <c r="W779" t="s">
        <v>14148</v>
      </c>
      <c r="X779" t="s">
        <v>14149</v>
      </c>
      <c r="Y779" t="s">
        <v>14150</v>
      </c>
      <c r="Z779" t="s">
        <v>14151</v>
      </c>
      <c r="AA779" t="s">
        <v>14152</v>
      </c>
      <c r="AB779" t="s">
        <v>14153</v>
      </c>
      <c r="AC779" t="s">
        <v>14154</v>
      </c>
      <c r="AD779" t="s">
        <v>14155</v>
      </c>
      <c r="AE779" t="s">
        <v>14156</v>
      </c>
      <c r="AF779" t="s">
        <v>74</v>
      </c>
      <c r="AG779">
        <v>55</v>
      </c>
      <c r="AH779">
        <v>104</v>
      </c>
      <c r="AI779">
        <v>115</v>
      </c>
      <c r="AJ779">
        <v>2</v>
      </c>
      <c r="AK779">
        <v>25</v>
      </c>
      <c r="AL779" t="s">
        <v>1824</v>
      </c>
      <c r="AM779" t="s">
        <v>1825</v>
      </c>
      <c r="AN779" t="s">
        <v>4266</v>
      </c>
      <c r="AO779" t="s">
        <v>4426</v>
      </c>
      <c r="AP779" t="s">
        <v>4427</v>
      </c>
      <c r="AQ779" t="s">
        <v>74</v>
      </c>
      <c r="AR779" t="s">
        <v>4428</v>
      </c>
      <c r="AS779" t="s">
        <v>4429</v>
      </c>
      <c r="AT779" t="s">
        <v>8958</v>
      </c>
      <c r="AU779">
        <v>2010</v>
      </c>
      <c r="AV779">
        <v>40</v>
      </c>
      <c r="AW779">
        <v>1</v>
      </c>
      <c r="AX779" t="s">
        <v>74</v>
      </c>
      <c r="AY779" t="s">
        <v>74</v>
      </c>
      <c r="AZ779" t="s">
        <v>74</v>
      </c>
      <c r="BA779" t="s">
        <v>74</v>
      </c>
      <c r="BB779">
        <v>170</v>
      </c>
      <c r="BC779">
        <v>184</v>
      </c>
      <c r="BD779" t="s">
        <v>74</v>
      </c>
      <c r="BE779" t="s">
        <v>14157</v>
      </c>
      <c r="BF779" t="str">
        <f>HYPERLINK("http://dx.doi.org/10.1175/2009JPO4201.1","http://dx.doi.org/10.1175/2009JPO4201.1")</f>
        <v>http://dx.doi.org/10.1175/2009JPO4201.1</v>
      </c>
      <c r="BG779" t="s">
        <v>74</v>
      </c>
      <c r="BH779" t="s">
        <v>74</v>
      </c>
      <c r="BI779">
        <v>15</v>
      </c>
      <c r="BJ779" t="s">
        <v>101</v>
      </c>
      <c r="BK779" t="s">
        <v>102</v>
      </c>
      <c r="BL779" t="s">
        <v>101</v>
      </c>
      <c r="BM779" t="s">
        <v>14141</v>
      </c>
      <c r="BN779" t="s">
        <v>74</v>
      </c>
      <c r="BO779" t="s">
        <v>14158</v>
      </c>
      <c r="BP779" t="s">
        <v>74</v>
      </c>
      <c r="BQ779" t="s">
        <v>74</v>
      </c>
      <c r="BR779" t="s">
        <v>105</v>
      </c>
      <c r="BS779" t="s">
        <v>14159</v>
      </c>
      <c r="BT779" t="str">
        <f>HYPERLINK("https%3A%2F%2Fwww.webofscience.com%2Fwos%2Fwoscc%2Ffull-record%2FWOS:000273899200010","View Full Record in Web of Science")</f>
        <v>View Full Record in Web of Science</v>
      </c>
    </row>
    <row r="780" spans="1:72" x14ac:dyDescent="0.15">
      <c r="A780" t="s">
        <v>72</v>
      </c>
      <c r="B780" t="s">
        <v>14160</v>
      </c>
      <c r="C780" t="s">
        <v>74</v>
      </c>
      <c r="D780" t="s">
        <v>74</v>
      </c>
      <c r="E780" t="s">
        <v>74</v>
      </c>
      <c r="F780" t="s">
        <v>14161</v>
      </c>
      <c r="G780" t="s">
        <v>74</v>
      </c>
      <c r="H780" t="s">
        <v>74</v>
      </c>
      <c r="I780" t="s">
        <v>14162</v>
      </c>
      <c r="J780" t="s">
        <v>14163</v>
      </c>
      <c r="K780" t="s">
        <v>74</v>
      </c>
      <c r="L780" t="s">
        <v>74</v>
      </c>
      <c r="M780" t="s">
        <v>78</v>
      </c>
      <c r="N780" t="s">
        <v>600</v>
      </c>
      <c r="O780" t="s">
        <v>74</v>
      </c>
      <c r="P780" t="s">
        <v>74</v>
      </c>
      <c r="Q780" t="s">
        <v>74</v>
      </c>
      <c r="R780" t="s">
        <v>74</v>
      </c>
      <c r="S780" t="s">
        <v>74</v>
      </c>
      <c r="T780" t="s">
        <v>74</v>
      </c>
      <c r="U780" t="s">
        <v>14164</v>
      </c>
      <c r="V780" t="s">
        <v>14165</v>
      </c>
      <c r="W780" t="s">
        <v>14166</v>
      </c>
      <c r="X780" t="s">
        <v>14167</v>
      </c>
      <c r="Y780" t="s">
        <v>14168</v>
      </c>
      <c r="Z780" t="s">
        <v>14169</v>
      </c>
      <c r="AA780" t="s">
        <v>14170</v>
      </c>
      <c r="AB780" t="s">
        <v>14171</v>
      </c>
      <c r="AC780" t="s">
        <v>14172</v>
      </c>
      <c r="AD780" t="s">
        <v>14173</v>
      </c>
      <c r="AE780" t="s">
        <v>14174</v>
      </c>
      <c r="AF780" t="s">
        <v>74</v>
      </c>
      <c r="AG780">
        <v>220</v>
      </c>
      <c r="AH780">
        <v>801</v>
      </c>
      <c r="AI780">
        <v>887</v>
      </c>
      <c r="AJ780">
        <v>21</v>
      </c>
      <c r="AK780">
        <v>497</v>
      </c>
      <c r="AL780" t="s">
        <v>1508</v>
      </c>
      <c r="AM780" t="s">
        <v>1064</v>
      </c>
      <c r="AN780" t="s">
        <v>1509</v>
      </c>
      <c r="AO780" t="s">
        <v>14175</v>
      </c>
      <c r="AP780" t="s">
        <v>14176</v>
      </c>
      <c r="AQ780" t="s">
        <v>74</v>
      </c>
      <c r="AR780" t="s">
        <v>14177</v>
      </c>
      <c r="AS780" t="s">
        <v>14178</v>
      </c>
      <c r="AT780" t="s">
        <v>8958</v>
      </c>
      <c r="AU780">
        <v>2010</v>
      </c>
      <c r="AV780">
        <v>32</v>
      </c>
      <c r="AW780">
        <v>1</v>
      </c>
      <c r="AX780" t="s">
        <v>74</v>
      </c>
      <c r="AY780" t="s">
        <v>74</v>
      </c>
      <c r="AZ780" t="s">
        <v>74</v>
      </c>
      <c r="BA780" t="s">
        <v>74</v>
      </c>
      <c r="BB780">
        <v>119</v>
      </c>
      <c r="BC780">
        <v>137</v>
      </c>
      <c r="BD780" t="s">
        <v>74</v>
      </c>
      <c r="BE780" t="s">
        <v>14179</v>
      </c>
      <c r="BF780" t="str">
        <f>HYPERLINK("http://dx.doi.org/10.1093/plankt/fbp098","http://dx.doi.org/10.1093/plankt/fbp098")</f>
        <v>http://dx.doi.org/10.1093/plankt/fbp098</v>
      </c>
      <c r="BG780" t="s">
        <v>74</v>
      </c>
      <c r="BH780" t="s">
        <v>74</v>
      </c>
      <c r="BI780">
        <v>19</v>
      </c>
      <c r="BJ780" t="s">
        <v>3310</v>
      </c>
      <c r="BK780" t="s">
        <v>102</v>
      </c>
      <c r="BL780" t="s">
        <v>3310</v>
      </c>
      <c r="BM780" t="s">
        <v>14180</v>
      </c>
      <c r="BN780" t="s">
        <v>74</v>
      </c>
      <c r="BO780" t="s">
        <v>74</v>
      </c>
      <c r="BP780" t="s">
        <v>74</v>
      </c>
      <c r="BQ780" t="s">
        <v>74</v>
      </c>
      <c r="BR780" t="s">
        <v>105</v>
      </c>
      <c r="BS780" t="s">
        <v>14181</v>
      </c>
      <c r="BT780" t="str">
        <f>HYPERLINK("https%3A%2F%2Fwww.webofscience.com%2Fwos%2Fwoscc%2Ffull-record%2FWOS:000272465300011","View Full Record in Web of Science")</f>
        <v>View Full Record in Web of Science</v>
      </c>
    </row>
    <row r="781" spans="1:72" x14ac:dyDescent="0.15">
      <c r="A781" t="s">
        <v>72</v>
      </c>
      <c r="B781" t="s">
        <v>14182</v>
      </c>
      <c r="C781" t="s">
        <v>74</v>
      </c>
      <c r="D781" t="s">
        <v>74</v>
      </c>
      <c r="E781" t="s">
        <v>74</v>
      </c>
      <c r="F781" t="s">
        <v>14183</v>
      </c>
      <c r="G781" t="s">
        <v>74</v>
      </c>
      <c r="H781" t="s">
        <v>74</v>
      </c>
      <c r="I781" t="s">
        <v>14184</v>
      </c>
      <c r="J781" t="s">
        <v>4458</v>
      </c>
      <c r="K781" t="s">
        <v>74</v>
      </c>
      <c r="L781" t="s">
        <v>74</v>
      </c>
      <c r="M781" t="s">
        <v>78</v>
      </c>
      <c r="N781" t="s">
        <v>600</v>
      </c>
      <c r="O781" t="s">
        <v>74</v>
      </c>
      <c r="P781" t="s">
        <v>74</v>
      </c>
      <c r="Q781" t="s">
        <v>74</v>
      </c>
      <c r="R781" t="s">
        <v>74</v>
      </c>
      <c r="S781" t="s">
        <v>74</v>
      </c>
      <c r="T781" t="s">
        <v>14185</v>
      </c>
      <c r="U781" t="s">
        <v>14186</v>
      </c>
      <c r="V781" t="s">
        <v>14187</v>
      </c>
      <c r="W781" t="s">
        <v>14188</v>
      </c>
      <c r="X781" t="s">
        <v>14189</v>
      </c>
      <c r="Y781" t="s">
        <v>14190</v>
      </c>
      <c r="Z781" t="s">
        <v>14191</v>
      </c>
      <c r="AA781" t="s">
        <v>14192</v>
      </c>
      <c r="AB781" t="s">
        <v>14193</v>
      </c>
      <c r="AC781" t="s">
        <v>14194</v>
      </c>
      <c r="AD781" t="s">
        <v>1972</v>
      </c>
      <c r="AE781" t="s">
        <v>74</v>
      </c>
      <c r="AF781" t="s">
        <v>74</v>
      </c>
      <c r="AG781">
        <v>124</v>
      </c>
      <c r="AH781">
        <v>38</v>
      </c>
      <c r="AI781">
        <v>42</v>
      </c>
      <c r="AJ781">
        <v>1</v>
      </c>
      <c r="AK781">
        <v>27</v>
      </c>
      <c r="AL781" t="s">
        <v>991</v>
      </c>
      <c r="AM781" t="s">
        <v>992</v>
      </c>
      <c r="AN781" t="s">
        <v>993</v>
      </c>
      <c r="AO781" t="s">
        <v>4470</v>
      </c>
      <c r="AP781" t="s">
        <v>4471</v>
      </c>
      <c r="AQ781" t="s">
        <v>74</v>
      </c>
      <c r="AR781" t="s">
        <v>4472</v>
      </c>
      <c r="AS781" t="s">
        <v>4473</v>
      </c>
      <c r="AT781" t="s">
        <v>8958</v>
      </c>
      <c r="AU781">
        <v>2010</v>
      </c>
      <c r="AV781">
        <v>25</v>
      </c>
      <c r="AW781">
        <v>1</v>
      </c>
      <c r="AX781" t="s">
        <v>74</v>
      </c>
      <c r="AY781" t="s">
        <v>74</v>
      </c>
      <c r="AZ781" t="s">
        <v>152</v>
      </c>
      <c r="BA781" t="s">
        <v>74</v>
      </c>
      <c r="BB781">
        <v>5</v>
      </c>
      <c r="BC781">
        <v>18</v>
      </c>
      <c r="BD781" t="s">
        <v>74</v>
      </c>
      <c r="BE781" t="s">
        <v>14195</v>
      </c>
      <c r="BF781" t="str">
        <f>HYPERLINK("http://dx.doi.org/10.1002/jqs.1287","http://dx.doi.org/10.1002/jqs.1287")</f>
        <v>http://dx.doi.org/10.1002/jqs.1287</v>
      </c>
      <c r="BG781" t="s">
        <v>74</v>
      </c>
      <c r="BH781" t="s">
        <v>74</v>
      </c>
      <c r="BI781">
        <v>14</v>
      </c>
      <c r="BJ781" t="s">
        <v>2881</v>
      </c>
      <c r="BK781" t="s">
        <v>102</v>
      </c>
      <c r="BL781" t="s">
        <v>2628</v>
      </c>
      <c r="BM781" t="s">
        <v>14196</v>
      </c>
      <c r="BN781" t="s">
        <v>74</v>
      </c>
      <c r="BO781" t="s">
        <v>480</v>
      </c>
      <c r="BP781" t="s">
        <v>74</v>
      </c>
      <c r="BQ781" t="s">
        <v>74</v>
      </c>
      <c r="BR781" t="s">
        <v>105</v>
      </c>
      <c r="BS781" t="s">
        <v>14197</v>
      </c>
      <c r="BT781" t="str">
        <f>HYPERLINK("https%3A%2F%2Fwww.webofscience.com%2Fwos%2Fwoscc%2Ffull-record%2FWOS:000273773900002","View Full Record in Web of Science")</f>
        <v>View Full Record in Web of Science</v>
      </c>
    </row>
    <row r="782" spans="1:72" x14ac:dyDescent="0.15">
      <c r="A782" t="s">
        <v>72</v>
      </c>
      <c r="B782" t="s">
        <v>14198</v>
      </c>
      <c r="C782" t="s">
        <v>74</v>
      </c>
      <c r="D782" t="s">
        <v>74</v>
      </c>
      <c r="E782" t="s">
        <v>74</v>
      </c>
      <c r="F782" t="s">
        <v>14199</v>
      </c>
      <c r="G782" t="s">
        <v>74</v>
      </c>
      <c r="H782" t="s">
        <v>74</v>
      </c>
      <c r="I782" t="s">
        <v>14200</v>
      </c>
      <c r="J782" t="s">
        <v>4458</v>
      </c>
      <c r="K782" t="s">
        <v>74</v>
      </c>
      <c r="L782" t="s">
        <v>74</v>
      </c>
      <c r="M782" t="s">
        <v>78</v>
      </c>
      <c r="N782" t="s">
        <v>600</v>
      </c>
      <c r="O782" t="s">
        <v>74</v>
      </c>
      <c r="P782" t="s">
        <v>74</v>
      </c>
      <c r="Q782" t="s">
        <v>74</v>
      </c>
      <c r="R782" t="s">
        <v>74</v>
      </c>
      <c r="S782" t="s">
        <v>74</v>
      </c>
      <c r="T782" t="s">
        <v>14201</v>
      </c>
      <c r="U782" t="s">
        <v>14202</v>
      </c>
      <c r="V782" t="s">
        <v>14203</v>
      </c>
      <c r="W782" t="s">
        <v>14204</v>
      </c>
      <c r="X782" t="s">
        <v>14205</v>
      </c>
      <c r="Y782" t="s">
        <v>14206</v>
      </c>
      <c r="Z782" t="s">
        <v>14207</v>
      </c>
      <c r="AA782" t="s">
        <v>14208</v>
      </c>
      <c r="AB782" t="s">
        <v>74</v>
      </c>
      <c r="AC782" t="s">
        <v>14209</v>
      </c>
      <c r="AD782" t="s">
        <v>1972</v>
      </c>
      <c r="AE782" t="s">
        <v>74</v>
      </c>
      <c r="AF782" t="s">
        <v>74</v>
      </c>
      <c r="AG782">
        <v>132</v>
      </c>
      <c r="AH782">
        <v>60</v>
      </c>
      <c r="AI782">
        <v>67</v>
      </c>
      <c r="AJ782">
        <v>1</v>
      </c>
      <c r="AK782">
        <v>66</v>
      </c>
      <c r="AL782" t="s">
        <v>991</v>
      </c>
      <c r="AM782" t="s">
        <v>992</v>
      </c>
      <c r="AN782" t="s">
        <v>993</v>
      </c>
      <c r="AO782" t="s">
        <v>4470</v>
      </c>
      <c r="AP782" t="s">
        <v>4471</v>
      </c>
      <c r="AQ782" t="s">
        <v>74</v>
      </c>
      <c r="AR782" t="s">
        <v>4472</v>
      </c>
      <c r="AS782" t="s">
        <v>4473</v>
      </c>
      <c r="AT782" t="s">
        <v>8958</v>
      </c>
      <c r="AU782">
        <v>2010</v>
      </c>
      <c r="AV782">
        <v>25</v>
      </c>
      <c r="AW782">
        <v>1</v>
      </c>
      <c r="AX782" t="s">
        <v>74</v>
      </c>
      <c r="AY782" t="s">
        <v>74</v>
      </c>
      <c r="AZ782" t="s">
        <v>152</v>
      </c>
      <c r="BA782" t="s">
        <v>74</v>
      </c>
      <c r="BB782">
        <v>26</v>
      </c>
      <c r="BC782">
        <v>38</v>
      </c>
      <c r="BD782" t="s">
        <v>74</v>
      </c>
      <c r="BE782" t="s">
        <v>14210</v>
      </c>
      <c r="BF782" t="str">
        <f>HYPERLINK("http://dx.doi.org/10.1002/jqs.1273","http://dx.doi.org/10.1002/jqs.1273")</f>
        <v>http://dx.doi.org/10.1002/jqs.1273</v>
      </c>
      <c r="BG782" t="s">
        <v>74</v>
      </c>
      <c r="BH782" t="s">
        <v>74</v>
      </c>
      <c r="BI782">
        <v>13</v>
      </c>
      <c r="BJ782" t="s">
        <v>2881</v>
      </c>
      <c r="BK782" t="s">
        <v>102</v>
      </c>
      <c r="BL782" t="s">
        <v>2628</v>
      </c>
      <c r="BM782" t="s">
        <v>14196</v>
      </c>
      <c r="BN782" t="s">
        <v>74</v>
      </c>
      <c r="BO782" t="s">
        <v>74</v>
      </c>
      <c r="BP782" t="s">
        <v>74</v>
      </c>
      <c r="BQ782" t="s">
        <v>74</v>
      </c>
      <c r="BR782" t="s">
        <v>105</v>
      </c>
      <c r="BS782" t="s">
        <v>14211</v>
      </c>
      <c r="BT782" t="str">
        <f>HYPERLINK("https%3A%2F%2Fwww.webofscience.com%2Fwos%2Fwoscc%2Ffull-record%2FWOS:000273773900004","View Full Record in Web of Science")</f>
        <v>View Full Record in Web of Science</v>
      </c>
    </row>
    <row r="783" spans="1:72" x14ac:dyDescent="0.15">
      <c r="A783" t="s">
        <v>72</v>
      </c>
      <c r="B783" t="s">
        <v>14212</v>
      </c>
      <c r="C783" t="s">
        <v>74</v>
      </c>
      <c r="D783" t="s">
        <v>74</v>
      </c>
      <c r="E783" t="s">
        <v>74</v>
      </c>
      <c r="F783" t="s">
        <v>14213</v>
      </c>
      <c r="G783" t="s">
        <v>74</v>
      </c>
      <c r="H783" t="s">
        <v>74</v>
      </c>
      <c r="I783" t="s">
        <v>14214</v>
      </c>
      <c r="J783" t="s">
        <v>14215</v>
      </c>
      <c r="K783" t="s">
        <v>74</v>
      </c>
      <c r="L783" t="s">
        <v>74</v>
      </c>
      <c r="M783" t="s">
        <v>78</v>
      </c>
      <c r="N783" t="s">
        <v>79</v>
      </c>
      <c r="O783" t="s">
        <v>74</v>
      </c>
      <c r="P783" t="s">
        <v>74</v>
      </c>
      <c r="Q783" t="s">
        <v>74</v>
      </c>
      <c r="R783" t="s">
        <v>74</v>
      </c>
      <c r="S783" t="s">
        <v>74</v>
      </c>
      <c r="T783" t="s">
        <v>14216</v>
      </c>
      <c r="U783" t="s">
        <v>14217</v>
      </c>
      <c r="V783" t="s">
        <v>14218</v>
      </c>
      <c r="W783" t="s">
        <v>14219</v>
      </c>
      <c r="X783" t="s">
        <v>14220</v>
      </c>
      <c r="Y783" t="s">
        <v>14221</v>
      </c>
      <c r="Z783" t="s">
        <v>14222</v>
      </c>
      <c r="AA783" t="s">
        <v>14223</v>
      </c>
      <c r="AB783" t="s">
        <v>14224</v>
      </c>
      <c r="AC783" t="s">
        <v>74</v>
      </c>
      <c r="AD783" t="s">
        <v>74</v>
      </c>
      <c r="AE783" t="s">
        <v>74</v>
      </c>
      <c r="AF783" t="s">
        <v>74</v>
      </c>
      <c r="AG783">
        <v>111</v>
      </c>
      <c r="AH783">
        <v>179</v>
      </c>
      <c r="AI783">
        <v>201</v>
      </c>
      <c r="AJ783">
        <v>7</v>
      </c>
      <c r="AK783">
        <v>106</v>
      </c>
      <c r="AL783" t="s">
        <v>9380</v>
      </c>
      <c r="AM783" t="s">
        <v>547</v>
      </c>
      <c r="AN783" t="s">
        <v>9381</v>
      </c>
      <c r="AO783" t="s">
        <v>14225</v>
      </c>
      <c r="AP783" t="s">
        <v>14226</v>
      </c>
      <c r="AQ783" t="s">
        <v>74</v>
      </c>
      <c r="AR783" t="s">
        <v>14227</v>
      </c>
      <c r="AS783" t="s">
        <v>14228</v>
      </c>
      <c r="AT783" t="s">
        <v>74</v>
      </c>
      <c r="AU783">
        <v>2010</v>
      </c>
      <c r="AV783">
        <v>18</v>
      </c>
      <c r="AW783">
        <v>3</v>
      </c>
      <c r="AX783" t="s">
        <v>74</v>
      </c>
      <c r="AY783" t="s">
        <v>74</v>
      </c>
      <c r="AZ783" t="s">
        <v>74</v>
      </c>
      <c r="BA783" t="s">
        <v>74</v>
      </c>
      <c r="BB783">
        <v>337</v>
      </c>
      <c r="BC783">
        <v>354</v>
      </c>
      <c r="BD783" t="s">
        <v>14229</v>
      </c>
      <c r="BE783" t="s">
        <v>14230</v>
      </c>
      <c r="BF783" t="str">
        <f>HYPERLINK("http://dx.doi.org/10.1080/09669581003653534","http://dx.doi.org/10.1080/09669581003653534")</f>
        <v>http://dx.doi.org/10.1080/09669581003653534</v>
      </c>
      <c r="BG783" t="s">
        <v>74</v>
      </c>
      <c r="BH783" t="s">
        <v>74</v>
      </c>
      <c r="BI783">
        <v>18</v>
      </c>
      <c r="BJ783" t="s">
        <v>14231</v>
      </c>
      <c r="BK783" t="s">
        <v>9388</v>
      </c>
      <c r="BL783" t="s">
        <v>14232</v>
      </c>
      <c r="BM783" t="s">
        <v>14233</v>
      </c>
      <c r="BN783" t="s">
        <v>74</v>
      </c>
      <c r="BO783" t="s">
        <v>74</v>
      </c>
      <c r="BP783" t="s">
        <v>74</v>
      </c>
      <c r="BQ783" t="s">
        <v>74</v>
      </c>
      <c r="BR783" t="s">
        <v>105</v>
      </c>
      <c r="BS783" t="s">
        <v>14234</v>
      </c>
      <c r="BT783" t="str">
        <f>HYPERLINK("https%3A%2F%2Fwww.webofscience.com%2Fwos%2Fwoscc%2Ffull-record%2FWOS:000277591300004","View Full Record in Web of Science")</f>
        <v>View Full Record in Web of Science</v>
      </c>
    </row>
    <row r="784" spans="1:72" x14ac:dyDescent="0.15">
      <c r="A784" t="s">
        <v>72</v>
      </c>
      <c r="B784" t="s">
        <v>14235</v>
      </c>
      <c r="C784" t="s">
        <v>74</v>
      </c>
      <c r="D784" t="s">
        <v>74</v>
      </c>
      <c r="E784" t="s">
        <v>74</v>
      </c>
      <c r="F784" t="s">
        <v>14236</v>
      </c>
      <c r="G784" t="s">
        <v>74</v>
      </c>
      <c r="H784" t="s">
        <v>74</v>
      </c>
      <c r="I784" t="s">
        <v>14237</v>
      </c>
      <c r="J784" t="s">
        <v>4497</v>
      </c>
      <c r="K784" t="s">
        <v>74</v>
      </c>
      <c r="L784" t="s">
        <v>74</v>
      </c>
      <c r="M784" t="s">
        <v>78</v>
      </c>
      <c r="N784" t="s">
        <v>79</v>
      </c>
      <c r="O784" t="s">
        <v>74</v>
      </c>
      <c r="P784" t="s">
        <v>74</v>
      </c>
      <c r="Q784" t="s">
        <v>74</v>
      </c>
      <c r="R784" t="s">
        <v>74</v>
      </c>
      <c r="S784" t="s">
        <v>74</v>
      </c>
      <c r="T784" t="s">
        <v>74</v>
      </c>
      <c r="U784" t="s">
        <v>14238</v>
      </c>
      <c r="V784" t="s">
        <v>14239</v>
      </c>
      <c r="W784" t="s">
        <v>14240</v>
      </c>
      <c r="X784" t="s">
        <v>14241</v>
      </c>
      <c r="Y784" t="s">
        <v>14242</v>
      </c>
      <c r="Z784" t="s">
        <v>14243</v>
      </c>
      <c r="AA784" t="s">
        <v>14244</v>
      </c>
      <c r="AB784" t="s">
        <v>14245</v>
      </c>
      <c r="AC784" t="s">
        <v>14246</v>
      </c>
      <c r="AD784" t="s">
        <v>14247</v>
      </c>
      <c r="AE784" t="s">
        <v>14248</v>
      </c>
      <c r="AF784" t="s">
        <v>74</v>
      </c>
      <c r="AG784">
        <v>58</v>
      </c>
      <c r="AH784">
        <v>59</v>
      </c>
      <c r="AI784">
        <v>60</v>
      </c>
      <c r="AJ784">
        <v>0</v>
      </c>
      <c r="AK784">
        <v>3</v>
      </c>
      <c r="AL784" t="s">
        <v>4507</v>
      </c>
      <c r="AM784" t="s">
        <v>4508</v>
      </c>
      <c r="AN784" t="s">
        <v>4509</v>
      </c>
      <c r="AO784" t="s">
        <v>4510</v>
      </c>
      <c r="AP784" t="s">
        <v>4511</v>
      </c>
      <c r="AQ784" t="s">
        <v>74</v>
      </c>
      <c r="AR784" t="s">
        <v>4512</v>
      </c>
      <c r="AS784" t="s">
        <v>4513</v>
      </c>
      <c r="AT784" t="s">
        <v>8958</v>
      </c>
      <c r="AU784">
        <v>2010</v>
      </c>
      <c r="AV784">
        <v>167</v>
      </c>
      <c r="AW784">
        <v>1</v>
      </c>
      <c r="AX784" t="s">
        <v>74</v>
      </c>
      <c r="AY784" t="s">
        <v>74</v>
      </c>
      <c r="AZ784" t="s">
        <v>74</v>
      </c>
      <c r="BA784" t="s">
        <v>74</v>
      </c>
      <c r="BB784">
        <v>11</v>
      </c>
      <c r="BC784">
        <v>20</v>
      </c>
      <c r="BD784" t="s">
        <v>74</v>
      </c>
      <c r="BE784" t="s">
        <v>14249</v>
      </c>
      <c r="BF784" t="str">
        <f>HYPERLINK("http://dx.doi.org/10.1144/0016-76492009-109","http://dx.doi.org/10.1144/0016-76492009-109")</f>
        <v>http://dx.doi.org/10.1144/0016-76492009-109</v>
      </c>
      <c r="BG784" t="s">
        <v>74</v>
      </c>
      <c r="BH784" t="s">
        <v>74</v>
      </c>
      <c r="BI784">
        <v>10</v>
      </c>
      <c r="BJ784" t="s">
        <v>913</v>
      </c>
      <c r="BK784" t="s">
        <v>102</v>
      </c>
      <c r="BL784" t="s">
        <v>914</v>
      </c>
      <c r="BM784" t="s">
        <v>14250</v>
      </c>
      <c r="BN784" t="s">
        <v>74</v>
      </c>
      <c r="BO784" t="s">
        <v>326</v>
      </c>
      <c r="BP784" t="s">
        <v>74</v>
      </c>
      <c r="BQ784" t="s">
        <v>74</v>
      </c>
      <c r="BR784" t="s">
        <v>105</v>
      </c>
      <c r="BS784" t="s">
        <v>14251</v>
      </c>
      <c r="BT784" t="str">
        <f>HYPERLINK("https%3A%2F%2Fwww.webofscience.com%2Fwos%2Fwoscc%2Ffull-record%2FWOS:000274310200003","View Full Record in Web of Science")</f>
        <v>View Full Record in Web of Science</v>
      </c>
    </row>
    <row r="785" spans="1:72" x14ac:dyDescent="0.15">
      <c r="A785" t="s">
        <v>72</v>
      </c>
      <c r="B785" t="s">
        <v>14252</v>
      </c>
      <c r="C785" t="s">
        <v>74</v>
      </c>
      <c r="D785" t="s">
        <v>74</v>
      </c>
      <c r="E785" t="s">
        <v>74</v>
      </c>
      <c r="F785" t="s">
        <v>14253</v>
      </c>
      <c r="G785" t="s">
        <v>74</v>
      </c>
      <c r="H785" t="s">
        <v>74</v>
      </c>
      <c r="I785" t="s">
        <v>14254</v>
      </c>
      <c r="J785" t="s">
        <v>14255</v>
      </c>
      <c r="K785" t="s">
        <v>74</v>
      </c>
      <c r="L785" t="s">
        <v>74</v>
      </c>
      <c r="M785" t="s">
        <v>13588</v>
      </c>
      <c r="N785" t="s">
        <v>79</v>
      </c>
      <c r="O785" t="s">
        <v>74</v>
      </c>
      <c r="P785" t="s">
        <v>74</v>
      </c>
      <c r="Q785" t="s">
        <v>74</v>
      </c>
      <c r="R785" t="s">
        <v>74</v>
      </c>
      <c r="S785" t="s">
        <v>74</v>
      </c>
      <c r="T785" t="s">
        <v>14256</v>
      </c>
      <c r="U785" t="s">
        <v>74</v>
      </c>
      <c r="V785" t="s">
        <v>14257</v>
      </c>
      <c r="W785" t="s">
        <v>14258</v>
      </c>
      <c r="X785" t="s">
        <v>14259</v>
      </c>
      <c r="Y785" t="s">
        <v>14260</v>
      </c>
      <c r="Z785" t="s">
        <v>74</v>
      </c>
      <c r="AA785" t="s">
        <v>74</v>
      </c>
      <c r="AB785" t="s">
        <v>74</v>
      </c>
      <c r="AC785" t="s">
        <v>74</v>
      </c>
      <c r="AD785" t="s">
        <v>74</v>
      </c>
      <c r="AE785" t="s">
        <v>74</v>
      </c>
      <c r="AF785" t="s">
        <v>74</v>
      </c>
      <c r="AG785">
        <v>10</v>
      </c>
      <c r="AH785">
        <v>0</v>
      </c>
      <c r="AI785">
        <v>0</v>
      </c>
      <c r="AJ785">
        <v>0</v>
      </c>
      <c r="AK785">
        <v>5</v>
      </c>
      <c r="AL785" t="s">
        <v>14261</v>
      </c>
      <c r="AM785" t="s">
        <v>14262</v>
      </c>
      <c r="AN785" t="s">
        <v>14263</v>
      </c>
      <c r="AO785" t="s">
        <v>14264</v>
      </c>
      <c r="AP785" t="s">
        <v>14265</v>
      </c>
      <c r="AQ785" t="s">
        <v>74</v>
      </c>
      <c r="AR785" t="s">
        <v>14266</v>
      </c>
      <c r="AS785" t="s">
        <v>14267</v>
      </c>
      <c r="AT785" t="s">
        <v>8958</v>
      </c>
      <c r="AU785">
        <v>2010</v>
      </c>
      <c r="AV785">
        <v>74</v>
      </c>
      <c r="AW785">
        <v>1</v>
      </c>
      <c r="AX785" t="s">
        <v>74</v>
      </c>
      <c r="AY785" t="s">
        <v>74</v>
      </c>
      <c r="AZ785" t="s">
        <v>74</v>
      </c>
      <c r="BA785" t="s">
        <v>74</v>
      </c>
      <c r="BB785">
        <v>61</v>
      </c>
      <c r="BC785">
        <v>63</v>
      </c>
      <c r="BD785" t="s">
        <v>74</v>
      </c>
      <c r="BE785" t="s">
        <v>14268</v>
      </c>
      <c r="BF785" t="str">
        <f>HYPERLINK("http://dx.doi.org/10.2320/jinstmet.74.61","http://dx.doi.org/10.2320/jinstmet.74.61")</f>
        <v>http://dx.doi.org/10.2320/jinstmet.74.61</v>
      </c>
      <c r="BG785" t="s">
        <v>74</v>
      </c>
      <c r="BH785" t="s">
        <v>74</v>
      </c>
      <c r="BI785">
        <v>3</v>
      </c>
      <c r="BJ785" t="s">
        <v>14269</v>
      </c>
      <c r="BK785" t="s">
        <v>102</v>
      </c>
      <c r="BL785" t="s">
        <v>14269</v>
      </c>
      <c r="BM785" t="s">
        <v>14270</v>
      </c>
      <c r="BN785" t="s">
        <v>74</v>
      </c>
      <c r="BO785" t="s">
        <v>104</v>
      </c>
      <c r="BP785" t="s">
        <v>74</v>
      </c>
      <c r="BQ785" t="s">
        <v>74</v>
      </c>
      <c r="BR785" t="s">
        <v>105</v>
      </c>
      <c r="BS785" t="s">
        <v>14271</v>
      </c>
      <c r="BT785" t="str">
        <f>HYPERLINK("https%3A%2F%2Fwww.webofscience.com%2Fwos%2Fwoscc%2Ffull-record%2FWOS:000275072900010","View Full Record in Web of Science")</f>
        <v>View Full Record in Web of Science</v>
      </c>
    </row>
    <row r="786" spans="1:72" x14ac:dyDescent="0.15">
      <c r="A786" t="s">
        <v>72</v>
      </c>
      <c r="B786" t="s">
        <v>14272</v>
      </c>
      <c r="C786" t="s">
        <v>74</v>
      </c>
      <c r="D786" t="s">
        <v>74</v>
      </c>
      <c r="E786" t="s">
        <v>74</v>
      </c>
      <c r="F786" t="s">
        <v>14273</v>
      </c>
      <c r="G786" t="s">
        <v>74</v>
      </c>
      <c r="H786" t="s">
        <v>74</v>
      </c>
      <c r="I786" t="s">
        <v>14274</v>
      </c>
      <c r="J786" t="s">
        <v>14275</v>
      </c>
      <c r="K786" t="s">
        <v>74</v>
      </c>
      <c r="L786" t="s">
        <v>74</v>
      </c>
      <c r="M786" t="s">
        <v>78</v>
      </c>
      <c r="N786" t="s">
        <v>79</v>
      </c>
      <c r="O786" t="s">
        <v>74</v>
      </c>
      <c r="P786" t="s">
        <v>74</v>
      </c>
      <c r="Q786" t="s">
        <v>74</v>
      </c>
      <c r="R786" t="s">
        <v>74</v>
      </c>
      <c r="S786" t="s">
        <v>74</v>
      </c>
      <c r="T786" t="s">
        <v>14276</v>
      </c>
      <c r="U786" t="s">
        <v>14277</v>
      </c>
      <c r="V786" t="s">
        <v>14278</v>
      </c>
      <c r="W786" t="s">
        <v>14279</v>
      </c>
      <c r="X786" t="s">
        <v>14280</v>
      </c>
      <c r="Y786" t="s">
        <v>14281</v>
      </c>
      <c r="Z786" t="s">
        <v>14282</v>
      </c>
      <c r="AA786" t="s">
        <v>14283</v>
      </c>
      <c r="AB786" t="s">
        <v>14284</v>
      </c>
      <c r="AC786" t="s">
        <v>14285</v>
      </c>
      <c r="AD786" t="s">
        <v>10370</v>
      </c>
      <c r="AE786" t="s">
        <v>14286</v>
      </c>
      <c r="AF786" t="s">
        <v>74</v>
      </c>
      <c r="AG786">
        <v>87</v>
      </c>
      <c r="AH786">
        <v>4</v>
      </c>
      <c r="AI786">
        <v>4</v>
      </c>
      <c r="AJ786">
        <v>1</v>
      </c>
      <c r="AK786">
        <v>14</v>
      </c>
      <c r="AL786" t="s">
        <v>546</v>
      </c>
      <c r="AM786" t="s">
        <v>547</v>
      </c>
      <c r="AN786" t="s">
        <v>548</v>
      </c>
      <c r="AO786" t="s">
        <v>14287</v>
      </c>
      <c r="AP786" t="s">
        <v>14288</v>
      </c>
      <c r="AQ786" t="s">
        <v>74</v>
      </c>
      <c r="AR786" t="s">
        <v>14289</v>
      </c>
      <c r="AS786" t="s">
        <v>14290</v>
      </c>
      <c r="AT786" t="s">
        <v>74</v>
      </c>
      <c r="AU786">
        <v>2010</v>
      </c>
      <c r="AV786">
        <v>40</v>
      </c>
      <c r="AW786" t="s">
        <v>971</v>
      </c>
      <c r="AX786" t="s">
        <v>74</v>
      </c>
      <c r="AY786" t="s">
        <v>74</v>
      </c>
      <c r="AZ786" t="s">
        <v>74</v>
      </c>
      <c r="BA786" t="s">
        <v>74</v>
      </c>
      <c r="BB786">
        <v>209</v>
      </c>
      <c r="BC786">
        <v>224</v>
      </c>
      <c r="BD786" t="s">
        <v>14291</v>
      </c>
      <c r="BE786" t="s">
        <v>14292</v>
      </c>
      <c r="BF786" t="str">
        <f>HYPERLINK("http://dx.doi.org/10.1080/03036758.2010.512626","http://dx.doi.org/10.1080/03036758.2010.512626")</f>
        <v>http://dx.doi.org/10.1080/03036758.2010.512626</v>
      </c>
      <c r="BG786" t="s">
        <v>74</v>
      </c>
      <c r="BH786" t="s">
        <v>74</v>
      </c>
      <c r="BI786">
        <v>16</v>
      </c>
      <c r="BJ786" t="s">
        <v>323</v>
      </c>
      <c r="BK786" t="s">
        <v>102</v>
      </c>
      <c r="BL786" t="s">
        <v>324</v>
      </c>
      <c r="BM786" t="s">
        <v>14293</v>
      </c>
      <c r="BN786" t="s">
        <v>74</v>
      </c>
      <c r="BO786" t="s">
        <v>104</v>
      </c>
      <c r="BP786" t="s">
        <v>74</v>
      </c>
      <c r="BQ786" t="s">
        <v>74</v>
      </c>
      <c r="BR786" t="s">
        <v>105</v>
      </c>
      <c r="BS786" t="s">
        <v>14294</v>
      </c>
      <c r="BT786" t="str">
        <f>HYPERLINK("https%3A%2F%2Fwww.webofscience.com%2Fwos%2Fwoscc%2Ffull-record%2FWOS:000285351100003","View Full Record in Web of Science")</f>
        <v>View Full Record in Web of Science</v>
      </c>
    </row>
    <row r="787" spans="1:72" x14ac:dyDescent="0.15">
      <c r="A787" t="s">
        <v>72</v>
      </c>
      <c r="B787" t="s">
        <v>14295</v>
      </c>
      <c r="C787" t="s">
        <v>74</v>
      </c>
      <c r="D787" t="s">
        <v>74</v>
      </c>
      <c r="E787" t="s">
        <v>74</v>
      </c>
      <c r="F787" t="s">
        <v>14296</v>
      </c>
      <c r="G787" t="s">
        <v>74</v>
      </c>
      <c r="H787" t="s">
        <v>74</v>
      </c>
      <c r="I787" t="s">
        <v>14297</v>
      </c>
      <c r="J787" t="s">
        <v>14298</v>
      </c>
      <c r="K787" t="s">
        <v>74</v>
      </c>
      <c r="L787" t="s">
        <v>74</v>
      </c>
      <c r="M787" t="s">
        <v>78</v>
      </c>
      <c r="N787" t="s">
        <v>79</v>
      </c>
      <c r="O787" t="s">
        <v>74</v>
      </c>
      <c r="P787" t="s">
        <v>74</v>
      </c>
      <c r="Q787" t="s">
        <v>74</v>
      </c>
      <c r="R787" t="s">
        <v>74</v>
      </c>
      <c r="S787" t="s">
        <v>74</v>
      </c>
      <c r="T787" t="s">
        <v>14299</v>
      </c>
      <c r="U787" t="s">
        <v>14300</v>
      </c>
      <c r="V787" t="s">
        <v>14301</v>
      </c>
      <c r="W787" t="s">
        <v>14302</v>
      </c>
      <c r="X787" t="s">
        <v>14303</v>
      </c>
      <c r="Y787" t="s">
        <v>14304</v>
      </c>
      <c r="Z787" t="s">
        <v>14305</v>
      </c>
      <c r="AA787" t="s">
        <v>14306</v>
      </c>
      <c r="AB787" t="s">
        <v>14307</v>
      </c>
      <c r="AC787" t="s">
        <v>14308</v>
      </c>
      <c r="AD787" t="s">
        <v>14309</v>
      </c>
      <c r="AE787" t="s">
        <v>14310</v>
      </c>
      <c r="AF787" t="s">
        <v>74</v>
      </c>
      <c r="AG787">
        <v>72</v>
      </c>
      <c r="AH787">
        <v>18</v>
      </c>
      <c r="AI787">
        <v>23</v>
      </c>
      <c r="AJ787">
        <v>1</v>
      </c>
      <c r="AK787">
        <v>51</v>
      </c>
      <c r="AL787" t="s">
        <v>1063</v>
      </c>
      <c r="AM787" t="s">
        <v>1064</v>
      </c>
      <c r="AN787" t="s">
        <v>1065</v>
      </c>
      <c r="AO787" t="s">
        <v>14311</v>
      </c>
      <c r="AP787" t="s">
        <v>14312</v>
      </c>
      <c r="AQ787" t="s">
        <v>74</v>
      </c>
      <c r="AR787" t="s">
        <v>14313</v>
      </c>
      <c r="AS787" t="s">
        <v>14314</v>
      </c>
      <c r="AT787" t="s">
        <v>8958</v>
      </c>
      <c r="AU787">
        <v>2010</v>
      </c>
      <c r="AV787">
        <v>35</v>
      </c>
      <c r="AW787">
        <v>1</v>
      </c>
      <c r="AX787" t="s">
        <v>74</v>
      </c>
      <c r="AY787" t="s">
        <v>74</v>
      </c>
      <c r="AZ787" t="s">
        <v>74</v>
      </c>
      <c r="BA787" t="s">
        <v>74</v>
      </c>
      <c r="BB787">
        <v>11</v>
      </c>
      <c r="BC787">
        <v>20</v>
      </c>
      <c r="BD787" t="s">
        <v>74</v>
      </c>
      <c r="BE787" t="s">
        <v>14315</v>
      </c>
      <c r="BF787" t="str">
        <f>HYPERLINK("http://dx.doi.org/10.1016/j.jtherbio.2009.10.002","http://dx.doi.org/10.1016/j.jtherbio.2009.10.002")</f>
        <v>http://dx.doi.org/10.1016/j.jtherbio.2009.10.002</v>
      </c>
      <c r="BG787" t="s">
        <v>74</v>
      </c>
      <c r="BH787" t="s">
        <v>74</v>
      </c>
      <c r="BI787">
        <v>10</v>
      </c>
      <c r="BJ787" t="s">
        <v>14316</v>
      </c>
      <c r="BK787" t="s">
        <v>102</v>
      </c>
      <c r="BL787" t="s">
        <v>14317</v>
      </c>
      <c r="BM787" t="s">
        <v>14318</v>
      </c>
      <c r="BN787" t="s">
        <v>74</v>
      </c>
      <c r="BO787" t="s">
        <v>74</v>
      </c>
      <c r="BP787" t="s">
        <v>74</v>
      </c>
      <c r="BQ787" t="s">
        <v>74</v>
      </c>
      <c r="BR787" t="s">
        <v>105</v>
      </c>
      <c r="BS787" t="s">
        <v>14319</v>
      </c>
      <c r="BT787" t="str">
        <f>HYPERLINK("https%3A%2F%2Fwww.webofscience.com%2Fwos%2Fwoscc%2Ffull-record%2FWOS:000274867400003","View Full Record in Web of Science")</f>
        <v>View Full Record in Web of Science</v>
      </c>
    </row>
    <row r="788" spans="1:72" x14ac:dyDescent="0.15">
      <c r="A788" t="s">
        <v>72</v>
      </c>
      <c r="B788" t="s">
        <v>14320</v>
      </c>
      <c r="C788" t="s">
        <v>74</v>
      </c>
      <c r="D788" t="s">
        <v>74</v>
      </c>
      <c r="E788" t="s">
        <v>74</v>
      </c>
      <c r="F788" t="s">
        <v>14321</v>
      </c>
      <c r="G788" t="s">
        <v>74</v>
      </c>
      <c r="H788" t="s">
        <v>74</v>
      </c>
      <c r="I788" t="s">
        <v>14322</v>
      </c>
      <c r="J788" t="s">
        <v>14323</v>
      </c>
      <c r="K788" t="s">
        <v>74</v>
      </c>
      <c r="L788" t="s">
        <v>74</v>
      </c>
      <c r="M788" t="s">
        <v>78</v>
      </c>
      <c r="N788" t="s">
        <v>79</v>
      </c>
      <c r="O788" t="s">
        <v>74</v>
      </c>
      <c r="P788" t="s">
        <v>74</v>
      </c>
      <c r="Q788" t="s">
        <v>74</v>
      </c>
      <c r="R788" t="s">
        <v>74</v>
      </c>
      <c r="S788" t="s">
        <v>74</v>
      </c>
      <c r="T788" t="s">
        <v>14324</v>
      </c>
      <c r="U788" t="s">
        <v>14325</v>
      </c>
      <c r="V788" t="s">
        <v>14326</v>
      </c>
      <c r="W788" t="s">
        <v>14327</v>
      </c>
      <c r="X788" t="s">
        <v>14328</v>
      </c>
      <c r="Y788" t="s">
        <v>14329</v>
      </c>
      <c r="Z788" t="s">
        <v>14330</v>
      </c>
      <c r="AA788" t="s">
        <v>74</v>
      </c>
      <c r="AB788" t="s">
        <v>74</v>
      </c>
      <c r="AC788" t="s">
        <v>14331</v>
      </c>
      <c r="AD788" t="s">
        <v>14332</v>
      </c>
      <c r="AE788" t="s">
        <v>14333</v>
      </c>
      <c r="AF788" t="s">
        <v>74</v>
      </c>
      <c r="AG788">
        <v>15</v>
      </c>
      <c r="AH788">
        <v>0</v>
      </c>
      <c r="AI788">
        <v>0</v>
      </c>
      <c r="AJ788">
        <v>0</v>
      </c>
      <c r="AK788">
        <v>15</v>
      </c>
      <c r="AL788" t="s">
        <v>14334</v>
      </c>
      <c r="AM788" t="s">
        <v>14335</v>
      </c>
      <c r="AN788" t="s">
        <v>14336</v>
      </c>
      <c r="AO788" t="s">
        <v>14337</v>
      </c>
      <c r="AP788" t="s">
        <v>74</v>
      </c>
      <c r="AQ788" t="s">
        <v>74</v>
      </c>
      <c r="AR788" t="s">
        <v>14338</v>
      </c>
      <c r="AS788" t="s">
        <v>14339</v>
      </c>
      <c r="AT788" t="s">
        <v>74</v>
      </c>
      <c r="AU788">
        <v>2010</v>
      </c>
      <c r="AV788">
        <v>16</v>
      </c>
      <c r="AW788">
        <v>1</v>
      </c>
      <c r="AX788" t="s">
        <v>74</v>
      </c>
      <c r="AY788" t="s">
        <v>74</v>
      </c>
      <c r="AZ788" t="s">
        <v>74</v>
      </c>
      <c r="BA788" t="s">
        <v>74</v>
      </c>
      <c r="BB788">
        <v>35</v>
      </c>
      <c r="BC788">
        <v>41</v>
      </c>
      <c r="BD788" t="s">
        <v>74</v>
      </c>
      <c r="BE788" t="s">
        <v>14340</v>
      </c>
      <c r="BF788" t="str">
        <f>HYPERLINK("http://dx.doi.org/10.3969/j.issn.1006-8775.2010.01.005","http://dx.doi.org/10.3969/j.issn.1006-8775.2010.01.005")</f>
        <v>http://dx.doi.org/10.3969/j.issn.1006-8775.2010.01.005</v>
      </c>
      <c r="BG788" t="s">
        <v>74</v>
      </c>
      <c r="BH788" t="s">
        <v>74</v>
      </c>
      <c r="BI788">
        <v>7</v>
      </c>
      <c r="BJ788" t="s">
        <v>258</v>
      </c>
      <c r="BK788" t="s">
        <v>102</v>
      </c>
      <c r="BL788" t="s">
        <v>258</v>
      </c>
      <c r="BM788" t="s">
        <v>14341</v>
      </c>
      <c r="BN788" t="s">
        <v>74</v>
      </c>
      <c r="BO788" t="s">
        <v>74</v>
      </c>
      <c r="BP788" t="s">
        <v>74</v>
      </c>
      <c r="BQ788" t="s">
        <v>74</v>
      </c>
      <c r="BR788" t="s">
        <v>105</v>
      </c>
      <c r="BS788" t="s">
        <v>14342</v>
      </c>
      <c r="BT788" t="str">
        <f>HYPERLINK("https%3A%2F%2Fwww.webofscience.com%2Fwos%2Fwoscc%2Ffull-record%2FWOS:000276083900005","View Full Record in Web of Science")</f>
        <v>View Full Record in Web of Science</v>
      </c>
    </row>
    <row r="789" spans="1:72" x14ac:dyDescent="0.15">
      <c r="A789" t="s">
        <v>72</v>
      </c>
      <c r="B789" t="s">
        <v>14343</v>
      </c>
      <c r="C789" t="s">
        <v>74</v>
      </c>
      <c r="D789" t="s">
        <v>74</v>
      </c>
      <c r="E789" t="s">
        <v>74</v>
      </c>
      <c r="F789" t="s">
        <v>14344</v>
      </c>
      <c r="G789" t="s">
        <v>74</v>
      </c>
      <c r="H789" t="s">
        <v>74</v>
      </c>
      <c r="I789" t="s">
        <v>14345</v>
      </c>
      <c r="J789" t="s">
        <v>14346</v>
      </c>
      <c r="K789" t="s">
        <v>74</v>
      </c>
      <c r="L789" t="s">
        <v>74</v>
      </c>
      <c r="M789" t="s">
        <v>78</v>
      </c>
      <c r="N789" t="s">
        <v>79</v>
      </c>
      <c r="O789" t="s">
        <v>74</v>
      </c>
      <c r="P789" t="s">
        <v>74</v>
      </c>
      <c r="Q789" t="s">
        <v>74</v>
      </c>
      <c r="R789" t="s">
        <v>74</v>
      </c>
      <c r="S789" t="s">
        <v>74</v>
      </c>
      <c r="T789" t="s">
        <v>74</v>
      </c>
      <c r="U789" t="s">
        <v>14347</v>
      </c>
      <c r="V789" t="s">
        <v>14348</v>
      </c>
      <c r="W789" t="s">
        <v>14349</v>
      </c>
      <c r="X789" t="s">
        <v>14350</v>
      </c>
      <c r="Y789" t="s">
        <v>14351</v>
      </c>
      <c r="Z789" t="s">
        <v>14352</v>
      </c>
      <c r="AA789" t="s">
        <v>14353</v>
      </c>
      <c r="AB789" t="s">
        <v>14354</v>
      </c>
      <c r="AC789" t="s">
        <v>14355</v>
      </c>
      <c r="AD789" t="s">
        <v>14355</v>
      </c>
      <c r="AE789" t="s">
        <v>14356</v>
      </c>
      <c r="AF789" t="s">
        <v>74</v>
      </c>
      <c r="AG789">
        <v>56</v>
      </c>
      <c r="AH789">
        <v>11</v>
      </c>
      <c r="AI789">
        <v>13</v>
      </c>
      <c r="AJ789">
        <v>0</v>
      </c>
      <c r="AK789">
        <v>9</v>
      </c>
      <c r="AL789" t="s">
        <v>10775</v>
      </c>
      <c r="AM789" t="s">
        <v>10776</v>
      </c>
      <c r="AN789" t="s">
        <v>10777</v>
      </c>
      <c r="AO789" t="s">
        <v>14357</v>
      </c>
      <c r="AP789" t="s">
        <v>14358</v>
      </c>
      <c r="AQ789" t="s">
        <v>74</v>
      </c>
      <c r="AR789" t="s">
        <v>14359</v>
      </c>
      <c r="AS789" t="s">
        <v>14360</v>
      </c>
      <c r="AT789" t="s">
        <v>74</v>
      </c>
      <c r="AU789">
        <v>2010</v>
      </c>
      <c r="AV789">
        <v>30</v>
      </c>
      <c r="AW789">
        <v>5</v>
      </c>
      <c r="AX789" t="s">
        <v>74</v>
      </c>
      <c r="AY789" t="s">
        <v>74</v>
      </c>
      <c r="AZ789" t="s">
        <v>74</v>
      </c>
      <c r="BA789" t="s">
        <v>74</v>
      </c>
      <c r="BB789">
        <v>1331</v>
      </c>
      <c r="BC789">
        <v>1342</v>
      </c>
      <c r="BD789" t="s">
        <v>14361</v>
      </c>
      <c r="BE789" t="s">
        <v>14362</v>
      </c>
      <c r="BF789" t="str">
        <f>HYPERLINK("http://dx.doi.org/10.1080/02724634.2010.501448","http://dx.doi.org/10.1080/02724634.2010.501448")</f>
        <v>http://dx.doi.org/10.1080/02724634.2010.501448</v>
      </c>
      <c r="BG789" t="s">
        <v>74</v>
      </c>
      <c r="BH789" t="s">
        <v>74</v>
      </c>
      <c r="BI789">
        <v>12</v>
      </c>
      <c r="BJ789" t="s">
        <v>1882</v>
      </c>
      <c r="BK789" t="s">
        <v>102</v>
      </c>
      <c r="BL789" t="s">
        <v>1882</v>
      </c>
      <c r="BM789" t="s">
        <v>14363</v>
      </c>
      <c r="BN789" t="s">
        <v>74</v>
      </c>
      <c r="BO789" t="s">
        <v>74</v>
      </c>
      <c r="BP789" t="s">
        <v>74</v>
      </c>
      <c r="BQ789" t="s">
        <v>74</v>
      </c>
      <c r="BR789" t="s">
        <v>105</v>
      </c>
      <c r="BS789" t="s">
        <v>14364</v>
      </c>
      <c r="BT789" t="str">
        <f>HYPERLINK("https%3A%2F%2Fwww.webofscience.com%2Fwos%2Fwoscc%2Ffull-record%2FWOS:000281874900002","View Full Record in Web of Science")</f>
        <v>View Full Record in Web of Science</v>
      </c>
    </row>
    <row r="790" spans="1:72" x14ac:dyDescent="0.15">
      <c r="A790" t="s">
        <v>8563</v>
      </c>
      <c r="B790" t="s">
        <v>14365</v>
      </c>
      <c r="C790" t="s">
        <v>74</v>
      </c>
      <c r="D790" t="s">
        <v>14366</v>
      </c>
      <c r="E790" t="s">
        <v>74</v>
      </c>
      <c r="F790" t="s">
        <v>14367</v>
      </c>
      <c r="G790" t="s">
        <v>74</v>
      </c>
      <c r="H790" t="s">
        <v>74</v>
      </c>
      <c r="I790" t="s">
        <v>14368</v>
      </c>
      <c r="J790" t="s">
        <v>14369</v>
      </c>
      <c r="K790" t="s">
        <v>74</v>
      </c>
      <c r="L790" t="s">
        <v>74</v>
      </c>
      <c r="M790" t="s">
        <v>78</v>
      </c>
      <c r="N790" t="s">
        <v>8859</v>
      </c>
      <c r="O790" t="s">
        <v>74</v>
      </c>
      <c r="P790" t="s">
        <v>74</v>
      </c>
      <c r="Q790" t="s">
        <v>74</v>
      </c>
      <c r="R790" t="s">
        <v>74</v>
      </c>
      <c r="S790" t="s">
        <v>74</v>
      </c>
      <c r="T790" t="s">
        <v>74</v>
      </c>
      <c r="U790" t="s">
        <v>14370</v>
      </c>
      <c r="V790" t="s">
        <v>74</v>
      </c>
      <c r="W790" t="s">
        <v>14371</v>
      </c>
      <c r="X790" t="s">
        <v>14372</v>
      </c>
      <c r="Y790" t="s">
        <v>14373</v>
      </c>
      <c r="Z790" t="s">
        <v>74</v>
      </c>
      <c r="AA790" t="s">
        <v>14374</v>
      </c>
      <c r="AB790" t="s">
        <v>14375</v>
      </c>
      <c r="AC790" t="s">
        <v>74</v>
      </c>
      <c r="AD790" t="s">
        <v>74</v>
      </c>
      <c r="AE790" t="s">
        <v>74</v>
      </c>
      <c r="AF790" t="s">
        <v>74</v>
      </c>
      <c r="AG790">
        <v>112</v>
      </c>
      <c r="AH790">
        <v>5</v>
      </c>
      <c r="AI790">
        <v>5</v>
      </c>
      <c r="AJ790">
        <v>0</v>
      </c>
      <c r="AK790">
        <v>2</v>
      </c>
      <c r="AL790" t="s">
        <v>173</v>
      </c>
      <c r="AM790" t="s">
        <v>145</v>
      </c>
      <c r="AN790" t="s">
        <v>14376</v>
      </c>
      <c r="AO790" t="s">
        <v>74</v>
      </c>
      <c r="AP790" t="s">
        <v>74</v>
      </c>
      <c r="AQ790" t="s">
        <v>14377</v>
      </c>
      <c r="AR790" t="s">
        <v>74</v>
      </c>
      <c r="AS790" t="s">
        <v>74</v>
      </c>
      <c r="AT790" t="s">
        <v>74</v>
      </c>
      <c r="AU790">
        <v>2010</v>
      </c>
      <c r="AV790" t="s">
        <v>74</v>
      </c>
      <c r="AW790" t="s">
        <v>74</v>
      </c>
      <c r="AX790" t="s">
        <v>74</v>
      </c>
      <c r="AY790" t="s">
        <v>74</v>
      </c>
      <c r="AZ790" t="s">
        <v>74</v>
      </c>
      <c r="BA790" t="s">
        <v>74</v>
      </c>
      <c r="BB790">
        <v>347</v>
      </c>
      <c r="BC790">
        <v>369</v>
      </c>
      <c r="BD790" t="s">
        <v>74</v>
      </c>
      <c r="BE790" t="s">
        <v>14378</v>
      </c>
      <c r="BF790" t="str">
        <f>HYPERLINK("http://dx.doi.org/10.1016/B978-0-444-52854-4.00013-1","http://dx.doi.org/10.1016/B978-0-444-52854-4.00013-1")</f>
        <v>http://dx.doi.org/10.1016/B978-0-444-52854-4.00013-1</v>
      </c>
      <c r="BG790" t="s">
        <v>74</v>
      </c>
      <c r="BH790" t="s">
        <v>74</v>
      </c>
      <c r="BI790">
        <v>23</v>
      </c>
      <c r="BJ790" t="s">
        <v>14379</v>
      </c>
      <c r="BK790" t="s">
        <v>8579</v>
      </c>
      <c r="BL790" t="s">
        <v>14380</v>
      </c>
      <c r="BM790" t="s">
        <v>14381</v>
      </c>
      <c r="BN790" t="s">
        <v>74</v>
      </c>
      <c r="BO790" t="s">
        <v>74</v>
      </c>
      <c r="BP790" t="s">
        <v>74</v>
      </c>
      <c r="BQ790" t="s">
        <v>74</v>
      </c>
      <c r="BR790" t="s">
        <v>105</v>
      </c>
      <c r="BS790" t="s">
        <v>14382</v>
      </c>
      <c r="BT790" t="str">
        <f>HYPERLINK("https%3A%2F%2Fwww.webofscience.com%2Fwos%2Fwoscc%2Ffull-record%2FWOS:000317360100015","View Full Record in Web of Science")</f>
        <v>View Full Record in Web of Science</v>
      </c>
    </row>
    <row r="791" spans="1:72" x14ac:dyDescent="0.15">
      <c r="A791" t="s">
        <v>72</v>
      </c>
      <c r="B791" t="s">
        <v>14383</v>
      </c>
      <c r="C791" t="s">
        <v>74</v>
      </c>
      <c r="D791" t="s">
        <v>74</v>
      </c>
      <c r="E791" t="s">
        <v>74</v>
      </c>
      <c r="F791" t="s">
        <v>14384</v>
      </c>
      <c r="G791" t="s">
        <v>74</v>
      </c>
      <c r="H791" t="s">
        <v>74</v>
      </c>
      <c r="I791" t="s">
        <v>14385</v>
      </c>
      <c r="J791" t="s">
        <v>14386</v>
      </c>
      <c r="K791" t="s">
        <v>74</v>
      </c>
      <c r="L791" t="s">
        <v>74</v>
      </c>
      <c r="M791" t="s">
        <v>2928</v>
      </c>
      <c r="N791" t="s">
        <v>600</v>
      </c>
      <c r="O791" t="s">
        <v>74</v>
      </c>
      <c r="P791" t="s">
        <v>74</v>
      </c>
      <c r="Q791" t="s">
        <v>74</v>
      </c>
      <c r="R791" t="s">
        <v>74</v>
      </c>
      <c r="S791" t="s">
        <v>74</v>
      </c>
      <c r="T791" t="s">
        <v>14387</v>
      </c>
      <c r="U791" t="s">
        <v>14388</v>
      </c>
      <c r="V791" t="s">
        <v>14389</v>
      </c>
      <c r="W791" t="s">
        <v>14390</v>
      </c>
      <c r="X791" t="s">
        <v>14391</v>
      </c>
      <c r="Y791" t="s">
        <v>14392</v>
      </c>
      <c r="Z791" t="s">
        <v>14393</v>
      </c>
      <c r="AA791" t="s">
        <v>74</v>
      </c>
      <c r="AB791" t="s">
        <v>74</v>
      </c>
      <c r="AC791" t="s">
        <v>74</v>
      </c>
      <c r="AD791" t="s">
        <v>74</v>
      </c>
      <c r="AE791" t="s">
        <v>74</v>
      </c>
      <c r="AF791" t="s">
        <v>74</v>
      </c>
      <c r="AG791">
        <v>52</v>
      </c>
      <c r="AH791">
        <v>57</v>
      </c>
      <c r="AI791">
        <v>62</v>
      </c>
      <c r="AJ791">
        <v>0</v>
      </c>
      <c r="AK791">
        <v>10</v>
      </c>
      <c r="AL791" t="s">
        <v>14394</v>
      </c>
      <c r="AM791" t="s">
        <v>14395</v>
      </c>
      <c r="AN791" t="s">
        <v>14396</v>
      </c>
      <c r="AO791" t="s">
        <v>14397</v>
      </c>
      <c r="AP791" t="s">
        <v>14398</v>
      </c>
      <c r="AQ791" t="s">
        <v>74</v>
      </c>
      <c r="AR791" t="s">
        <v>14399</v>
      </c>
      <c r="AS791" t="s">
        <v>14400</v>
      </c>
      <c r="AT791" t="s">
        <v>74</v>
      </c>
      <c r="AU791">
        <v>2010</v>
      </c>
      <c r="AV791">
        <v>38</v>
      </c>
      <c r="AW791">
        <v>3</v>
      </c>
      <c r="AX791" t="s">
        <v>74</v>
      </c>
      <c r="AY791" t="s">
        <v>74</v>
      </c>
      <c r="AZ791" t="s">
        <v>74</v>
      </c>
      <c r="BA791" t="s">
        <v>74</v>
      </c>
      <c r="BB791">
        <v>302</v>
      </c>
      <c r="BC791">
        <v>328</v>
      </c>
      <c r="BD791" t="s">
        <v>74</v>
      </c>
      <c r="BE791" t="s">
        <v>14401</v>
      </c>
      <c r="BF791" t="str">
        <f>HYPERLINK("http://dx.doi.org/10.3856/vol38-issue3-fulltext-1","http://dx.doi.org/10.3856/vol38-issue3-fulltext-1")</f>
        <v>http://dx.doi.org/10.3856/vol38-issue3-fulltext-1</v>
      </c>
      <c r="BG791" t="s">
        <v>74</v>
      </c>
      <c r="BH791" t="s">
        <v>74</v>
      </c>
      <c r="BI791">
        <v>27</v>
      </c>
      <c r="BJ791" t="s">
        <v>1661</v>
      </c>
      <c r="BK791" t="s">
        <v>102</v>
      </c>
      <c r="BL791" t="s">
        <v>1661</v>
      </c>
      <c r="BM791" t="s">
        <v>14402</v>
      </c>
      <c r="BN791" t="s">
        <v>74</v>
      </c>
      <c r="BO791" t="s">
        <v>1663</v>
      </c>
      <c r="BP791" t="s">
        <v>74</v>
      </c>
      <c r="BQ791" t="s">
        <v>74</v>
      </c>
      <c r="BR791" t="s">
        <v>105</v>
      </c>
      <c r="BS791" t="s">
        <v>14403</v>
      </c>
      <c r="BT791" t="str">
        <f>HYPERLINK("https%3A%2F%2Fwww.webofscience.com%2Fwos%2Fwoscc%2Ffull-record%2FWOS:000286927900001","View Full Record in Web of Science")</f>
        <v>View Full Record in Web of Science</v>
      </c>
    </row>
    <row r="792" spans="1:72" x14ac:dyDescent="0.15">
      <c r="A792" t="s">
        <v>72</v>
      </c>
      <c r="B792" t="s">
        <v>14404</v>
      </c>
      <c r="C792" t="s">
        <v>74</v>
      </c>
      <c r="D792" t="s">
        <v>74</v>
      </c>
      <c r="E792" t="s">
        <v>74</v>
      </c>
      <c r="F792" t="s">
        <v>14405</v>
      </c>
      <c r="G792" t="s">
        <v>74</v>
      </c>
      <c r="H792" t="s">
        <v>74</v>
      </c>
      <c r="I792" t="s">
        <v>14406</v>
      </c>
      <c r="J792" t="s">
        <v>14407</v>
      </c>
      <c r="K792" t="s">
        <v>74</v>
      </c>
      <c r="L792" t="s">
        <v>74</v>
      </c>
      <c r="M792" t="s">
        <v>78</v>
      </c>
      <c r="N792" t="s">
        <v>79</v>
      </c>
      <c r="O792" t="s">
        <v>74</v>
      </c>
      <c r="P792" t="s">
        <v>74</v>
      </c>
      <c r="Q792" t="s">
        <v>74</v>
      </c>
      <c r="R792" t="s">
        <v>74</v>
      </c>
      <c r="S792" t="s">
        <v>74</v>
      </c>
      <c r="T792" t="s">
        <v>14408</v>
      </c>
      <c r="U792" t="s">
        <v>14409</v>
      </c>
      <c r="V792" t="s">
        <v>14410</v>
      </c>
      <c r="W792" t="s">
        <v>14411</v>
      </c>
      <c r="X792" t="s">
        <v>14412</v>
      </c>
      <c r="Y792" t="s">
        <v>14413</v>
      </c>
      <c r="Z792" t="s">
        <v>14414</v>
      </c>
      <c r="AA792" t="s">
        <v>14415</v>
      </c>
      <c r="AB792" t="s">
        <v>835</v>
      </c>
      <c r="AC792" t="s">
        <v>14416</v>
      </c>
      <c r="AD792" t="s">
        <v>14417</v>
      </c>
      <c r="AE792" t="s">
        <v>14418</v>
      </c>
      <c r="AF792" t="s">
        <v>74</v>
      </c>
      <c r="AG792">
        <v>36</v>
      </c>
      <c r="AH792">
        <v>16</v>
      </c>
      <c r="AI792">
        <v>18</v>
      </c>
      <c r="AJ792">
        <v>0</v>
      </c>
      <c r="AK792">
        <v>8</v>
      </c>
      <c r="AL792" t="s">
        <v>587</v>
      </c>
      <c r="AM792" t="s">
        <v>1896</v>
      </c>
      <c r="AN792" t="s">
        <v>8249</v>
      </c>
      <c r="AO792" t="s">
        <v>14419</v>
      </c>
      <c r="AP792" t="s">
        <v>74</v>
      </c>
      <c r="AQ792" t="s">
        <v>74</v>
      </c>
      <c r="AR792" t="s">
        <v>14407</v>
      </c>
      <c r="AS792" t="s">
        <v>14420</v>
      </c>
      <c r="AT792" t="s">
        <v>74</v>
      </c>
      <c r="AU792">
        <v>2010</v>
      </c>
      <c r="AV792">
        <v>42</v>
      </c>
      <c r="AW792" t="s">
        <v>74</v>
      </c>
      <c r="AX792">
        <v>3</v>
      </c>
      <c r="AY792" t="s">
        <v>74</v>
      </c>
      <c r="AZ792" t="s">
        <v>74</v>
      </c>
      <c r="BA792" t="s">
        <v>74</v>
      </c>
      <c r="BB792">
        <v>339</v>
      </c>
      <c r="BC792">
        <v>346</v>
      </c>
      <c r="BD792" t="s">
        <v>74</v>
      </c>
      <c r="BE792" t="s">
        <v>14421</v>
      </c>
      <c r="BF792" t="str">
        <f>HYPERLINK("http://dx.doi.org/10.1017/S0024282909990600","http://dx.doi.org/10.1017/S0024282909990600")</f>
        <v>http://dx.doi.org/10.1017/S0024282909990600</v>
      </c>
      <c r="BG792" t="s">
        <v>74</v>
      </c>
      <c r="BH792" t="s">
        <v>74</v>
      </c>
      <c r="BI792">
        <v>8</v>
      </c>
      <c r="BJ792" t="s">
        <v>14422</v>
      </c>
      <c r="BK792" t="s">
        <v>102</v>
      </c>
      <c r="BL792" t="s">
        <v>14422</v>
      </c>
      <c r="BM792" t="s">
        <v>14423</v>
      </c>
      <c r="BN792" t="s">
        <v>74</v>
      </c>
      <c r="BO792" t="s">
        <v>74</v>
      </c>
      <c r="BP792" t="s">
        <v>74</v>
      </c>
      <c r="BQ792" t="s">
        <v>74</v>
      </c>
      <c r="BR792" t="s">
        <v>105</v>
      </c>
      <c r="BS792" t="s">
        <v>14424</v>
      </c>
      <c r="BT792" t="str">
        <f>HYPERLINK("https%3A%2F%2Fwww.webofscience.com%2Fwos%2Fwoscc%2Ffull-record%2FWOS:000277697500016","View Full Record in Web of Science")</f>
        <v>View Full Record in Web of Science</v>
      </c>
    </row>
    <row r="793" spans="1:72" x14ac:dyDescent="0.15">
      <c r="A793" t="s">
        <v>72</v>
      </c>
      <c r="B793" t="s">
        <v>14425</v>
      </c>
      <c r="C793" t="s">
        <v>74</v>
      </c>
      <c r="D793" t="s">
        <v>74</v>
      </c>
      <c r="E793" t="s">
        <v>74</v>
      </c>
      <c r="F793" t="s">
        <v>14426</v>
      </c>
      <c r="G793" t="s">
        <v>74</v>
      </c>
      <c r="H793" t="s">
        <v>74</v>
      </c>
      <c r="I793" t="s">
        <v>14427</v>
      </c>
      <c r="J793" t="s">
        <v>14428</v>
      </c>
      <c r="K793" t="s">
        <v>74</v>
      </c>
      <c r="L793" t="s">
        <v>74</v>
      </c>
      <c r="M793" t="s">
        <v>78</v>
      </c>
      <c r="N793" t="s">
        <v>79</v>
      </c>
      <c r="O793" t="s">
        <v>74</v>
      </c>
      <c r="P793" t="s">
        <v>74</v>
      </c>
      <c r="Q793" t="s">
        <v>74</v>
      </c>
      <c r="R793" t="s">
        <v>74</v>
      </c>
      <c r="S793" t="s">
        <v>74</v>
      </c>
      <c r="T793" t="s">
        <v>14429</v>
      </c>
      <c r="U793" t="s">
        <v>14430</v>
      </c>
      <c r="V793" t="s">
        <v>14431</v>
      </c>
      <c r="W793" t="s">
        <v>14432</v>
      </c>
      <c r="X793" t="s">
        <v>14433</v>
      </c>
      <c r="Y793" t="s">
        <v>14434</v>
      </c>
      <c r="Z793" t="s">
        <v>14435</v>
      </c>
      <c r="AA793" t="s">
        <v>14436</v>
      </c>
      <c r="AB793" t="s">
        <v>14437</v>
      </c>
      <c r="AC793" t="s">
        <v>14438</v>
      </c>
      <c r="AD793" t="s">
        <v>14439</v>
      </c>
      <c r="AE793" t="s">
        <v>14440</v>
      </c>
      <c r="AF793" t="s">
        <v>74</v>
      </c>
      <c r="AG793">
        <v>55</v>
      </c>
      <c r="AH793">
        <v>13</v>
      </c>
      <c r="AI793">
        <v>13</v>
      </c>
      <c r="AJ793">
        <v>0</v>
      </c>
      <c r="AK793">
        <v>16</v>
      </c>
      <c r="AL793" t="s">
        <v>144</v>
      </c>
      <c r="AM793" t="s">
        <v>145</v>
      </c>
      <c r="AN793" t="s">
        <v>146</v>
      </c>
      <c r="AO793" t="s">
        <v>14441</v>
      </c>
      <c r="AP793" t="s">
        <v>14442</v>
      </c>
      <c r="AQ793" t="s">
        <v>74</v>
      </c>
      <c r="AR793" t="s">
        <v>14428</v>
      </c>
      <c r="AS793" t="s">
        <v>14443</v>
      </c>
      <c r="AT793" t="s">
        <v>8958</v>
      </c>
      <c r="AU793">
        <v>2010</v>
      </c>
      <c r="AV793">
        <v>114</v>
      </c>
      <c r="AW793" t="s">
        <v>1854</v>
      </c>
      <c r="AX793" t="s">
        <v>74</v>
      </c>
      <c r="AY793" t="s">
        <v>74</v>
      </c>
      <c r="AZ793" t="s">
        <v>74</v>
      </c>
      <c r="BA793" t="s">
        <v>74</v>
      </c>
      <c r="BB793">
        <v>217</v>
      </c>
      <c r="BC793">
        <v>228</v>
      </c>
      <c r="BD793" t="s">
        <v>74</v>
      </c>
      <c r="BE793" t="s">
        <v>14444</v>
      </c>
      <c r="BF793" t="str">
        <f>HYPERLINK("http://dx.doi.org/10.1016/j.lithos.2009.08.010","http://dx.doi.org/10.1016/j.lithos.2009.08.010")</f>
        <v>http://dx.doi.org/10.1016/j.lithos.2009.08.010</v>
      </c>
      <c r="BG793" t="s">
        <v>74</v>
      </c>
      <c r="BH793" t="s">
        <v>74</v>
      </c>
      <c r="BI793">
        <v>12</v>
      </c>
      <c r="BJ793" t="s">
        <v>14445</v>
      </c>
      <c r="BK793" t="s">
        <v>102</v>
      </c>
      <c r="BL793" t="s">
        <v>14445</v>
      </c>
      <c r="BM793" t="s">
        <v>14446</v>
      </c>
      <c r="BN793" t="s">
        <v>74</v>
      </c>
      <c r="BO793" t="s">
        <v>74</v>
      </c>
      <c r="BP793" t="s">
        <v>74</v>
      </c>
      <c r="BQ793" t="s">
        <v>74</v>
      </c>
      <c r="BR793" t="s">
        <v>105</v>
      </c>
      <c r="BS793" t="s">
        <v>14447</v>
      </c>
      <c r="BT793" t="str">
        <f>HYPERLINK("https%3A%2F%2Fwww.webofscience.com%2Fwos%2Fwoscc%2Ffull-record%2FWOS:000274378300015","View Full Record in Web of Science")</f>
        <v>View Full Record in Web of Science</v>
      </c>
    </row>
    <row r="794" spans="1:72" x14ac:dyDescent="0.15">
      <c r="A794" t="s">
        <v>8257</v>
      </c>
      <c r="B794" t="s">
        <v>14448</v>
      </c>
      <c r="C794" t="s">
        <v>74</v>
      </c>
      <c r="D794" t="s">
        <v>14449</v>
      </c>
      <c r="E794" t="s">
        <v>74</v>
      </c>
      <c r="F794" t="s">
        <v>14450</v>
      </c>
      <c r="G794" t="s">
        <v>74</v>
      </c>
      <c r="H794" t="s">
        <v>74</v>
      </c>
      <c r="I794" t="s">
        <v>14451</v>
      </c>
      <c r="J794" t="s">
        <v>14452</v>
      </c>
      <c r="K794" t="s">
        <v>14453</v>
      </c>
      <c r="L794" t="s">
        <v>74</v>
      </c>
      <c r="M794" t="s">
        <v>78</v>
      </c>
      <c r="N794" t="s">
        <v>8264</v>
      </c>
      <c r="O794" t="s">
        <v>14454</v>
      </c>
      <c r="P794" t="s">
        <v>14455</v>
      </c>
      <c r="Q794" t="s">
        <v>14456</v>
      </c>
      <c r="R794" t="s">
        <v>74</v>
      </c>
      <c r="S794" t="s">
        <v>14457</v>
      </c>
      <c r="T794" t="s">
        <v>74</v>
      </c>
      <c r="U794" t="s">
        <v>74</v>
      </c>
      <c r="V794" t="s">
        <v>14458</v>
      </c>
      <c r="W794" t="s">
        <v>14459</v>
      </c>
      <c r="X794" t="s">
        <v>14460</v>
      </c>
      <c r="Y794" t="s">
        <v>14461</v>
      </c>
      <c r="Z794" t="s">
        <v>74</v>
      </c>
      <c r="AA794" t="s">
        <v>74</v>
      </c>
      <c r="AB794" t="s">
        <v>74</v>
      </c>
      <c r="AC794" t="s">
        <v>74</v>
      </c>
      <c r="AD794" t="s">
        <v>74</v>
      </c>
      <c r="AE794" t="s">
        <v>74</v>
      </c>
      <c r="AF794" t="s">
        <v>74</v>
      </c>
      <c r="AG794">
        <v>0</v>
      </c>
      <c r="AH794">
        <v>0</v>
      </c>
      <c r="AI794">
        <v>0</v>
      </c>
      <c r="AJ794">
        <v>0</v>
      </c>
      <c r="AK794">
        <v>1</v>
      </c>
      <c r="AL794" t="s">
        <v>11496</v>
      </c>
      <c r="AM794" t="s">
        <v>11497</v>
      </c>
      <c r="AN794" t="s">
        <v>11498</v>
      </c>
      <c r="AO794" t="s">
        <v>74</v>
      </c>
      <c r="AP794" t="s">
        <v>74</v>
      </c>
      <c r="AQ794" t="s">
        <v>14462</v>
      </c>
      <c r="AR794" t="s">
        <v>14463</v>
      </c>
      <c r="AS794" t="s">
        <v>74</v>
      </c>
      <c r="AT794" t="s">
        <v>74</v>
      </c>
      <c r="AU794">
        <v>2010</v>
      </c>
      <c r="AV794" t="s">
        <v>74</v>
      </c>
      <c r="AW794" t="s">
        <v>74</v>
      </c>
      <c r="AX794" t="s">
        <v>74</v>
      </c>
      <c r="AY794" t="s">
        <v>74</v>
      </c>
      <c r="AZ794" t="s">
        <v>74</v>
      </c>
      <c r="BA794" t="s">
        <v>74</v>
      </c>
      <c r="BB794">
        <v>9</v>
      </c>
      <c r="BC794">
        <v>18</v>
      </c>
      <c r="BD794" t="s">
        <v>74</v>
      </c>
      <c r="BE794" t="s">
        <v>74</v>
      </c>
      <c r="BF794" t="s">
        <v>74</v>
      </c>
      <c r="BG794" t="s">
        <v>74</v>
      </c>
      <c r="BH794" t="s">
        <v>74</v>
      </c>
      <c r="BI794">
        <v>10</v>
      </c>
      <c r="BJ794" t="s">
        <v>14464</v>
      </c>
      <c r="BK794" t="s">
        <v>8281</v>
      </c>
      <c r="BL794" t="s">
        <v>3741</v>
      </c>
      <c r="BM794" t="s">
        <v>14465</v>
      </c>
      <c r="BN794" t="s">
        <v>74</v>
      </c>
      <c r="BO794" t="s">
        <v>74</v>
      </c>
      <c r="BP794" t="s">
        <v>74</v>
      </c>
      <c r="BQ794" t="s">
        <v>74</v>
      </c>
      <c r="BR794" t="s">
        <v>105</v>
      </c>
      <c r="BS794" t="s">
        <v>14466</v>
      </c>
      <c r="BT794" t="str">
        <f>HYPERLINK("https%3A%2F%2Fwww.webofscience.com%2Fwos%2Fwoscc%2Ffull-record%2FWOS:000392108200002","View Full Record in Web of Science")</f>
        <v>View Full Record in Web of Science</v>
      </c>
    </row>
    <row r="795" spans="1:72" x14ac:dyDescent="0.15">
      <c r="A795" t="s">
        <v>8563</v>
      </c>
      <c r="B795" t="s">
        <v>12462</v>
      </c>
      <c r="C795" t="s">
        <v>74</v>
      </c>
      <c r="D795" t="s">
        <v>14467</v>
      </c>
      <c r="E795" t="s">
        <v>74</v>
      </c>
      <c r="F795" t="s">
        <v>12464</v>
      </c>
      <c r="G795" t="s">
        <v>74</v>
      </c>
      <c r="H795" t="s">
        <v>74</v>
      </c>
      <c r="I795" t="s">
        <v>14468</v>
      </c>
      <c r="J795" t="s">
        <v>14469</v>
      </c>
      <c r="K795" t="s">
        <v>74</v>
      </c>
      <c r="L795" t="s">
        <v>74</v>
      </c>
      <c r="M795" t="s">
        <v>78</v>
      </c>
      <c r="N795" t="s">
        <v>8859</v>
      </c>
      <c r="O795" t="s">
        <v>74</v>
      </c>
      <c r="P795" t="s">
        <v>74</v>
      </c>
      <c r="Q795" t="s">
        <v>74</v>
      </c>
      <c r="R795" t="s">
        <v>74</v>
      </c>
      <c r="S795" t="s">
        <v>74</v>
      </c>
      <c r="T795" t="s">
        <v>74</v>
      </c>
      <c r="U795" t="s">
        <v>74</v>
      </c>
      <c r="V795" t="s">
        <v>74</v>
      </c>
      <c r="W795" t="s">
        <v>12468</v>
      </c>
      <c r="X795" t="s">
        <v>12469</v>
      </c>
      <c r="Y795" t="s">
        <v>12470</v>
      </c>
      <c r="Z795" t="s">
        <v>74</v>
      </c>
      <c r="AA795" t="s">
        <v>74</v>
      </c>
      <c r="AB795" t="s">
        <v>74</v>
      </c>
      <c r="AC795" t="s">
        <v>74</v>
      </c>
      <c r="AD795" t="s">
        <v>74</v>
      </c>
      <c r="AE795" t="s">
        <v>74</v>
      </c>
      <c r="AF795" t="s">
        <v>74</v>
      </c>
      <c r="AG795">
        <v>50</v>
      </c>
      <c r="AH795">
        <v>15</v>
      </c>
      <c r="AI795">
        <v>18</v>
      </c>
      <c r="AJ795">
        <v>0</v>
      </c>
      <c r="AK795">
        <v>0</v>
      </c>
      <c r="AL795" t="s">
        <v>12471</v>
      </c>
      <c r="AM795" t="s">
        <v>12472</v>
      </c>
      <c r="AN795" t="s">
        <v>12473</v>
      </c>
      <c r="AO795" t="s">
        <v>74</v>
      </c>
      <c r="AP795" t="s">
        <v>74</v>
      </c>
      <c r="AQ795" t="s">
        <v>14470</v>
      </c>
      <c r="AR795" t="s">
        <v>74</v>
      </c>
      <c r="AS795" t="s">
        <v>74</v>
      </c>
      <c r="AT795" t="s">
        <v>74</v>
      </c>
      <c r="AU795">
        <v>2010</v>
      </c>
      <c r="AV795" t="s">
        <v>74</v>
      </c>
      <c r="AW795" t="s">
        <v>74</v>
      </c>
      <c r="AX795" t="s">
        <v>74</v>
      </c>
      <c r="AY795" t="s">
        <v>74</v>
      </c>
      <c r="AZ795" t="s">
        <v>74</v>
      </c>
      <c r="BA795" t="s">
        <v>74</v>
      </c>
      <c r="BB795">
        <v>29</v>
      </c>
      <c r="BC795">
        <v>52</v>
      </c>
      <c r="BD795" t="s">
        <v>74</v>
      </c>
      <c r="BE795" t="s">
        <v>74</v>
      </c>
      <c r="BF795" t="s">
        <v>74</v>
      </c>
      <c r="BG795" t="s">
        <v>14471</v>
      </c>
      <c r="BH795" t="s">
        <v>74</v>
      </c>
      <c r="BI795">
        <v>24</v>
      </c>
      <c r="BJ795" t="s">
        <v>12947</v>
      </c>
      <c r="BK795" t="s">
        <v>11088</v>
      </c>
      <c r="BL795" t="s">
        <v>12947</v>
      </c>
      <c r="BM795" t="s">
        <v>14472</v>
      </c>
      <c r="BN795" t="s">
        <v>74</v>
      </c>
      <c r="BO795" t="s">
        <v>74</v>
      </c>
      <c r="BP795" t="s">
        <v>74</v>
      </c>
      <c r="BQ795" t="s">
        <v>74</v>
      </c>
      <c r="BR795" t="s">
        <v>105</v>
      </c>
      <c r="BS795" t="s">
        <v>14473</v>
      </c>
      <c r="BT795" t="str">
        <f>HYPERLINK("https%3A%2F%2Fwww.webofscience.com%2Fwos%2Fwoscc%2Ffull-record%2FWOS:000295145400002","View Full Record in Web of Science")</f>
        <v>View Full Record in Web of Science</v>
      </c>
    </row>
    <row r="796" spans="1:72" x14ac:dyDescent="0.15">
      <c r="A796" t="s">
        <v>72</v>
      </c>
      <c r="B796" t="s">
        <v>14474</v>
      </c>
      <c r="C796" t="s">
        <v>74</v>
      </c>
      <c r="D796" t="s">
        <v>74</v>
      </c>
      <c r="E796" t="s">
        <v>74</v>
      </c>
      <c r="F796" t="s">
        <v>14475</v>
      </c>
      <c r="G796" t="s">
        <v>74</v>
      </c>
      <c r="H796" t="s">
        <v>74</v>
      </c>
      <c r="I796" t="s">
        <v>14476</v>
      </c>
      <c r="J796" t="s">
        <v>14477</v>
      </c>
      <c r="K796" t="s">
        <v>74</v>
      </c>
      <c r="L796" t="s">
        <v>74</v>
      </c>
      <c r="M796" t="s">
        <v>78</v>
      </c>
      <c r="N796" t="s">
        <v>79</v>
      </c>
      <c r="O796" t="s">
        <v>74</v>
      </c>
      <c r="P796" t="s">
        <v>74</v>
      </c>
      <c r="Q796" t="s">
        <v>74</v>
      </c>
      <c r="R796" t="s">
        <v>74</v>
      </c>
      <c r="S796" t="s">
        <v>74</v>
      </c>
      <c r="T796" t="s">
        <v>14478</v>
      </c>
      <c r="U796" t="s">
        <v>14479</v>
      </c>
      <c r="V796" t="s">
        <v>14480</v>
      </c>
      <c r="W796" t="s">
        <v>74</v>
      </c>
      <c r="X796" t="s">
        <v>74</v>
      </c>
      <c r="Y796" t="s">
        <v>74</v>
      </c>
      <c r="Z796" t="s">
        <v>14481</v>
      </c>
      <c r="AA796" t="s">
        <v>74</v>
      </c>
      <c r="AB796" t="s">
        <v>14482</v>
      </c>
      <c r="AC796" t="s">
        <v>14483</v>
      </c>
      <c r="AD796" t="s">
        <v>14484</v>
      </c>
      <c r="AE796" t="s">
        <v>14485</v>
      </c>
      <c r="AF796" t="s">
        <v>74</v>
      </c>
      <c r="AG796">
        <v>72</v>
      </c>
      <c r="AH796">
        <v>40</v>
      </c>
      <c r="AI796">
        <v>43</v>
      </c>
      <c r="AJ796">
        <v>2</v>
      </c>
      <c r="AK796">
        <v>31</v>
      </c>
      <c r="AL796" t="s">
        <v>524</v>
      </c>
      <c r="AM796" t="s">
        <v>525</v>
      </c>
      <c r="AN796" t="s">
        <v>526</v>
      </c>
      <c r="AO796" t="s">
        <v>14486</v>
      </c>
      <c r="AP796" t="s">
        <v>14487</v>
      </c>
      <c r="AQ796" t="s">
        <v>74</v>
      </c>
      <c r="AR796" t="s">
        <v>14488</v>
      </c>
      <c r="AS796" t="s">
        <v>14489</v>
      </c>
      <c r="AT796" t="s">
        <v>74</v>
      </c>
      <c r="AU796">
        <v>2010</v>
      </c>
      <c r="AV796">
        <v>75</v>
      </c>
      <c r="AW796">
        <v>5</v>
      </c>
      <c r="AX796" t="s">
        <v>74</v>
      </c>
      <c r="AY796" t="s">
        <v>74</v>
      </c>
      <c r="AZ796" t="s">
        <v>74</v>
      </c>
      <c r="BA796" t="s">
        <v>74</v>
      </c>
      <c r="BB796">
        <v>427</v>
      </c>
      <c r="BC796">
        <v>436</v>
      </c>
      <c r="BD796" t="s">
        <v>74</v>
      </c>
      <c r="BE796" t="s">
        <v>14490</v>
      </c>
      <c r="BF796" t="str">
        <f>HYPERLINK("http://dx.doi.org/10.1016/j.mambio.2009.09.007","http://dx.doi.org/10.1016/j.mambio.2009.09.007")</f>
        <v>http://dx.doi.org/10.1016/j.mambio.2009.09.007</v>
      </c>
      <c r="BG796" t="s">
        <v>74</v>
      </c>
      <c r="BH796" t="s">
        <v>74</v>
      </c>
      <c r="BI796">
        <v>10</v>
      </c>
      <c r="BJ796" t="s">
        <v>281</v>
      </c>
      <c r="BK796" t="s">
        <v>102</v>
      </c>
      <c r="BL796" t="s">
        <v>281</v>
      </c>
      <c r="BM796" t="s">
        <v>14491</v>
      </c>
      <c r="BN796" t="s">
        <v>74</v>
      </c>
      <c r="BO796" t="s">
        <v>74</v>
      </c>
      <c r="BP796" t="s">
        <v>74</v>
      </c>
      <c r="BQ796" t="s">
        <v>74</v>
      </c>
      <c r="BR796" t="s">
        <v>105</v>
      </c>
      <c r="BS796" t="s">
        <v>14492</v>
      </c>
      <c r="BT796" t="str">
        <f>HYPERLINK("https%3A%2F%2Fwww.webofscience.com%2Fwos%2Fwoscc%2Ffull-record%2FWOS:000281996400006","View Full Record in Web of Science")</f>
        <v>View Full Record in Web of Science</v>
      </c>
    </row>
    <row r="797" spans="1:72" x14ac:dyDescent="0.15">
      <c r="A797" t="s">
        <v>72</v>
      </c>
      <c r="B797" t="s">
        <v>14493</v>
      </c>
      <c r="C797" t="s">
        <v>74</v>
      </c>
      <c r="D797" t="s">
        <v>74</v>
      </c>
      <c r="E797" t="s">
        <v>74</v>
      </c>
      <c r="F797" t="s">
        <v>14494</v>
      </c>
      <c r="G797" t="s">
        <v>74</v>
      </c>
      <c r="H797" t="s">
        <v>74</v>
      </c>
      <c r="I797" t="s">
        <v>14495</v>
      </c>
      <c r="J797" t="s">
        <v>14477</v>
      </c>
      <c r="K797" t="s">
        <v>74</v>
      </c>
      <c r="L797" t="s">
        <v>74</v>
      </c>
      <c r="M797" t="s">
        <v>78</v>
      </c>
      <c r="N797" t="s">
        <v>79</v>
      </c>
      <c r="O797" t="s">
        <v>74</v>
      </c>
      <c r="P797" t="s">
        <v>74</v>
      </c>
      <c r="Q797" t="s">
        <v>74</v>
      </c>
      <c r="R797" t="s">
        <v>74</v>
      </c>
      <c r="S797" t="s">
        <v>74</v>
      </c>
      <c r="T797" t="s">
        <v>14496</v>
      </c>
      <c r="U797" t="s">
        <v>14497</v>
      </c>
      <c r="V797" t="s">
        <v>14498</v>
      </c>
      <c r="W797" t="s">
        <v>14499</v>
      </c>
      <c r="X797" t="s">
        <v>541</v>
      </c>
      <c r="Y797" t="s">
        <v>14500</v>
      </c>
      <c r="Z797" t="s">
        <v>14501</v>
      </c>
      <c r="AA797" t="s">
        <v>14502</v>
      </c>
      <c r="AB797" t="s">
        <v>14503</v>
      </c>
      <c r="AC797" t="s">
        <v>14504</v>
      </c>
      <c r="AD797" t="s">
        <v>14505</v>
      </c>
      <c r="AE797" t="s">
        <v>14506</v>
      </c>
      <c r="AF797" t="s">
        <v>74</v>
      </c>
      <c r="AG797">
        <v>35</v>
      </c>
      <c r="AH797">
        <v>6</v>
      </c>
      <c r="AI797">
        <v>7</v>
      </c>
      <c r="AJ797">
        <v>0</v>
      </c>
      <c r="AK797">
        <v>19</v>
      </c>
      <c r="AL797" t="s">
        <v>14507</v>
      </c>
      <c r="AM797" t="s">
        <v>14508</v>
      </c>
      <c r="AN797" t="s">
        <v>14509</v>
      </c>
      <c r="AO797" t="s">
        <v>14486</v>
      </c>
      <c r="AP797" t="s">
        <v>74</v>
      </c>
      <c r="AQ797" t="s">
        <v>74</v>
      </c>
      <c r="AR797" t="s">
        <v>14488</v>
      </c>
      <c r="AS797" t="s">
        <v>14489</v>
      </c>
      <c r="AT797" t="s">
        <v>74</v>
      </c>
      <c r="AU797">
        <v>2010</v>
      </c>
      <c r="AV797">
        <v>75</v>
      </c>
      <c r="AW797">
        <v>6</v>
      </c>
      <c r="AX797" t="s">
        <v>74</v>
      </c>
      <c r="AY797" t="s">
        <v>74</v>
      </c>
      <c r="AZ797" t="s">
        <v>74</v>
      </c>
      <c r="BA797" t="s">
        <v>74</v>
      </c>
      <c r="BB797">
        <v>555</v>
      </c>
      <c r="BC797">
        <v>560</v>
      </c>
      <c r="BD797" t="s">
        <v>74</v>
      </c>
      <c r="BE797" t="s">
        <v>14510</v>
      </c>
      <c r="BF797" t="str">
        <f>HYPERLINK("http://dx.doi.org/10.1016/j.mambio.2009.11.004","http://dx.doi.org/10.1016/j.mambio.2009.11.004")</f>
        <v>http://dx.doi.org/10.1016/j.mambio.2009.11.004</v>
      </c>
      <c r="BG797" t="s">
        <v>74</v>
      </c>
      <c r="BH797" t="s">
        <v>74</v>
      </c>
      <c r="BI797">
        <v>6</v>
      </c>
      <c r="BJ797" t="s">
        <v>281</v>
      </c>
      <c r="BK797" t="s">
        <v>102</v>
      </c>
      <c r="BL797" t="s">
        <v>281</v>
      </c>
      <c r="BM797" t="s">
        <v>14511</v>
      </c>
      <c r="BN797" t="s">
        <v>74</v>
      </c>
      <c r="BO797" t="s">
        <v>326</v>
      </c>
      <c r="BP797" t="s">
        <v>74</v>
      </c>
      <c r="BQ797" t="s">
        <v>74</v>
      </c>
      <c r="BR797" t="s">
        <v>105</v>
      </c>
      <c r="BS797" t="s">
        <v>14512</v>
      </c>
      <c r="BT797" t="str">
        <f>HYPERLINK("https%3A%2F%2Fwww.webofscience.com%2Fwos%2Fwoscc%2Ffull-record%2FWOS:000284256500008","View Full Record in Web of Science")</f>
        <v>View Full Record in Web of Science</v>
      </c>
    </row>
    <row r="798" spans="1:72" x14ac:dyDescent="0.15">
      <c r="A798" t="s">
        <v>72</v>
      </c>
      <c r="B798" t="s">
        <v>14513</v>
      </c>
      <c r="C798" t="s">
        <v>74</v>
      </c>
      <c r="D798" t="s">
        <v>74</v>
      </c>
      <c r="E798" t="s">
        <v>74</v>
      </c>
      <c r="F798" t="s">
        <v>14514</v>
      </c>
      <c r="G798" t="s">
        <v>74</v>
      </c>
      <c r="H798" t="s">
        <v>74</v>
      </c>
      <c r="I798" t="s">
        <v>14515</v>
      </c>
      <c r="J798" t="s">
        <v>14516</v>
      </c>
      <c r="K798" t="s">
        <v>74</v>
      </c>
      <c r="L798" t="s">
        <v>74</v>
      </c>
      <c r="M798" t="s">
        <v>78</v>
      </c>
      <c r="N798" t="s">
        <v>79</v>
      </c>
      <c r="O798" t="s">
        <v>74</v>
      </c>
      <c r="P798" t="s">
        <v>74</v>
      </c>
      <c r="Q798" t="s">
        <v>74</v>
      </c>
      <c r="R798" t="s">
        <v>74</v>
      </c>
      <c r="S798" t="s">
        <v>74</v>
      </c>
      <c r="T798" t="s">
        <v>74</v>
      </c>
      <c r="U798" t="s">
        <v>14517</v>
      </c>
      <c r="V798" t="s">
        <v>14518</v>
      </c>
      <c r="W798" t="s">
        <v>14519</v>
      </c>
      <c r="X798" t="s">
        <v>14520</v>
      </c>
      <c r="Y798" t="s">
        <v>14521</v>
      </c>
      <c r="Z798" t="s">
        <v>14522</v>
      </c>
      <c r="AA798" t="s">
        <v>14523</v>
      </c>
      <c r="AB798" t="s">
        <v>14524</v>
      </c>
      <c r="AC798" t="s">
        <v>14525</v>
      </c>
      <c r="AD798" t="s">
        <v>14526</v>
      </c>
      <c r="AE798" t="s">
        <v>14527</v>
      </c>
      <c r="AF798" t="s">
        <v>74</v>
      </c>
      <c r="AG798">
        <v>144</v>
      </c>
      <c r="AH798">
        <v>196</v>
      </c>
      <c r="AI798">
        <v>206</v>
      </c>
      <c r="AJ798">
        <v>2</v>
      </c>
      <c r="AK798">
        <v>95</v>
      </c>
      <c r="AL798" t="s">
        <v>991</v>
      </c>
      <c r="AM798" t="s">
        <v>992</v>
      </c>
      <c r="AN798" t="s">
        <v>993</v>
      </c>
      <c r="AO798" t="s">
        <v>14528</v>
      </c>
      <c r="AP798" t="s">
        <v>74</v>
      </c>
      <c r="AQ798" t="s">
        <v>74</v>
      </c>
      <c r="AR798" t="s">
        <v>14529</v>
      </c>
      <c r="AS798" t="s">
        <v>14530</v>
      </c>
      <c r="AT798" t="s">
        <v>74</v>
      </c>
      <c r="AU798">
        <v>2010</v>
      </c>
      <c r="AV798">
        <v>2</v>
      </c>
      <c r="AW798">
        <v>1</v>
      </c>
      <c r="AX798" t="s">
        <v>74</v>
      </c>
      <c r="AY798" t="s">
        <v>74</v>
      </c>
      <c r="AZ798" t="s">
        <v>74</v>
      </c>
      <c r="BA798" t="s">
        <v>74</v>
      </c>
      <c r="BB798">
        <v>115</v>
      </c>
      <c r="BC798">
        <v>130</v>
      </c>
      <c r="BD798" t="s">
        <v>74</v>
      </c>
      <c r="BE798" t="s">
        <v>14531</v>
      </c>
      <c r="BF798" t="str">
        <f>HYPERLINK("http://dx.doi.org/10.1577/C09-059.1","http://dx.doi.org/10.1577/C09-059.1")</f>
        <v>http://dx.doi.org/10.1577/C09-059.1</v>
      </c>
      <c r="BG798" t="s">
        <v>74</v>
      </c>
      <c r="BH798" t="s">
        <v>74</v>
      </c>
      <c r="BI798">
        <v>16</v>
      </c>
      <c r="BJ798" t="s">
        <v>1661</v>
      </c>
      <c r="BK798" t="s">
        <v>102</v>
      </c>
      <c r="BL798" t="s">
        <v>1661</v>
      </c>
      <c r="BM798" t="s">
        <v>14532</v>
      </c>
      <c r="BN798" t="s">
        <v>74</v>
      </c>
      <c r="BO798" t="s">
        <v>14533</v>
      </c>
      <c r="BP798" t="s">
        <v>74</v>
      </c>
      <c r="BQ798" t="s">
        <v>74</v>
      </c>
      <c r="BR798" t="s">
        <v>105</v>
      </c>
      <c r="BS798" t="s">
        <v>14534</v>
      </c>
      <c r="BT798" t="str">
        <f>HYPERLINK("https%3A%2F%2Fwww.webofscience.com%2Fwos%2Fwoscc%2Ffull-record%2FWOS:000208152900009","View Full Record in Web of Science")</f>
        <v>View Full Record in Web of Science</v>
      </c>
    </row>
    <row r="799" spans="1:72" x14ac:dyDescent="0.15">
      <c r="A799" t="s">
        <v>72</v>
      </c>
      <c r="B799" t="s">
        <v>14535</v>
      </c>
      <c r="C799" t="s">
        <v>74</v>
      </c>
      <c r="D799" t="s">
        <v>74</v>
      </c>
      <c r="E799" t="s">
        <v>74</v>
      </c>
      <c r="F799" t="s">
        <v>14536</v>
      </c>
      <c r="G799" t="s">
        <v>74</v>
      </c>
      <c r="H799" t="s">
        <v>74</v>
      </c>
      <c r="I799" t="s">
        <v>14537</v>
      </c>
      <c r="J799" t="s">
        <v>14516</v>
      </c>
      <c r="K799" t="s">
        <v>74</v>
      </c>
      <c r="L799" t="s">
        <v>74</v>
      </c>
      <c r="M799" t="s">
        <v>78</v>
      </c>
      <c r="N799" t="s">
        <v>79</v>
      </c>
      <c r="O799" t="s">
        <v>74</v>
      </c>
      <c r="P799" t="s">
        <v>74</v>
      </c>
      <c r="Q799" t="s">
        <v>74</v>
      </c>
      <c r="R799" t="s">
        <v>74</v>
      </c>
      <c r="S799" t="s">
        <v>74</v>
      </c>
      <c r="T799" t="s">
        <v>74</v>
      </c>
      <c r="U799" t="s">
        <v>74</v>
      </c>
      <c r="V799" t="s">
        <v>14538</v>
      </c>
      <c r="W799" t="s">
        <v>14539</v>
      </c>
      <c r="X799" t="s">
        <v>14540</v>
      </c>
      <c r="Y799" t="s">
        <v>14541</v>
      </c>
      <c r="Z799" t="s">
        <v>14542</v>
      </c>
      <c r="AA799" t="s">
        <v>74</v>
      </c>
      <c r="AB799" t="s">
        <v>74</v>
      </c>
      <c r="AC799" t="s">
        <v>14543</v>
      </c>
      <c r="AD799" t="s">
        <v>14544</v>
      </c>
      <c r="AE799" t="s">
        <v>14545</v>
      </c>
      <c r="AF799" t="s">
        <v>74</v>
      </c>
      <c r="AG799">
        <v>29</v>
      </c>
      <c r="AH799">
        <v>15</v>
      </c>
      <c r="AI799">
        <v>16</v>
      </c>
      <c r="AJ799">
        <v>0</v>
      </c>
      <c r="AK799">
        <v>10</v>
      </c>
      <c r="AL799" t="s">
        <v>10775</v>
      </c>
      <c r="AM799" t="s">
        <v>10776</v>
      </c>
      <c r="AN799" t="s">
        <v>10777</v>
      </c>
      <c r="AO799" t="s">
        <v>14528</v>
      </c>
      <c r="AP799" t="s">
        <v>74</v>
      </c>
      <c r="AQ799" t="s">
        <v>74</v>
      </c>
      <c r="AR799" t="s">
        <v>14529</v>
      </c>
      <c r="AS799" t="s">
        <v>14530</v>
      </c>
      <c r="AT799" t="s">
        <v>74</v>
      </c>
      <c r="AU799">
        <v>2010</v>
      </c>
      <c r="AV799">
        <v>2</v>
      </c>
      <c r="AW799">
        <v>1</v>
      </c>
      <c r="AX799" t="s">
        <v>74</v>
      </c>
      <c r="AY799" t="s">
        <v>74</v>
      </c>
      <c r="AZ799" t="s">
        <v>74</v>
      </c>
      <c r="BA799" t="s">
        <v>74</v>
      </c>
      <c r="BB799">
        <v>131</v>
      </c>
      <c r="BC799">
        <v>145</v>
      </c>
      <c r="BD799" t="s">
        <v>74</v>
      </c>
      <c r="BE799" t="s">
        <v>14546</v>
      </c>
      <c r="BF799" t="str">
        <f>HYPERLINK("http://dx.doi.org/10.1577/C08-038.1","http://dx.doi.org/10.1577/C08-038.1")</f>
        <v>http://dx.doi.org/10.1577/C08-038.1</v>
      </c>
      <c r="BG799" t="s">
        <v>74</v>
      </c>
      <c r="BH799" t="s">
        <v>74</v>
      </c>
      <c r="BI799">
        <v>15</v>
      </c>
      <c r="BJ799" t="s">
        <v>1661</v>
      </c>
      <c r="BK799" t="s">
        <v>102</v>
      </c>
      <c r="BL799" t="s">
        <v>1661</v>
      </c>
      <c r="BM799" t="s">
        <v>14532</v>
      </c>
      <c r="BN799" t="s">
        <v>74</v>
      </c>
      <c r="BO799" t="s">
        <v>555</v>
      </c>
      <c r="BP799" t="s">
        <v>74</v>
      </c>
      <c r="BQ799" t="s">
        <v>74</v>
      </c>
      <c r="BR799" t="s">
        <v>105</v>
      </c>
      <c r="BS799" t="s">
        <v>14547</v>
      </c>
      <c r="BT799" t="str">
        <f>HYPERLINK("https%3A%2F%2Fwww.webofscience.com%2Fwos%2Fwoscc%2Ffull-record%2FWOS:000208152900010","View Full Record in Web of Science")</f>
        <v>View Full Record in Web of Science</v>
      </c>
    </row>
    <row r="800" spans="1:72" x14ac:dyDescent="0.15">
      <c r="A800" t="s">
        <v>72</v>
      </c>
      <c r="B800" t="s">
        <v>14548</v>
      </c>
      <c r="C800" t="s">
        <v>74</v>
      </c>
      <c r="D800" t="s">
        <v>74</v>
      </c>
      <c r="E800" t="s">
        <v>74</v>
      </c>
      <c r="F800" t="s">
        <v>14549</v>
      </c>
      <c r="G800" t="s">
        <v>74</v>
      </c>
      <c r="H800" t="s">
        <v>74</v>
      </c>
      <c r="I800" t="s">
        <v>14550</v>
      </c>
      <c r="J800" t="s">
        <v>14551</v>
      </c>
      <c r="K800" t="s">
        <v>74</v>
      </c>
      <c r="L800" t="s">
        <v>74</v>
      </c>
      <c r="M800" t="s">
        <v>78</v>
      </c>
      <c r="N800" t="s">
        <v>79</v>
      </c>
      <c r="O800" t="s">
        <v>74</v>
      </c>
      <c r="P800" t="s">
        <v>74</v>
      </c>
      <c r="Q800" t="s">
        <v>74</v>
      </c>
      <c r="R800" t="s">
        <v>74</v>
      </c>
      <c r="S800" t="s">
        <v>74</v>
      </c>
      <c r="T800" t="s">
        <v>14552</v>
      </c>
      <c r="U800" t="s">
        <v>14553</v>
      </c>
      <c r="V800" t="s">
        <v>14554</v>
      </c>
      <c r="W800" t="s">
        <v>14555</v>
      </c>
      <c r="X800" t="s">
        <v>14556</v>
      </c>
      <c r="Y800" t="s">
        <v>14557</v>
      </c>
      <c r="Z800" t="s">
        <v>14558</v>
      </c>
      <c r="AA800" t="s">
        <v>74</v>
      </c>
      <c r="AB800" t="s">
        <v>74</v>
      </c>
      <c r="AC800" t="s">
        <v>74</v>
      </c>
      <c r="AD800" t="s">
        <v>74</v>
      </c>
      <c r="AE800" t="s">
        <v>74</v>
      </c>
      <c r="AF800" t="s">
        <v>74</v>
      </c>
      <c r="AG800">
        <v>33</v>
      </c>
      <c r="AH800">
        <v>20</v>
      </c>
      <c r="AI800">
        <v>20</v>
      </c>
      <c r="AJ800">
        <v>2</v>
      </c>
      <c r="AK800">
        <v>32</v>
      </c>
      <c r="AL800" t="s">
        <v>546</v>
      </c>
      <c r="AM800" t="s">
        <v>547</v>
      </c>
      <c r="AN800" t="s">
        <v>8932</v>
      </c>
      <c r="AO800" t="s">
        <v>14559</v>
      </c>
      <c r="AP800" t="s">
        <v>74</v>
      </c>
      <c r="AQ800" t="s">
        <v>74</v>
      </c>
      <c r="AR800" t="s">
        <v>14560</v>
      </c>
      <c r="AS800" t="s">
        <v>14561</v>
      </c>
      <c r="AT800" t="s">
        <v>74</v>
      </c>
      <c r="AU800">
        <v>2010</v>
      </c>
      <c r="AV800">
        <v>43</v>
      </c>
      <c r="AW800">
        <v>3</v>
      </c>
      <c r="AX800" t="s">
        <v>74</v>
      </c>
      <c r="AY800" t="s">
        <v>74</v>
      </c>
      <c r="AZ800" t="s">
        <v>74</v>
      </c>
      <c r="BA800" t="s">
        <v>74</v>
      </c>
      <c r="BB800">
        <v>169</v>
      </c>
      <c r="BC800">
        <v>182</v>
      </c>
      <c r="BD800" t="s">
        <v>14562</v>
      </c>
      <c r="BE800" t="s">
        <v>14563</v>
      </c>
      <c r="BF800" t="str">
        <f>HYPERLINK("http://dx.doi.org/10.1080/10236244.2010.486885","http://dx.doi.org/10.1080/10236244.2010.486885")</f>
        <v>http://dx.doi.org/10.1080/10236244.2010.486885</v>
      </c>
      <c r="BG800" t="s">
        <v>74</v>
      </c>
      <c r="BH800" t="s">
        <v>74</v>
      </c>
      <c r="BI800">
        <v>14</v>
      </c>
      <c r="BJ800" t="s">
        <v>2186</v>
      </c>
      <c r="BK800" t="s">
        <v>102</v>
      </c>
      <c r="BL800" t="s">
        <v>2186</v>
      </c>
      <c r="BM800" t="s">
        <v>14564</v>
      </c>
      <c r="BN800" t="s">
        <v>74</v>
      </c>
      <c r="BO800" t="s">
        <v>74</v>
      </c>
      <c r="BP800" t="s">
        <v>74</v>
      </c>
      <c r="BQ800" t="s">
        <v>74</v>
      </c>
      <c r="BR800" t="s">
        <v>105</v>
      </c>
      <c r="BS800" t="s">
        <v>14565</v>
      </c>
      <c r="BT800" t="str">
        <f>HYPERLINK("https%3A%2F%2Fwww.webofscience.com%2Fwos%2Fwoscc%2Ffull-record%2FWOS:000279334300002","View Full Record in Web of Science")</f>
        <v>View Full Record in Web of Science</v>
      </c>
    </row>
    <row r="801" spans="1:72" x14ac:dyDescent="0.15">
      <c r="A801" t="s">
        <v>72</v>
      </c>
      <c r="B801" t="s">
        <v>14566</v>
      </c>
      <c r="C801" t="s">
        <v>74</v>
      </c>
      <c r="D801" t="s">
        <v>74</v>
      </c>
      <c r="E801" t="s">
        <v>74</v>
      </c>
      <c r="F801" t="s">
        <v>14567</v>
      </c>
      <c r="G801" t="s">
        <v>74</v>
      </c>
      <c r="H801" t="s">
        <v>74</v>
      </c>
      <c r="I801" t="s">
        <v>14568</v>
      </c>
      <c r="J801" t="s">
        <v>14569</v>
      </c>
      <c r="K801" t="s">
        <v>74</v>
      </c>
      <c r="L801" t="s">
        <v>74</v>
      </c>
      <c r="M801" t="s">
        <v>78</v>
      </c>
      <c r="N801" t="s">
        <v>79</v>
      </c>
      <c r="O801" t="s">
        <v>74</v>
      </c>
      <c r="P801" t="s">
        <v>74</v>
      </c>
      <c r="Q801" t="s">
        <v>74</v>
      </c>
      <c r="R801" t="s">
        <v>74</v>
      </c>
      <c r="S801" t="s">
        <v>74</v>
      </c>
      <c r="T801" t="s">
        <v>14570</v>
      </c>
      <c r="U801" t="s">
        <v>14571</v>
      </c>
      <c r="V801" t="s">
        <v>14572</v>
      </c>
      <c r="W801" t="s">
        <v>14573</v>
      </c>
      <c r="X801" t="s">
        <v>10389</v>
      </c>
      <c r="Y801" t="s">
        <v>14574</v>
      </c>
      <c r="Z801" t="s">
        <v>14575</v>
      </c>
      <c r="AA801" t="s">
        <v>14576</v>
      </c>
      <c r="AB801" t="s">
        <v>14577</v>
      </c>
      <c r="AC801" t="s">
        <v>14578</v>
      </c>
      <c r="AD801" t="s">
        <v>14579</v>
      </c>
      <c r="AE801" t="s">
        <v>14580</v>
      </c>
      <c r="AF801" t="s">
        <v>74</v>
      </c>
      <c r="AG801">
        <v>29</v>
      </c>
      <c r="AH801">
        <v>8</v>
      </c>
      <c r="AI801">
        <v>8</v>
      </c>
      <c r="AJ801">
        <v>1</v>
      </c>
      <c r="AK801">
        <v>13</v>
      </c>
      <c r="AL801" t="s">
        <v>10330</v>
      </c>
      <c r="AM801" t="s">
        <v>10331</v>
      </c>
      <c r="AN801" t="s">
        <v>10332</v>
      </c>
      <c r="AO801" t="s">
        <v>14581</v>
      </c>
      <c r="AP801" t="s">
        <v>14582</v>
      </c>
      <c r="AQ801" t="s">
        <v>74</v>
      </c>
      <c r="AR801" t="s">
        <v>14583</v>
      </c>
      <c r="AS801" t="s">
        <v>14584</v>
      </c>
      <c r="AT801" t="s">
        <v>74</v>
      </c>
      <c r="AU801">
        <v>2010</v>
      </c>
      <c r="AV801">
        <v>61</v>
      </c>
      <c r="AW801">
        <v>11</v>
      </c>
      <c r="AX801" t="s">
        <v>74</v>
      </c>
      <c r="AY801" t="s">
        <v>74</v>
      </c>
      <c r="AZ801" t="s">
        <v>74</v>
      </c>
      <c r="BA801" t="s">
        <v>74</v>
      </c>
      <c r="BB801">
        <v>1227</v>
      </c>
      <c r="BC801">
        <v>1236</v>
      </c>
      <c r="BD801" t="s">
        <v>74</v>
      </c>
      <c r="BE801" t="s">
        <v>14585</v>
      </c>
      <c r="BF801" t="str">
        <f>HYPERLINK("http://dx.doi.org/10.1071/MF09211","http://dx.doi.org/10.1071/MF09211")</f>
        <v>http://dx.doi.org/10.1071/MF09211</v>
      </c>
      <c r="BG801" t="s">
        <v>74</v>
      </c>
      <c r="BH801" t="s">
        <v>74</v>
      </c>
      <c r="BI801">
        <v>10</v>
      </c>
      <c r="BJ801" t="s">
        <v>14586</v>
      </c>
      <c r="BK801" t="s">
        <v>102</v>
      </c>
      <c r="BL801" t="s">
        <v>1559</v>
      </c>
      <c r="BM801" t="s">
        <v>14587</v>
      </c>
      <c r="BN801" t="s">
        <v>74</v>
      </c>
      <c r="BO801" t="s">
        <v>74</v>
      </c>
      <c r="BP801" t="s">
        <v>74</v>
      </c>
      <c r="BQ801" t="s">
        <v>74</v>
      </c>
      <c r="BR801" t="s">
        <v>105</v>
      </c>
      <c r="BS801" t="s">
        <v>14588</v>
      </c>
      <c r="BT801" t="str">
        <f>HYPERLINK("https%3A%2F%2Fwww.webofscience.com%2Fwos%2Fwoscc%2Ffull-record%2FWOS:000284230400001","View Full Record in Web of Science")</f>
        <v>View Full Record in Web of Science</v>
      </c>
    </row>
    <row r="802" spans="1:72" x14ac:dyDescent="0.15">
      <c r="A802" t="s">
        <v>72</v>
      </c>
      <c r="B802" t="s">
        <v>14589</v>
      </c>
      <c r="C802" t="s">
        <v>74</v>
      </c>
      <c r="D802" t="s">
        <v>74</v>
      </c>
      <c r="E802" t="s">
        <v>74</v>
      </c>
      <c r="F802" t="s">
        <v>14590</v>
      </c>
      <c r="G802" t="s">
        <v>74</v>
      </c>
      <c r="H802" t="s">
        <v>74</v>
      </c>
      <c r="I802" t="s">
        <v>14591</v>
      </c>
      <c r="J802" t="s">
        <v>2169</v>
      </c>
      <c r="K802" t="s">
        <v>74</v>
      </c>
      <c r="L802" t="s">
        <v>74</v>
      </c>
      <c r="M802" t="s">
        <v>78</v>
      </c>
      <c r="N802" t="s">
        <v>79</v>
      </c>
      <c r="O802" t="s">
        <v>74</v>
      </c>
      <c r="P802" t="s">
        <v>74</v>
      </c>
      <c r="Q802" t="s">
        <v>74</v>
      </c>
      <c r="R802" t="s">
        <v>74</v>
      </c>
      <c r="S802" t="s">
        <v>74</v>
      </c>
      <c r="T802" t="s">
        <v>74</v>
      </c>
      <c r="U802" t="s">
        <v>14592</v>
      </c>
      <c r="V802" t="s">
        <v>14593</v>
      </c>
      <c r="W802" t="s">
        <v>14594</v>
      </c>
      <c r="X802" t="s">
        <v>656</v>
      </c>
      <c r="Y802" t="s">
        <v>4899</v>
      </c>
      <c r="Z802" t="s">
        <v>4900</v>
      </c>
      <c r="AA802" t="s">
        <v>14595</v>
      </c>
      <c r="AB802" t="s">
        <v>14596</v>
      </c>
      <c r="AC802" t="s">
        <v>14597</v>
      </c>
      <c r="AD802" t="s">
        <v>4729</v>
      </c>
      <c r="AE802" t="s">
        <v>74</v>
      </c>
      <c r="AF802" t="s">
        <v>74</v>
      </c>
      <c r="AG802">
        <v>81</v>
      </c>
      <c r="AH802">
        <v>33</v>
      </c>
      <c r="AI802">
        <v>36</v>
      </c>
      <c r="AJ802">
        <v>1</v>
      </c>
      <c r="AK802">
        <v>35</v>
      </c>
      <c r="AL802" t="s">
        <v>524</v>
      </c>
      <c r="AM802" t="s">
        <v>525</v>
      </c>
      <c r="AN802" t="s">
        <v>526</v>
      </c>
      <c r="AO802" t="s">
        <v>2181</v>
      </c>
      <c r="AP802" t="s">
        <v>2182</v>
      </c>
      <c r="AQ802" t="s">
        <v>74</v>
      </c>
      <c r="AR802" t="s">
        <v>2183</v>
      </c>
      <c r="AS802" t="s">
        <v>2184</v>
      </c>
      <c r="AT802" t="s">
        <v>8958</v>
      </c>
      <c r="AU802">
        <v>2010</v>
      </c>
      <c r="AV802">
        <v>157</v>
      </c>
      <c r="AW802">
        <v>1</v>
      </c>
      <c r="AX802" t="s">
        <v>74</v>
      </c>
      <c r="AY802" t="s">
        <v>74</v>
      </c>
      <c r="AZ802" t="s">
        <v>74</v>
      </c>
      <c r="BA802" t="s">
        <v>74</v>
      </c>
      <c r="BB802">
        <v>99</v>
      </c>
      <c r="BC802">
        <v>112</v>
      </c>
      <c r="BD802" t="s">
        <v>74</v>
      </c>
      <c r="BE802" t="s">
        <v>14598</v>
      </c>
      <c r="BF802" t="str">
        <f>HYPERLINK("http://dx.doi.org/10.1007/s00227-009-1299-6","http://dx.doi.org/10.1007/s00227-009-1299-6")</f>
        <v>http://dx.doi.org/10.1007/s00227-009-1299-6</v>
      </c>
      <c r="BG802" t="s">
        <v>74</v>
      </c>
      <c r="BH802" t="s">
        <v>74</v>
      </c>
      <c r="BI802">
        <v>14</v>
      </c>
      <c r="BJ802" t="s">
        <v>2186</v>
      </c>
      <c r="BK802" t="s">
        <v>102</v>
      </c>
      <c r="BL802" t="s">
        <v>2186</v>
      </c>
      <c r="BM802" t="s">
        <v>14599</v>
      </c>
      <c r="BN802" t="s">
        <v>74</v>
      </c>
      <c r="BO802" t="s">
        <v>74</v>
      </c>
      <c r="BP802" t="s">
        <v>74</v>
      </c>
      <c r="BQ802" t="s">
        <v>74</v>
      </c>
      <c r="BR802" t="s">
        <v>105</v>
      </c>
      <c r="BS802" t="s">
        <v>14600</v>
      </c>
      <c r="BT802" t="str">
        <f>HYPERLINK("https%3A%2F%2Fwww.webofscience.com%2Fwos%2Fwoscc%2Ffull-record%2FWOS:000272801100010","View Full Record in Web of Science")</f>
        <v>View Full Record in Web of Science</v>
      </c>
    </row>
    <row r="803" spans="1:72" x14ac:dyDescent="0.15">
      <c r="A803" t="s">
        <v>72</v>
      </c>
      <c r="B803" t="s">
        <v>14601</v>
      </c>
      <c r="C803" t="s">
        <v>74</v>
      </c>
      <c r="D803" t="s">
        <v>74</v>
      </c>
      <c r="E803" t="s">
        <v>74</v>
      </c>
      <c r="F803" t="s">
        <v>14602</v>
      </c>
      <c r="G803" t="s">
        <v>74</v>
      </c>
      <c r="H803" t="s">
        <v>74</v>
      </c>
      <c r="I803" t="s">
        <v>14603</v>
      </c>
      <c r="J803" t="s">
        <v>2169</v>
      </c>
      <c r="K803" t="s">
        <v>74</v>
      </c>
      <c r="L803" t="s">
        <v>74</v>
      </c>
      <c r="M803" t="s">
        <v>78</v>
      </c>
      <c r="N803" t="s">
        <v>79</v>
      </c>
      <c r="O803" t="s">
        <v>74</v>
      </c>
      <c r="P803" t="s">
        <v>74</v>
      </c>
      <c r="Q803" t="s">
        <v>74</v>
      </c>
      <c r="R803" t="s">
        <v>74</v>
      </c>
      <c r="S803" t="s">
        <v>74</v>
      </c>
      <c r="T803" t="s">
        <v>74</v>
      </c>
      <c r="U803" t="s">
        <v>14604</v>
      </c>
      <c r="V803" t="s">
        <v>14605</v>
      </c>
      <c r="W803" t="s">
        <v>14606</v>
      </c>
      <c r="X803" t="s">
        <v>14607</v>
      </c>
      <c r="Y803" t="s">
        <v>14608</v>
      </c>
      <c r="Z803" t="s">
        <v>14609</v>
      </c>
      <c r="AA803" t="s">
        <v>74</v>
      </c>
      <c r="AB803" t="s">
        <v>14610</v>
      </c>
      <c r="AC803" t="s">
        <v>14611</v>
      </c>
      <c r="AD803" t="s">
        <v>14612</v>
      </c>
      <c r="AE803" t="s">
        <v>14613</v>
      </c>
      <c r="AF803" t="s">
        <v>74</v>
      </c>
      <c r="AG803">
        <v>46</v>
      </c>
      <c r="AH803">
        <v>23</v>
      </c>
      <c r="AI803">
        <v>23</v>
      </c>
      <c r="AJ803">
        <v>0</v>
      </c>
      <c r="AK803">
        <v>11</v>
      </c>
      <c r="AL803" t="s">
        <v>524</v>
      </c>
      <c r="AM803" t="s">
        <v>525</v>
      </c>
      <c r="AN803" t="s">
        <v>526</v>
      </c>
      <c r="AO803" t="s">
        <v>2181</v>
      </c>
      <c r="AP803" t="s">
        <v>2182</v>
      </c>
      <c r="AQ803" t="s">
        <v>74</v>
      </c>
      <c r="AR803" t="s">
        <v>2183</v>
      </c>
      <c r="AS803" t="s">
        <v>2184</v>
      </c>
      <c r="AT803" t="s">
        <v>8958</v>
      </c>
      <c r="AU803">
        <v>2010</v>
      </c>
      <c r="AV803">
        <v>157</v>
      </c>
      <c r="AW803">
        <v>1</v>
      </c>
      <c r="AX803" t="s">
        <v>74</v>
      </c>
      <c r="AY803" t="s">
        <v>74</v>
      </c>
      <c r="AZ803" t="s">
        <v>74</v>
      </c>
      <c r="BA803" t="s">
        <v>74</v>
      </c>
      <c r="BB803">
        <v>177</v>
      </c>
      <c r="BC803">
        <v>187</v>
      </c>
      <c r="BD803" t="s">
        <v>74</v>
      </c>
      <c r="BE803" t="s">
        <v>14614</v>
      </c>
      <c r="BF803" t="str">
        <f>HYPERLINK("http://dx.doi.org/10.1007/s00227-009-1308-9","http://dx.doi.org/10.1007/s00227-009-1308-9")</f>
        <v>http://dx.doi.org/10.1007/s00227-009-1308-9</v>
      </c>
      <c r="BG803" t="s">
        <v>74</v>
      </c>
      <c r="BH803" t="s">
        <v>74</v>
      </c>
      <c r="BI803">
        <v>11</v>
      </c>
      <c r="BJ803" t="s">
        <v>2186</v>
      </c>
      <c r="BK803" t="s">
        <v>102</v>
      </c>
      <c r="BL803" t="s">
        <v>2186</v>
      </c>
      <c r="BM803" t="s">
        <v>14599</v>
      </c>
      <c r="BN803" t="s">
        <v>74</v>
      </c>
      <c r="BO803" t="s">
        <v>74</v>
      </c>
      <c r="BP803" t="s">
        <v>74</v>
      </c>
      <c r="BQ803" t="s">
        <v>74</v>
      </c>
      <c r="BR803" t="s">
        <v>105</v>
      </c>
      <c r="BS803" t="s">
        <v>14615</v>
      </c>
      <c r="BT803" t="str">
        <f>HYPERLINK("https%3A%2F%2Fwww.webofscience.com%2Fwos%2Fwoscc%2Ffull-record%2FWOS:000272801100017","View Full Record in Web of Science")</f>
        <v>View Full Record in Web of Science</v>
      </c>
    </row>
    <row r="804" spans="1:72" x14ac:dyDescent="0.15">
      <c r="A804" t="s">
        <v>72</v>
      </c>
      <c r="B804" t="s">
        <v>14616</v>
      </c>
      <c r="C804" t="s">
        <v>74</v>
      </c>
      <c r="D804" t="s">
        <v>74</v>
      </c>
      <c r="E804" t="s">
        <v>74</v>
      </c>
      <c r="F804" t="s">
        <v>14617</v>
      </c>
      <c r="G804" t="s">
        <v>74</v>
      </c>
      <c r="H804" t="s">
        <v>74</v>
      </c>
      <c r="I804" t="s">
        <v>14618</v>
      </c>
      <c r="J804" t="s">
        <v>14619</v>
      </c>
      <c r="K804" t="s">
        <v>74</v>
      </c>
      <c r="L804" t="s">
        <v>74</v>
      </c>
      <c r="M804" t="s">
        <v>78</v>
      </c>
      <c r="N804" t="s">
        <v>79</v>
      </c>
      <c r="O804" t="s">
        <v>74</v>
      </c>
      <c r="P804" t="s">
        <v>74</v>
      </c>
      <c r="Q804" t="s">
        <v>74</v>
      </c>
      <c r="R804" t="s">
        <v>74</v>
      </c>
      <c r="S804" t="s">
        <v>74</v>
      </c>
      <c r="T804" t="s">
        <v>14620</v>
      </c>
      <c r="U804" t="s">
        <v>14621</v>
      </c>
      <c r="V804" t="s">
        <v>14622</v>
      </c>
      <c r="W804" t="s">
        <v>14623</v>
      </c>
      <c r="X804" t="s">
        <v>5544</v>
      </c>
      <c r="Y804" t="s">
        <v>14624</v>
      </c>
      <c r="Z804" t="s">
        <v>14625</v>
      </c>
      <c r="AA804" t="s">
        <v>14626</v>
      </c>
      <c r="AB804" t="s">
        <v>14627</v>
      </c>
      <c r="AC804" t="s">
        <v>14628</v>
      </c>
      <c r="AD804" t="s">
        <v>14629</v>
      </c>
      <c r="AE804" t="s">
        <v>14630</v>
      </c>
      <c r="AF804" t="s">
        <v>74</v>
      </c>
      <c r="AG804">
        <v>64</v>
      </c>
      <c r="AH804">
        <v>30</v>
      </c>
      <c r="AI804">
        <v>36</v>
      </c>
      <c r="AJ804">
        <v>0</v>
      </c>
      <c r="AK804">
        <v>26</v>
      </c>
      <c r="AL804" t="s">
        <v>5648</v>
      </c>
      <c r="AM804" t="s">
        <v>5649</v>
      </c>
      <c r="AN804" t="s">
        <v>5650</v>
      </c>
      <c r="AO804" t="s">
        <v>14631</v>
      </c>
      <c r="AP804" t="s">
        <v>14632</v>
      </c>
      <c r="AQ804" t="s">
        <v>74</v>
      </c>
      <c r="AR804" t="s">
        <v>14633</v>
      </c>
      <c r="AS804" t="s">
        <v>14634</v>
      </c>
      <c r="AT804" t="s">
        <v>74</v>
      </c>
      <c r="AU804">
        <v>2010</v>
      </c>
      <c r="AV804">
        <v>419</v>
      </c>
      <c r="AW804" t="s">
        <v>74</v>
      </c>
      <c r="AX804" t="s">
        <v>74</v>
      </c>
      <c r="AY804" t="s">
        <v>74</v>
      </c>
      <c r="AZ804" t="s">
        <v>74</v>
      </c>
      <c r="BA804" t="s">
        <v>74</v>
      </c>
      <c r="BB804">
        <v>233</v>
      </c>
      <c r="BC804">
        <v>247</v>
      </c>
      <c r="BD804" t="s">
        <v>74</v>
      </c>
      <c r="BE804" t="s">
        <v>14635</v>
      </c>
      <c r="BF804" t="str">
        <f>HYPERLINK("http://dx.doi.org/10.3354/meps08758","http://dx.doi.org/10.3354/meps08758")</f>
        <v>http://dx.doi.org/10.3354/meps08758</v>
      </c>
      <c r="BG804" t="s">
        <v>74</v>
      </c>
      <c r="BH804" t="s">
        <v>74</v>
      </c>
      <c r="BI804">
        <v>15</v>
      </c>
      <c r="BJ804" t="s">
        <v>14636</v>
      </c>
      <c r="BK804" t="s">
        <v>102</v>
      </c>
      <c r="BL804" t="s">
        <v>14637</v>
      </c>
      <c r="BM804" t="s">
        <v>14638</v>
      </c>
      <c r="BN804" t="s">
        <v>74</v>
      </c>
      <c r="BO804" t="s">
        <v>346</v>
      </c>
      <c r="BP804" t="s">
        <v>74</v>
      </c>
      <c r="BQ804" t="s">
        <v>74</v>
      </c>
      <c r="BR804" t="s">
        <v>105</v>
      </c>
      <c r="BS804" t="s">
        <v>14639</v>
      </c>
      <c r="BT804" t="str">
        <f>HYPERLINK("https%3A%2F%2Fwww.webofscience.com%2Fwos%2Fwoscc%2Ffull-record%2FWOS:000285068400019","View Full Record in Web of Science")</f>
        <v>View Full Record in Web of Science</v>
      </c>
    </row>
    <row r="805" spans="1:72" x14ac:dyDescent="0.15">
      <c r="A805" t="s">
        <v>72</v>
      </c>
      <c r="B805" t="s">
        <v>14640</v>
      </c>
      <c r="C805" t="s">
        <v>74</v>
      </c>
      <c r="D805" t="s">
        <v>74</v>
      </c>
      <c r="E805" t="s">
        <v>74</v>
      </c>
      <c r="F805" t="s">
        <v>14641</v>
      </c>
      <c r="G805" t="s">
        <v>74</v>
      </c>
      <c r="H805" t="s">
        <v>74</v>
      </c>
      <c r="I805" t="s">
        <v>14642</v>
      </c>
      <c r="J805" t="s">
        <v>14619</v>
      </c>
      <c r="K805" t="s">
        <v>74</v>
      </c>
      <c r="L805" t="s">
        <v>74</v>
      </c>
      <c r="M805" t="s">
        <v>78</v>
      </c>
      <c r="N805" t="s">
        <v>79</v>
      </c>
      <c r="O805" t="s">
        <v>74</v>
      </c>
      <c r="P805" t="s">
        <v>74</v>
      </c>
      <c r="Q805" t="s">
        <v>74</v>
      </c>
      <c r="R805" t="s">
        <v>74</v>
      </c>
      <c r="S805" t="s">
        <v>74</v>
      </c>
      <c r="T805" t="s">
        <v>14643</v>
      </c>
      <c r="U805" t="s">
        <v>14644</v>
      </c>
      <c r="V805" t="s">
        <v>14645</v>
      </c>
      <c r="W805" t="s">
        <v>14646</v>
      </c>
      <c r="X805" t="s">
        <v>14647</v>
      </c>
      <c r="Y805" t="s">
        <v>14648</v>
      </c>
      <c r="Z805" t="s">
        <v>14649</v>
      </c>
      <c r="AA805" t="s">
        <v>14650</v>
      </c>
      <c r="AB805" t="s">
        <v>74</v>
      </c>
      <c r="AC805" t="s">
        <v>14651</v>
      </c>
      <c r="AD805" t="s">
        <v>14652</v>
      </c>
      <c r="AE805" t="s">
        <v>14653</v>
      </c>
      <c r="AF805" t="s">
        <v>74</v>
      </c>
      <c r="AG805">
        <v>80</v>
      </c>
      <c r="AH805">
        <v>61</v>
      </c>
      <c r="AI805">
        <v>62</v>
      </c>
      <c r="AJ805">
        <v>0</v>
      </c>
      <c r="AK805">
        <v>26</v>
      </c>
      <c r="AL805" t="s">
        <v>5648</v>
      </c>
      <c r="AM805" t="s">
        <v>5649</v>
      </c>
      <c r="AN805" t="s">
        <v>5650</v>
      </c>
      <c r="AO805" t="s">
        <v>14631</v>
      </c>
      <c r="AP805" t="s">
        <v>74</v>
      </c>
      <c r="AQ805" t="s">
        <v>74</v>
      </c>
      <c r="AR805" t="s">
        <v>14633</v>
      </c>
      <c r="AS805" t="s">
        <v>14634</v>
      </c>
      <c r="AT805" t="s">
        <v>74</v>
      </c>
      <c r="AU805">
        <v>2010</v>
      </c>
      <c r="AV805">
        <v>418</v>
      </c>
      <c r="AW805" t="s">
        <v>74</v>
      </c>
      <c r="AX805" t="s">
        <v>74</v>
      </c>
      <c r="AY805" t="s">
        <v>74</v>
      </c>
      <c r="AZ805" t="s">
        <v>74</v>
      </c>
      <c r="BA805" t="s">
        <v>74</v>
      </c>
      <c r="BB805">
        <v>235</v>
      </c>
      <c r="BC805">
        <v>248</v>
      </c>
      <c r="BD805" t="s">
        <v>74</v>
      </c>
      <c r="BE805" t="s">
        <v>14654</v>
      </c>
      <c r="BF805" t="str">
        <f>HYPERLINK("http://dx.doi.org/10.3354/meps08826","http://dx.doi.org/10.3354/meps08826")</f>
        <v>http://dx.doi.org/10.3354/meps08826</v>
      </c>
      <c r="BG805" t="s">
        <v>74</v>
      </c>
      <c r="BH805" t="s">
        <v>74</v>
      </c>
      <c r="BI805">
        <v>14</v>
      </c>
      <c r="BJ805" t="s">
        <v>14636</v>
      </c>
      <c r="BK805" t="s">
        <v>102</v>
      </c>
      <c r="BL805" t="s">
        <v>14637</v>
      </c>
      <c r="BM805" t="s">
        <v>14655</v>
      </c>
      <c r="BN805" t="s">
        <v>74</v>
      </c>
      <c r="BO805" t="s">
        <v>1561</v>
      </c>
      <c r="BP805" t="s">
        <v>74</v>
      </c>
      <c r="BQ805" t="s">
        <v>74</v>
      </c>
      <c r="BR805" t="s">
        <v>105</v>
      </c>
      <c r="BS805" t="s">
        <v>14656</v>
      </c>
      <c r="BT805" t="str">
        <f>HYPERLINK("https%3A%2F%2Fwww.webofscience.com%2Fwos%2Fwoscc%2Ffull-record%2FWOS:000284419700019","View Full Record in Web of Science")</f>
        <v>View Full Record in Web of Science</v>
      </c>
    </row>
    <row r="806" spans="1:72" x14ac:dyDescent="0.15">
      <c r="A806" t="s">
        <v>72</v>
      </c>
      <c r="B806" t="s">
        <v>14657</v>
      </c>
      <c r="C806" t="s">
        <v>74</v>
      </c>
      <c r="D806" t="s">
        <v>74</v>
      </c>
      <c r="E806" t="s">
        <v>74</v>
      </c>
      <c r="F806" t="s">
        <v>14658</v>
      </c>
      <c r="G806" t="s">
        <v>74</v>
      </c>
      <c r="H806" t="s">
        <v>74</v>
      </c>
      <c r="I806" t="s">
        <v>14659</v>
      </c>
      <c r="J806" t="s">
        <v>14619</v>
      </c>
      <c r="K806" t="s">
        <v>74</v>
      </c>
      <c r="L806" t="s">
        <v>74</v>
      </c>
      <c r="M806" t="s">
        <v>78</v>
      </c>
      <c r="N806" t="s">
        <v>79</v>
      </c>
      <c r="O806" t="s">
        <v>74</v>
      </c>
      <c r="P806" t="s">
        <v>74</v>
      </c>
      <c r="Q806" t="s">
        <v>74</v>
      </c>
      <c r="R806" t="s">
        <v>74</v>
      </c>
      <c r="S806" t="s">
        <v>74</v>
      </c>
      <c r="T806" t="s">
        <v>14660</v>
      </c>
      <c r="U806" t="s">
        <v>14661</v>
      </c>
      <c r="V806" t="s">
        <v>14662</v>
      </c>
      <c r="W806" t="s">
        <v>14663</v>
      </c>
      <c r="X806" t="s">
        <v>2278</v>
      </c>
      <c r="Y806" t="s">
        <v>14664</v>
      </c>
      <c r="Z806" t="s">
        <v>14665</v>
      </c>
      <c r="AA806" t="s">
        <v>14666</v>
      </c>
      <c r="AB806" t="s">
        <v>14667</v>
      </c>
      <c r="AC806" t="s">
        <v>74</v>
      </c>
      <c r="AD806" t="s">
        <v>74</v>
      </c>
      <c r="AE806" t="s">
        <v>74</v>
      </c>
      <c r="AF806" t="s">
        <v>74</v>
      </c>
      <c r="AG806">
        <v>75</v>
      </c>
      <c r="AH806">
        <v>24</v>
      </c>
      <c r="AI806">
        <v>28</v>
      </c>
      <c r="AJ806">
        <v>1</v>
      </c>
      <c r="AK806">
        <v>20</v>
      </c>
      <c r="AL806" t="s">
        <v>5648</v>
      </c>
      <c r="AM806" t="s">
        <v>5649</v>
      </c>
      <c r="AN806" t="s">
        <v>5650</v>
      </c>
      <c r="AO806" t="s">
        <v>14631</v>
      </c>
      <c r="AP806" t="s">
        <v>74</v>
      </c>
      <c r="AQ806" t="s">
        <v>74</v>
      </c>
      <c r="AR806" t="s">
        <v>14633</v>
      </c>
      <c r="AS806" t="s">
        <v>14634</v>
      </c>
      <c r="AT806" t="s">
        <v>74</v>
      </c>
      <c r="AU806">
        <v>2010</v>
      </c>
      <c r="AV806">
        <v>416</v>
      </c>
      <c r="AW806" t="s">
        <v>74</v>
      </c>
      <c r="AX806" t="s">
        <v>74</v>
      </c>
      <c r="AY806" t="s">
        <v>74</v>
      </c>
      <c r="AZ806" t="s">
        <v>74</v>
      </c>
      <c r="BA806" t="s">
        <v>74</v>
      </c>
      <c r="BB806">
        <v>105</v>
      </c>
      <c r="BC806">
        <v>113</v>
      </c>
      <c r="BD806" t="s">
        <v>74</v>
      </c>
      <c r="BE806" t="s">
        <v>14668</v>
      </c>
      <c r="BF806" t="str">
        <f>HYPERLINK("http://dx.doi.org/10.3354/meps08773","http://dx.doi.org/10.3354/meps08773")</f>
        <v>http://dx.doi.org/10.3354/meps08773</v>
      </c>
      <c r="BG806" t="s">
        <v>74</v>
      </c>
      <c r="BH806" t="s">
        <v>74</v>
      </c>
      <c r="BI806">
        <v>9</v>
      </c>
      <c r="BJ806" t="s">
        <v>14636</v>
      </c>
      <c r="BK806" t="s">
        <v>102</v>
      </c>
      <c r="BL806" t="s">
        <v>14637</v>
      </c>
      <c r="BM806" t="s">
        <v>14669</v>
      </c>
      <c r="BN806" t="s">
        <v>74</v>
      </c>
      <c r="BO806" t="s">
        <v>104</v>
      </c>
      <c r="BP806" t="s">
        <v>74</v>
      </c>
      <c r="BQ806" t="s">
        <v>74</v>
      </c>
      <c r="BR806" t="s">
        <v>105</v>
      </c>
      <c r="BS806" t="s">
        <v>14670</v>
      </c>
      <c r="BT806" t="str">
        <f>HYPERLINK("https%3A%2F%2Fwww.webofscience.com%2Fwos%2Fwoscc%2Ffull-record%2FWOS:000283446400009","View Full Record in Web of Science")</f>
        <v>View Full Record in Web of Science</v>
      </c>
    </row>
    <row r="807" spans="1:72" x14ac:dyDescent="0.15">
      <c r="A807" t="s">
        <v>72</v>
      </c>
      <c r="B807" t="s">
        <v>14671</v>
      </c>
      <c r="C807" t="s">
        <v>74</v>
      </c>
      <c r="D807" t="s">
        <v>74</v>
      </c>
      <c r="E807" t="s">
        <v>74</v>
      </c>
      <c r="F807" t="s">
        <v>14672</v>
      </c>
      <c r="G807" t="s">
        <v>74</v>
      </c>
      <c r="H807" t="s">
        <v>74</v>
      </c>
      <c r="I807" t="s">
        <v>14673</v>
      </c>
      <c r="J807" t="s">
        <v>14619</v>
      </c>
      <c r="K807" t="s">
        <v>74</v>
      </c>
      <c r="L807" t="s">
        <v>74</v>
      </c>
      <c r="M807" t="s">
        <v>78</v>
      </c>
      <c r="N807" t="s">
        <v>79</v>
      </c>
      <c r="O807" t="s">
        <v>74</v>
      </c>
      <c r="P807" t="s">
        <v>74</v>
      </c>
      <c r="Q807" t="s">
        <v>74</v>
      </c>
      <c r="R807" t="s">
        <v>74</v>
      </c>
      <c r="S807" t="s">
        <v>74</v>
      </c>
      <c r="T807" t="s">
        <v>14674</v>
      </c>
      <c r="U807" t="s">
        <v>14675</v>
      </c>
      <c r="V807" t="s">
        <v>14676</v>
      </c>
      <c r="W807" t="s">
        <v>14677</v>
      </c>
      <c r="X807" t="s">
        <v>14678</v>
      </c>
      <c r="Y807" t="s">
        <v>14679</v>
      </c>
      <c r="Z807" t="s">
        <v>14680</v>
      </c>
      <c r="AA807" t="s">
        <v>14681</v>
      </c>
      <c r="AB807" t="s">
        <v>14682</v>
      </c>
      <c r="AC807" t="s">
        <v>14683</v>
      </c>
      <c r="AD807" t="s">
        <v>14684</v>
      </c>
      <c r="AE807" t="s">
        <v>14685</v>
      </c>
      <c r="AF807" t="s">
        <v>74</v>
      </c>
      <c r="AG807">
        <v>89</v>
      </c>
      <c r="AH807">
        <v>66</v>
      </c>
      <c r="AI807">
        <v>72</v>
      </c>
      <c r="AJ807">
        <v>0</v>
      </c>
      <c r="AK807">
        <v>39</v>
      </c>
      <c r="AL807" t="s">
        <v>5648</v>
      </c>
      <c r="AM807" t="s">
        <v>5649</v>
      </c>
      <c r="AN807" t="s">
        <v>5650</v>
      </c>
      <c r="AO807" t="s">
        <v>14631</v>
      </c>
      <c r="AP807" t="s">
        <v>14632</v>
      </c>
      <c r="AQ807" t="s">
        <v>74</v>
      </c>
      <c r="AR807" t="s">
        <v>14633</v>
      </c>
      <c r="AS807" t="s">
        <v>14634</v>
      </c>
      <c r="AT807" t="s">
        <v>74</v>
      </c>
      <c r="AU807">
        <v>2010</v>
      </c>
      <c r="AV807">
        <v>416</v>
      </c>
      <c r="AW807" t="s">
        <v>74</v>
      </c>
      <c r="AX807" t="s">
        <v>74</v>
      </c>
      <c r="AY807" t="s">
        <v>74</v>
      </c>
      <c r="AZ807" t="s">
        <v>74</v>
      </c>
      <c r="BA807" t="s">
        <v>74</v>
      </c>
      <c r="BB807">
        <v>267</v>
      </c>
      <c r="BC807" t="s">
        <v>14686</v>
      </c>
      <c r="BD807" t="s">
        <v>74</v>
      </c>
      <c r="BE807" t="s">
        <v>14687</v>
      </c>
      <c r="BF807" t="str">
        <f>HYPERLINK("http://dx.doi.org/10.3354/meps08785","http://dx.doi.org/10.3354/meps08785")</f>
        <v>http://dx.doi.org/10.3354/meps08785</v>
      </c>
      <c r="BG807" t="s">
        <v>74</v>
      </c>
      <c r="BH807" t="s">
        <v>74</v>
      </c>
      <c r="BI807">
        <v>23</v>
      </c>
      <c r="BJ807" t="s">
        <v>14636</v>
      </c>
      <c r="BK807" t="s">
        <v>102</v>
      </c>
      <c r="BL807" t="s">
        <v>14637</v>
      </c>
      <c r="BM807" t="s">
        <v>14669</v>
      </c>
      <c r="BN807" t="s">
        <v>74</v>
      </c>
      <c r="BO807" t="s">
        <v>346</v>
      </c>
      <c r="BP807" t="s">
        <v>74</v>
      </c>
      <c r="BQ807" t="s">
        <v>74</v>
      </c>
      <c r="BR807" t="s">
        <v>105</v>
      </c>
      <c r="BS807" t="s">
        <v>14688</v>
      </c>
      <c r="BT807" t="str">
        <f>HYPERLINK("https%3A%2F%2Fwww.webofscience.com%2Fwos%2Fwoscc%2Ffull-record%2FWOS:000283446400022","View Full Record in Web of Science")</f>
        <v>View Full Record in Web of Science</v>
      </c>
    </row>
    <row r="808" spans="1:72" x14ac:dyDescent="0.15">
      <c r="A808" t="s">
        <v>72</v>
      </c>
      <c r="B808" t="s">
        <v>14689</v>
      </c>
      <c r="C808" t="s">
        <v>74</v>
      </c>
      <c r="D808" t="s">
        <v>74</v>
      </c>
      <c r="E808" t="s">
        <v>74</v>
      </c>
      <c r="F808" t="s">
        <v>14690</v>
      </c>
      <c r="G808" t="s">
        <v>74</v>
      </c>
      <c r="H808" t="s">
        <v>74</v>
      </c>
      <c r="I808" t="s">
        <v>14691</v>
      </c>
      <c r="J808" t="s">
        <v>14619</v>
      </c>
      <c r="K808" t="s">
        <v>74</v>
      </c>
      <c r="L808" t="s">
        <v>74</v>
      </c>
      <c r="M808" t="s">
        <v>78</v>
      </c>
      <c r="N808" t="s">
        <v>79</v>
      </c>
      <c r="O808" t="s">
        <v>74</v>
      </c>
      <c r="P808" t="s">
        <v>74</v>
      </c>
      <c r="Q808" t="s">
        <v>74</v>
      </c>
      <c r="R808" t="s">
        <v>74</v>
      </c>
      <c r="S808" t="s">
        <v>74</v>
      </c>
      <c r="T808" t="s">
        <v>14692</v>
      </c>
      <c r="U808" t="s">
        <v>14693</v>
      </c>
      <c r="V808" t="s">
        <v>14694</v>
      </c>
      <c r="W808" t="s">
        <v>14695</v>
      </c>
      <c r="X808" t="s">
        <v>656</v>
      </c>
      <c r="Y808" t="s">
        <v>14696</v>
      </c>
      <c r="Z808" t="s">
        <v>14697</v>
      </c>
      <c r="AA808" t="s">
        <v>74</v>
      </c>
      <c r="AB808" t="s">
        <v>74</v>
      </c>
      <c r="AC808" t="s">
        <v>14698</v>
      </c>
      <c r="AD808" t="s">
        <v>11153</v>
      </c>
      <c r="AE808" t="s">
        <v>14699</v>
      </c>
      <c r="AF808" t="s">
        <v>74</v>
      </c>
      <c r="AG808">
        <v>100</v>
      </c>
      <c r="AH808">
        <v>30</v>
      </c>
      <c r="AI808">
        <v>32</v>
      </c>
      <c r="AJ808">
        <v>0</v>
      </c>
      <c r="AK808">
        <v>31</v>
      </c>
      <c r="AL808" t="s">
        <v>5648</v>
      </c>
      <c r="AM808" t="s">
        <v>5649</v>
      </c>
      <c r="AN808" t="s">
        <v>5650</v>
      </c>
      <c r="AO808" t="s">
        <v>14631</v>
      </c>
      <c r="AP808" t="s">
        <v>14632</v>
      </c>
      <c r="AQ808" t="s">
        <v>74</v>
      </c>
      <c r="AR808" t="s">
        <v>14633</v>
      </c>
      <c r="AS808" t="s">
        <v>14634</v>
      </c>
      <c r="AT808" t="s">
        <v>74</v>
      </c>
      <c r="AU808">
        <v>2010</v>
      </c>
      <c r="AV808">
        <v>415</v>
      </c>
      <c r="AW808" t="s">
        <v>74</v>
      </c>
      <c r="AX808" t="s">
        <v>74</v>
      </c>
      <c r="AY808" t="s">
        <v>74</v>
      </c>
      <c r="AZ808" t="s">
        <v>74</v>
      </c>
      <c r="BA808" t="s">
        <v>74</v>
      </c>
      <c r="BB808">
        <v>109</v>
      </c>
      <c r="BC808">
        <v>126</v>
      </c>
      <c r="BD808" t="s">
        <v>74</v>
      </c>
      <c r="BE808" t="s">
        <v>14700</v>
      </c>
      <c r="BF808" t="str">
        <f>HYPERLINK("http://dx.doi.org/10.3354/meps08735","http://dx.doi.org/10.3354/meps08735")</f>
        <v>http://dx.doi.org/10.3354/meps08735</v>
      </c>
      <c r="BG808" t="s">
        <v>74</v>
      </c>
      <c r="BH808" t="s">
        <v>74</v>
      </c>
      <c r="BI808">
        <v>18</v>
      </c>
      <c r="BJ808" t="s">
        <v>14636</v>
      </c>
      <c r="BK808" t="s">
        <v>102</v>
      </c>
      <c r="BL808" t="s">
        <v>14637</v>
      </c>
      <c r="BM808" t="s">
        <v>14701</v>
      </c>
      <c r="BN808" t="s">
        <v>74</v>
      </c>
      <c r="BO808" t="s">
        <v>104</v>
      </c>
      <c r="BP808" t="s">
        <v>74</v>
      </c>
      <c r="BQ808" t="s">
        <v>74</v>
      </c>
      <c r="BR808" t="s">
        <v>105</v>
      </c>
      <c r="BS808" t="s">
        <v>14702</v>
      </c>
      <c r="BT808" t="str">
        <f>HYPERLINK("https%3A%2F%2Fwww.webofscience.com%2Fwos%2Fwoscc%2Ffull-record%2FWOS:000283764600010","View Full Record in Web of Science")</f>
        <v>View Full Record in Web of Science</v>
      </c>
    </row>
    <row r="809" spans="1:72" x14ac:dyDescent="0.15">
      <c r="A809" t="s">
        <v>72</v>
      </c>
      <c r="B809" t="s">
        <v>14703</v>
      </c>
      <c r="C809" t="s">
        <v>74</v>
      </c>
      <c r="D809" t="s">
        <v>74</v>
      </c>
      <c r="E809" t="s">
        <v>74</v>
      </c>
      <c r="F809" t="s">
        <v>14704</v>
      </c>
      <c r="G809" t="s">
        <v>74</v>
      </c>
      <c r="H809" t="s">
        <v>74</v>
      </c>
      <c r="I809" t="s">
        <v>14705</v>
      </c>
      <c r="J809" t="s">
        <v>14619</v>
      </c>
      <c r="K809" t="s">
        <v>74</v>
      </c>
      <c r="L809" t="s">
        <v>74</v>
      </c>
      <c r="M809" t="s">
        <v>78</v>
      </c>
      <c r="N809" t="s">
        <v>79</v>
      </c>
      <c r="O809" t="s">
        <v>74</v>
      </c>
      <c r="P809" t="s">
        <v>74</v>
      </c>
      <c r="Q809" t="s">
        <v>74</v>
      </c>
      <c r="R809" t="s">
        <v>74</v>
      </c>
      <c r="S809" t="s">
        <v>74</v>
      </c>
      <c r="T809" t="s">
        <v>14706</v>
      </c>
      <c r="U809" t="s">
        <v>14707</v>
      </c>
      <c r="V809" t="s">
        <v>14708</v>
      </c>
      <c r="W809" t="s">
        <v>14709</v>
      </c>
      <c r="X809" t="s">
        <v>14710</v>
      </c>
      <c r="Y809" t="s">
        <v>14711</v>
      </c>
      <c r="Z809" t="s">
        <v>14712</v>
      </c>
      <c r="AA809" t="s">
        <v>14713</v>
      </c>
      <c r="AB809" t="s">
        <v>14714</v>
      </c>
      <c r="AC809" t="s">
        <v>14715</v>
      </c>
      <c r="AD809" t="s">
        <v>14715</v>
      </c>
      <c r="AE809" t="s">
        <v>14716</v>
      </c>
      <c r="AF809" t="s">
        <v>74</v>
      </c>
      <c r="AG809">
        <v>122</v>
      </c>
      <c r="AH809">
        <v>67</v>
      </c>
      <c r="AI809">
        <v>72</v>
      </c>
      <c r="AJ809">
        <v>6</v>
      </c>
      <c r="AK809">
        <v>120</v>
      </c>
      <c r="AL809" t="s">
        <v>5648</v>
      </c>
      <c r="AM809" t="s">
        <v>5649</v>
      </c>
      <c r="AN809" t="s">
        <v>5650</v>
      </c>
      <c r="AO809" t="s">
        <v>14631</v>
      </c>
      <c r="AP809" t="s">
        <v>14632</v>
      </c>
      <c r="AQ809" t="s">
        <v>74</v>
      </c>
      <c r="AR809" t="s">
        <v>14633</v>
      </c>
      <c r="AS809" t="s">
        <v>14634</v>
      </c>
      <c r="AT809" t="s">
        <v>74</v>
      </c>
      <c r="AU809">
        <v>2010</v>
      </c>
      <c r="AV809">
        <v>414</v>
      </c>
      <c r="AW809" t="s">
        <v>74</v>
      </c>
      <c r="AX809" t="s">
        <v>74</v>
      </c>
      <c r="AY809" t="s">
        <v>74</v>
      </c>
      <c r="AZ809" t="s">
        <v>74</v>
      </c>
      <c r="BA809" t="s">
        <v>74</v>
      </c>
      <c r="BB809">
        <v>267</v>
      </c>
      <c r="BC809">
        <v>291</v>
      </c>
      <c r="BD809" t="s">
        <v>74</v>
      </c>
      <c r="BE809" t="s">
        <v>14717</v>
      </c>
      <c r="BF809" t="str">
        <f>HYPERLINK("http://dx.doi.org/10.3354/meps08683","http://dx.doi.org/10.3354/meps08683")</f>
        <v>http://dx.doi.org/10.3354/meps08683</v>
      </c>
      <c r="BG809" t="s">
        <v>74</v>
      </c>
      <c r="BH809" t="s">
        <v>74</v>
      </c>
      <c r="BI809">
        <v>25</v>
      </c>
      <c r="BJ809" t="s">
        <v>14636</v>
      </c>
      <c r="BK809" t="s">
        <v>102</v>
      </c>
      <c r="BL809" t="s">
        <v>14637</v>
      </c>
      <c r="BM809" t="s">
        <v>14718</v>
      </c>
      <c r="BN809" t="s">
        <v>74</v>
      </c>
      <c r="BO809" t="s">
        <v>1561</v>
      </c>
      <c r="BP809" t="s">
        <v>74</v>
      </c>
      <c r="BQ809" t="s">
        <v>74</v>
      </c>
      <c r="BR809" t="s">
        <v>105</v>
      </c>
      <c r="BS809" t="s">
        <v>14719</v>
      </c>
      <c r="BT809" t="str">
        <f>HYPERLINK("https%3A%2F%2Fwww.webofscience.com%2Fwos%2Fwoscc%2Ffull-record%2FWOS:000281891100022","View Full Record in Web of Science")</f>
        <v>View Full Record in Web of Science</v>
      </c>
    </row>
    <row r="810" spans="1:72" x14ac:dyDescent="0.15">
      <c r="A810" t="s">
        <v>72</v>
      </c>
      <c r="B810" t="s">
        <v>14720</v>
      </c>
      <c r="C810" t="s">
        <v>74</v>
      </c>
      <c r="D810" t="s">
        <v>74</v>
      </c>
      <c r="E810" t="s">
        <v>74</v>
      </c>
      <c r="F810" t="s">
        <v>14721</v>
      </c>
      <c r="G810" t="s">
        <v>74</v>
      </c>
      <c r="H810" t="s">
        <v>74</v>
      </c>
      <c r="I810" t="s">
        <v>14722</v>
      </c>
      <c r="J810" t="s">
        <v>14619</v>
      </c>
      <c r="K810" t="s">
        <v>74</v>
      </c>
      <c r="L810" t="s">
        <v>74</v>
      </c>
      <c r="M810" t="s">
        <v>78</v>
      </c>
      <c r="N810" t="s">
        <v>79</v>
      </c>
      <c r="O810" t="s">
        <v>74</v>
      </c>
      <c r="P810" t="s">
        <v>74</v>
      </c>
      <c r="Q810" t="s">
        <v>74</v>
      </c>
      <c r="R810" t="s">
        <v>74</v>
      </c>
      <c r="S810" t="s">
        <v>74</v>
      </c>
      <c r="T810" t="s">
        <v>14723</v>
      </c>
      <c r="U810" t="s">
        <v>14724</v>
      </c>
      <c r="V810" t="s">
        <v>14725</v>
      </c>
      <c r="W810" t="s">
        <v>14726</v>
      </c>
      <c r="X810" t="s">
        <v>14727</v>
      </c>
      <c r="Y810" t="s">
        <v>14728</v>
      </c>
      <c r="Z810" t="s">
        <v>14729</v>
      </c>
      <c r="AA810" t="s">
        <v>74</v>
      </c>
      <c r="AB810" t="s">
        <v>14730</v>
      </c>
      <c r="AC810" t="s">
        <v>74</v>
      </c>
      <c r="AD810" t="s">
        <v>74</v>
      </c>
      <c r="AE810" t="s">
        <v>74</v>
      </c>
      <c r="AF810" t="s">
        <v>74</v>
      </c>
      <c r="AG810">
        <v>70</v>
      </c>
      <c r="AH810">
        <v>13</v>
      </c>
      <c r="AI810">
        <v>14</v>
      </c>
      <c r="AJ810">
        <v>0</v>
      </c>
      <c r="AK810">
        <v>12</v>
      </c>
      <c r="AL810" t="s">
        <v>5648</v>
      </c>
      <c r="AM810" t="s">
        <v>5649</v>
      </c>
      <c r="AN810" t="s">
        <v>5650</v>
      </c>
      <c r="AO810" t="s">
        <v>14631</v>
      </c>
      <c r="AP810" t="s">
        <v>14632</v>
      </c>
      <c r="AQ810" t="s">
        <v>74</v>
      </c>
      <c r="AR810" t="s">
        <v>14633</v>
      </c>
      <c r="AS810" t="s">
        <v>14634</v>
      </c>
      <c r="AT810" t="s">
        <v>74</v>
      </c>
      <c r="AU810">
        <v>2010</v>
      </c>
      <c r="AV810">
        <v>413</v>
      </c>
      <c r="AW810" t="s">
        <v>74</v>
      </c>
      <c r="AX810" t="s">
        <v>74</v>
      </c>
      <c r="AY810" t="s">
        <v>74</v>
      </c>
      <c r="AZ810" t="s">
        <v>74</v>
      </c>
      <c r="BA810" t="s">
        <v>74</v>
      </c>
      <c r="BB810">
        <v>105</v>
      </c>
      <c r="BC810">
        <v>115</v>
      </c>
      <c r="BD810" t="s">
        <v>74</v>
      </c>
      <c r="BE810" t="s">
        <v>14731</v>
      </c>
      <c r="BF810" t="str">
        <f>HYPERLINK("http://dx.doi.org/10.3354/meps08699","http://dx.doi.org/10.3354/meps08699")</f>
        <v>http://dx.doi.org/10.3354/meps08699</v>
      </c>
      <c r="BG810" t="s">
        <v>74</v>
      </c>
      <c r="BH810" t="s">
        <v>74</v>
      </c>
      <c r="BI810">
        <v>11</v>
      </c>
      <c r="BJ810" t="s">
        <v>14636</v>
      </c>
      <c r="BK810" t="s">
        <v>102</v>
      </c>
      <c r="BL810" t="s">
        <v>14637</v>
      </c>
      <c r="BM810" t="s">
        <v>14732</v>
      </c>
      <c r="BN810" t="s">
        <v>74</v>
      </c>
      <c r="BO810" t="s">
        <v>1807</v>
      </c>
      <c r="BP810" t="s">
        <v>74</v>
      </c>
      <c r="BQ810" t="s">
        <v>74</v>
      </c>
      <c r="BR810" t="s">
        <v>105</v>
      </c>
      <c r="BS810" t="s">
        <v>14733</v>
      </c>
      <c r="BT810" t="str">
        <f>HYPERLINK("https%3A%2F%2Fwww.webofscience.com%2Fwos%2Fwoscc%2Ffull-record%2FWOS:000281566900008","View Full Record in Web of Science")</f>
        <v>View Full Record in Web of Science</v>
      </c>
    </row>
    <row r="811" spans="1:72" x14ac:dyDescent="0.15">
      <c r="A811" t="s">
        <v>72</v>
      </c>
      <c r="B811" t="s">
        <v>14734</v>
      </c>
      <c r="C811" t="s">
        <v>74</v>
      </c>
      <c r="D811" t="s">
        <v>74</v>
      </c>
      <c r="E811" t="s">
        <v>74</v>
      </c>
      <c r="F811" t="s">
        <v>14735</v>
      </c>
      <c r="G811" t="s">
        <v>74</v>
      </c>
      <c r="H811" t="s">
        <v>74</v>
      </c>
      <c r="I811" t="s">
        <v>14736</v>
      </c>
      <c r="J811" t="s">
        <v>14619</v>
      </c>
      <c r="K811" t="s">
        <v>74</v>
      </c>
      <c r="L811" t="s">
        <v>74</v>
      </c>
      <c r="M811" t="s">
        <v>78</v>
      </c>
      <c r="N811" t="s">
        <v>79</v>
      </c>
      <c r="O811" t="s">
        <v>74</v>
      </c>
      <c r="P811" t="s">
        <v>74</v>
      </c>
      <c r="Q811" t="s">
        <v>74</v>
      </c>
      <c r="R811" t="s">
        <v>74</v>
      </c>
      <c r="S811" t="s">
        <v>74</v>
      </c>
      <c r="T811" t="s">
        <v>14737</v>
      </c>
      <c r="U811" t="s">
        <v>14738</v>
      </c>
      <c r="V811" t="s">
        <v>14739</v>
      </c>
      <c r="W811" t="s">
        <v>14740</v>
      </c>
      <c r="X811" t="s">
        <v>14741</v>
      </c>
      <c r="Y811" t="s">
        <v>14742</v>
      </c>
      <c r="Z811" t="s">
        <v>14743</v>
      </c>
      <c r="AA811" t="s">
        <v>14744</v>
      </c>
      <c r="AB811" t="s">
        <v>14745</v>
      </c>
      <c r="AC811" t="s">
        <v>14746</v>
      </c>
      <c r="AD811" t="s">
        <v>14746</v>
      </c>
      <c r="AE811" t="s">
        <v>14747</v>
      </c>
      <c r="AF811" t="s">
        <v>74</v>
      </c>
      <c r="AG811">
        <v>74</v>
      </c>
      <c r="AH811">
        <v>34</v>
      </c>
      <c r="AI811">
        <v>40</v>
      </c>
      <c r="AJ811">
        <v>2</v>
      </c>
      <c r="AK811">
        <v>46</v>
      </c>
      <c r="AL811" t="s">
        <v>5648</v>
      </c>
      <c r="AM811" t="s">
        <v>5649</v>
      </c>
      <c r="AN811" t="s">
        <v>5650</v>
      </c>
      <c r="AO811" t="s">
        <v>14631</v>
      </c>
      <c r="AP811" t="s">
        <v>14632</v>
      </c>
      <c r="AQ811" t="s">
        <v>74</v>
      </c>
      <c r="AR811" t="s">
        <v>14633</v>
      </c>
      <c r="AS811" t="s">
        <v>14634</v>
      </c>
      <c r="AT811" t="s">
        <v>74</v>
      </c>
      <c r="AU811">
        <v>2010</v>
      </c>
      <c r="AV811">
        <v>412</v>
      </c>
      <c r="AW811" t="s">
        <v>74</v>
      </c>
      <c r="AX811" t="s">
        <v>74</v>
      </c>
      <c r="AY811" t="s">
        <v>74</v>
      </c>
      <c r="AZ811" t="s">
        <v>74</v>
      </c>
      <c r="BA811" t="s">
        <v>74</v>
      </c>
      <c r="BB811">
        <v>293</v>
      </c>
      <c r="BC811">
        <v>304</v>
      </c>
      <c r="BD811" t="s">
        <v>74</v>
      </c>
      <c r="BE811" t="s">
        <v>14748</v>
      </c>
      <c r="BF811" t="str">
        <f>HYPERLINK("http://dx.doi.org/10.3354/meps08680","http://dx.doi.org/10.3354/meps08680")</f>
        <v>http://dx.doi.org/10.3354/meps08680</v>
      </c>
      <c r="BG811" t="s">
        <v>74</v>
      </c>
      <c r="BH811" t="s">
        <v>74</v>
      </c>
      <c r="BI811">
        <v>12</v>
      </c>
      <c r="BJ811" t="s">
        <v>14636</v>
      </c>
      <c r="BK811" t="s">
        <v>102</v>
      </c>
      <c r="BL811" t="s">
        <v>14637</v>
      </c>
      <c r="BM811" t="s">
        <v>14749</v>
      </c>
      <c r="BN811" t="s">
        <v>74</v>
      </c>
      <c r="BO811" t="s">
        <v>104</v>
      </c>
      <c r="BP811" t="s">
        <v>74</v>
      </c>
      <c r="BQ811" t="s">
        <v>74</v>
      </c>
      <c r="BR811" t="s">
        <v>105</v>
      </c>
      <c r="BS811" t="s">
        <v>14750</v>
      </c>
      <c r="BT811" t="str">
        <f>HYPERLINK("https%3A%2F%2Fwww.webofscience.com%2Fwos%2Fwoscc%2Ffull-record%2FWOS:000281565900024","View Full Record in Web of Science")</f>
        <v>View Full Record in Web of Science</v>
      </c>
    </row>
    <row r="812" spans="1:72" x14ac:dyDescent="0.15">
      <c r="A812" t="s">
        <v>72</v>
      </c>
      <c r="B812" t="s">
        <v>14751</v>
      </c>
      <c r="C812" t="s">
        <v>74</v>
      </c>
      <c r="D812" t="s">
        <v>74</v>
      </c>
      <c r="E812" t="s">
        <v>74</v>
      </c>
      <c r="F812" t="s">
        <v>14752</v>
      </c>
      <c r="G812" t="s">
        <v>74</v>
      </c>
      <c r="H812" t="s">
        <v>74</v>
      </c>
      <c r="I812" t="s">
        <v>14753</v>
      </c>
      <c r="J812" t="s">
        <v>14619</v>
      </c>
      <c r="K812" t="s">
        <v>74</v>
      </c>
      <c r="L812" t="s">
        <v>74</v>
      </c>
      <c r="M812" t="s">
        <v>78</v>
      </c>
      <c r="N812" t="s">
        <v>79</v>
      </c>
      <c r="O812" t="s">
        <v>74</v>
      </c>
      <c r="P812" t="s">
        <v>74</v>
      </c>
      <c r="Q812" t="s">
        <v>74</v>
      </c>
      <c r="R812" t="s">
        <v>74</v>
      </c>
      <c r="S812" t="s">
        <v>74</v>
      </c>
      <c r="T812" t="s">
        <v>14754</v>
      </c>
      <c r="U812" t="s">
        <v>14755</v>
      </c>
      <c r="V812" t="s">
        <v>14756</v>
      </c>
      <c r="W812" t="s">
        <v>14757</v>
      </c>
      <c r="X812" t="s">
        <v>14758</v>
      </c>
      <c r="Y812" t="s">
        <v>14759</v>
      </c>
      <c r="Z812" t="s">
        <v>14760</v>
      </c>
      <c r="AA812" t="s">
        <v>14761</v>
      </c>
      <c r="AB812" t="s">
        <v>14762</v>
      </c>
      <c r="AC812" t="s">
        <v>14763</v>
      </c>
      <c r="AD812" t="s">
        <v>14764</v>
      </c>
      <c r="AE812" t="s">
        <v>14765</v>
      </c>
      <c r="AF812" t="s">
        <v>74</v>
      </c>
      <c r="AG812">
        <v>52</v>
      </c>
      <c r="AH812">
        <v>21</v>
      </c>
      <c r="AI812">
        <v>25</v>
      </c>
      <c r="AJ812">
        <v>1</v>
      </c>
      <c r="AK812">
        <v>49</v>
      </c>
      <c r="AL812" t="s">
        <v>5648</v>
      </c>
      <c r="AM812" t="s">
        <v>5649</v>
      </c>
      <c r="AN812" t="s">
        <v>5650</v>
      </c>
      <c r="AO812" t="s">
        <v>14631</v>
      </c>
      <c r="AP812" t="s">
        <v>14632</v>
      </c>
      <c r="AQ812" t="s">
        <v>74</v>
      </c>
      <c r="AR812" t="s">
        <v>14633</v>
      </c>
      <c r="AS812" t="s">
        <v>14634</v>
      </c>
      <c r="AT812" t="s">
        <v>74</v>
      </c>
      <c r="AU812">
        <v>2010</v>
      </c>
      <c r="AV812">
        <v>411</v>
      </c>
      <c r="AW812" t="s">
        <v>74</v>
      </c>
      <c r="AX812" t="s">
        <v>74</v>
      </c>
      <c r="AY812" t="s">
        <v>74</v>
      </c>
      <c r="AZ812" t="s">
        <v>74</v>
      </c>
      <c r="BA812" t="s">
        <v>74</v>
      </c>
      <c r="BB812">
        <v>271</v>
      </c>
      <c r="BC812">
        <v>283</v>
      </c>
      <c r="BD812" t="s">
        <v>74</v>
      </c>
      <c r="BE812" t="s">
        <v>14766</v>
      </c>
      <c r="BF812" t="str">
        <f>HYPERLINK("http://dx.doi.org/10.3354/meps08606","http://dx.doi.org/10.3354/meps08606")</f>
        <v>http://dx.doi.org/10.3354/meps08606</v>
      </c>
      <c r="BG812" t="s">
        <v>74</v>
      </c>
      <c r="BH812" t="s">
        <v>74</v>
      </c>
      <c r="BI812">
        <v>13</v>
      </c>
      <c r="BJ812" t="s">
        <v>14636</v>
      </c>
      <c r="BK812" t="s">
        <v>102</v>
      </c>
      <c r="BL812" t="s">
        <v>14637</v>
      </c>
      <c r="BM812" t="s">
        <v>14767</v>
      </c>
      <c r="BN812" t="s">
        <v>74</v>
      </c>
      <c r="BO812" t="s">
        <v>104</v>
      </c>
      <c r="BP812" t="s">
        <v>74</v>
      </c>
      <c r="BQ812" t="s">
        <v>74</v>
      </c>
      <c r="BR812" t="s">
        <v>105</v>
      </c>
      <c r="BS812" t="s">
        <v>14768</v>
      </c>
      <c r="BT812" t="str">
        <f>HYPERLINK("https%3A%2F%2Fwww.webofscience.com%2Fwos%2Fwoscc%2Ffull-record%2FWOS:000280768100021","View Full Record in Web of Science")</f>
        <v>View Full Record in Web of Science</v>
      </c>
    </row>
    <row r="813" spans="1:72" x14ac:dyDescent="0.15">
      <c r="A813" t="s">
        <v>72</v>
      </c>
      <c r="B813" t="s">
        <v>14769</v>
      </c>
      <c r="C813" t="s">
        <v>74</v>
      </c>
      <c r="D813" t="s">
        <v>74</v>
      </c>
      <c r="E813" t="s">
        <v>74</v>
      </c>
      <c r="F813" t="s">
        <v>14770</v>
      </c>
      <c r="G813" t="s">
        <v>74</v>
      </c>
      <c r="H813" t="s">
        <v>74</v>
      </c>
      <c r="I813" t="s">
        <v>14771</v>
      </c>
      <c r="J813" t="s">
        <v>14619</v>
      </c>
      <c r="K813" t="s">
        <v>74</v>
      </c>
      <c r="L813" t="s">
        <v>74</v>
      </c>
      <c r="M813" t="s">
        <v>78</v>
      </c>
      <c r="N813" t="s">
        <v>79</v>
      </c>
      <c r="O813" t="s">
        <v>74</v>
      </c>
      <c r="P813" t="s">
        <v>74</v>
      </c>
      <c r="Q813" t="s">
        <v>74</v>
      </c>
      <c r="R813" t="s">
        <v>74</v>
      </c>
      <c r="S813" t="s">
        <v>74</v>
      </c>
      <c r="T813" t="s">
        <v>14772</v>
      </c>
      <c r="U813" t="s">
        <v>14773</v>
      </c>
      <c r="V813" t="s">
        <v>14774</v>
      </c>
      <c r="W813" t="s">
        <v>14775</v>
      </c>
      <c r="X813" t="s">
        <v>1893</v>
      </c>
      <c r="Y813" t="s">
        <v>14776</v>
      </c>
      <c r="Z813" t="s">
        <v>14777</v>
      </c>
      <c r="AA813" t="s">
        <v>74</v>
      </c>
      <c r="AB813" t="s">
        <v>74</v>
      </c>
      <c r="AC813" t="s">
        <v>74</v>
      </c>
      <c r="AD813" t="s">
        <v>74</v>
      </c>
      <c r="AE813" t="s">
        <v>74</v>
      </c>
      <c r="AF813" t="s">
        <v>74</v>
      </c>
      <c r="AG813">
        <v>30</v>
      </c>
      <c r="AH813">
        <v>18</v>
      </c>
      <c r="AI813">
        <v>20</v>
      </c>
      <c r="AJ813">
        <v>1</v>
      </c>
      <c r="AK813">
        <v>24</v>
      </c>
      <c r="AL813" t="s">
        <v>5648</v>
      </c>
      <c r="AM813" t="s">
        <v>5649</v>
      </c>
      <c r="AN813" t="s">
        <v>5650</v>
      </c>
      <c r="AO813" t="s">
        <v>14631</v>
      </c>
      <c r="AP813" t="s">
        <v>14632</v>
      </c>
      <c r="AQ813" t="s">
        <v>74</v>
      </c>
      <c r="AR813" t="s">
        <v>14633</v>
      </c>
      <c r="AS813" t="s">
        <v>14634</v>
      </c>
      <c r="AT813" t="s">
        <v>74</v>
      </c>
      <c r="AU813">
        <v>2010</v>
      </c>
      <c r="AV813">
        <v>410</v>
      </c>
      <c r="AW813" t="s">
        <v>74</v>
      </c>
      <c r="AX813" t="s">
        <v>74</v>
      </c>
      <c r="AY813" t="s">
        <v>74</v>
      </c>
      <c r="AZ813" t="s">
        <v>74</v>
      </c>
      <c r="BA813" t="s">
        <v>74</v>
      </c>
      <c r="BB813">
        <v>269</v>
      </c>
      <c r="BC813">
        <v>282</v>
      </c>
      <c r="BD813" t="s">
        <v>74</v>
      </c>
      <c r="BE813" t="s">
        <v>14778</v>
      </c>
      <c r="BF813" t="str">
        <f>HYPERLINK("http://dx.doi.org/10.3354/meps08629","http://dx.doi.org/10.3354/meps08629")</f>
        <v>http://dx.doi.org/10.3354/meps08629</v>
      </c>
      <c r="BG813" t="s">
        <v>74</v>
      </c>
      <c r="BH813" t="s">
        <v>74</v>
      </c>
      <c r="BI813">
        <v>14</v>
      </c>
      <c r="BJ813" t="s">
        <v>14636</v>
      </c>
      <c r="BK813" t="s">
        <v>102</v>
      </c>
      <c r="BL813" t="s">
        <v>14637</v>
      </c>
      <c r="BM813" t="s">
        <v>14779</v>
      </c>
      <c r="BN813" t="s">
        <v>74</v>
      </c>
      <c r="BO813" t="s">
        <v>104</v>
      </c>
      <c r="BP813" t="s">
        <v>74</v>
      </c>
      <c r="BQ813" t="s">
        <v>74</v>
      </c>
      <c r="BR813" t="s">
        <v>105</v>
      </c>
      <c r="BS813" t="s">
        <v>14780</v>
      </c>
      <c r="BT813" t="str">
        <f>HYPERLINK("https%3A%2F%2Fwww.webofscience.com%2Fwos%2Fwoscc%2Ffull-record%2FWOS:000280768000020","View Full Record in Web of Science")</f>
        <v>View Full Record in Web of Science</v>
      </c>
    </row>
    <row r="814" spans="1:72" x14ac:dyDescent="0.15">
      <c r="A814" t="s">
        <v>72</v>
      </c>
      <c r="B814" t="s">
        <v>14781</v>
      </c>
      <c r="C814" t="s">
        <v>74</v>
      </c>
      <c r="D814" t="s">
        <v>74</v>
      </c>
      <c r="E814" t="s">
        <v>74</v>
      </c>
      <c r="F814" t="s">
        <v>14782</v>
      </c>
      <c r="G814" t="s">
        <v>74</v>
      </c>
      <c r="H814" t="s">
        <v>74</v>
      </c>
      <c r="I814" t="s">
        <v>14783</v>
      </c>
      <c r="J814" t="s">
        <v>14619</v>
      </c>
      <c r="K814" t="s">
        <v>74</v>
      </c>
      <c r="L814" t="s">
        <v>74</v>
      </c>
      <c r="M814" t="s">
        <v>78</v>
      </c>
      <c r="N814" t="s">
        <v>79</v>
      </c>
      <c r="O814" t="s">
        <v>74</v>
      </c>
      <c r="P814" t="s">
        <v>74</v>
      </c>
      <c r="Q814" t="s">
        <v>74</v>
      </c>
      <c r="R814" t="s">
        <v>74</v>
      </c>
      <c r="S814" t="s">
        <v>74</v>
      </c>
      <c r="T814" t="s">
        <v>14784</v>
      </c>
      <c r="U814" t="s">
        <v>14785</v>
      </c>
      <c r="V814" t="s">
        <v>14786</v>
      </c>
      <c r="W814" t="s">
        <v>14787</v>
      </c>
      <c r="X814" t="s">
        <v>14788</v>
      </c>
      <c r="Y814" t="s">
        <v>14789</v>
      </c>
      <c r="Z814" t="s">
        <v>14790</v>
      </c>
      <c r="AA814" t="s">
        <v>14791</v>
      </c>
      <c r="AB814" t="s">
        <v>74</v>
      </c>
      <c r="AC814" t="s">
        <v>14792</v>
      </c>
      <c r="AD814" t="s">
        <v>14793</v>
      </c>
      <c r="AE814" t="s">
        <v>14794</v>
      </c>
      <c r="AF814" t="s">
        <v>74</v>
      </c>
      <c r="AG814">
        <v>72</v>
      </c>
      <c r="AH814">
        <v>29</v>
      </c>
      <c r="AI814">
        <v>41</v>
      </c>
      <c r="AJ814">
        <v>1</v>
      </c>
      <c r="AK814">
        <v>18</v>
      </c>
      <c r="AL814" t="s">
        <v>5648</v>
      </c>
      <c r="AM814" t="s">
        <v>5649</v>
      </c>
      <c r="AN814" t="s">
        <v>5650</v>
      </c>
      <c r="AO814" t="s">
        <v>14631</v>
      </c>
      <c r="AP814" t="s">
        <v>14632</v>
      </c>
      <c r="AQ814" t="s">
        <v>74</v>
      </c>
      <c r="AR814" t="s">
        <v>14633</v>
      </c>
      <c r="AS814" t="s">
        <v>14634</v>
      </c>
      <c r="AT814" t="s">
        <v>74</v>
      </c>
      <c r="AU814">
        <v>2010</v>
      </c>
      <c r="AV814">
        <v>409</v>
      </c>
      <c r="AW814" t="s">
        <v>74</v>
      </c>
      <c r="AX814" t="s">
        <v>74</v>
      </c>
      <c r="AY814" t="s">
        <v>74</v>
      </c>
      <c r="AZ814" t="s">
        <v>74</v>
      </c>
      <c r="BA814" t="s">
        <v>74</v>
      </c>
      <c r="BB814">
        <v>157</v>
      </c>
      <c r="BC814">
        <v>170</v>
      </c>
      <c r="BD814" t="s">
        <v>74</v>
      </c>
      <c r="BE814" t="s">
        <v>14795</v>
      </c>
      <c r="BF814" t="str">
        <f>HYPERLINK("http://dx.doi.org/10.3354/meps08602","http://dx.doi.org/10.3354/meps08602")</f>
        <v>http://dx.doi.org/10.3354/meps08602</v>
      </c>
      <c r="BG814" t="s">
        <v>74</v>
      </c>
      <c r="BH814" t="s">
        <v>74</v>
      </c>
      <c r="BI814">
        <v>14</v>
      </c>
      <c r="BJ814" t="s">
        <v>14636</v>
      </c>
      <c r="BK814" t="s">
        <v>102</v>
      </c>
      <c r="BL814" t="s">
        <v>14637</v>
      </c>
      <c r="BM814" t="s">
        <v>14796</v>
      </c>
      <c r="BN814" t="s">
        <v>74</v>
      </c>
      <c r="BO814" t="s">
        <v>104</v>
      </c>
      <c r="BP814" t="s">
        <v>74</v>
      </c>
      <c r="BQ814" t="s">
        <v>74</v>
      </c>
      <c r="BR814" t="s">
        <v>105</v>
      </c>
      <c r="BS814" t="s">
        <v>14797</v>
      </c>
      <c r="BT814" t="str">
        <f>HYPERLINK("https%3A%2F%2Fwww.webofscience.com%2Fwos%2Fwoscc%2Ffull-record%2FWOS:000279054000013","View Full Record in Web of Science")</f>
        <v>View Full Record in Web of Science</v>
      </c>
    </row>
    <row r="815" spans="1:72" x14ac:dyDescent="0.15">
      <c r="A815" t="s">
        <v>72</v>
      </c>
      <c r="B815" t="s">
        <v>14798</v>
      </c>
      <c r="C815" t="s">
        <v>74</v>
      </c>
      <c r="D815" t="s">
        <v>74</v>
      </c>
      <c r="E815" t="s">
        <v>74</v>
      </c>
      <c r="F815" t="s">
        <v>14799</v>
      </c>
      <c r="G815" t="s">
        <v>74</v>
      </c>
      <c r="H815" t="s">
        <v>74</v>
      </c>
      <c r="I815" t="s">
        <v>14800</v>
      </c>
      <c r="J815" t="s">
        <v>14619</v>
      </c>
      <c r="K815" t="s">
        <v>74</v>
      </c>
      <c r="L815" t="s">
        <v>74</v>
      </c>
      <c r="M815" t="s">
        <v>78</v>
      </c>
      <c r="N815" t="s">
        <v>79</v>
      </c>
      <c r="O815" t="s">
        <v>74</v>
      </c>
      <c r="P815" t="s">
        <v>74</v>
      </c>
      <c r="Q815" t="s">
        <v>74</v>
      </c>
      <c r="R815" t="s">
        <v>74</v>
      </c>
      <c r="S815" t="s">
        <v>74</v>
      </c>
      <c r="T815" t="s">
        <v>14801</v>
      </c>
      <c r="U815" t="s">
        <v>14802</v>
      </c>
      <c r="V815" t="s">
        <v>14803</v>
      </c>
      <c r="W815" t="s">
        <v>14804</v>
      </c>
      <c r="X815" t="s">
        <v>14805</v>
      </c>
      <c r="Y815" t="s">
        <v>14806</v>
      </c>
      <c r="Z815" t="s">
        <v>14807</v>
      </c>
      <c r="AA815" t="s">
        <v>14808</v>
      </c>
      <c r="AB815" t="s">
        <v>14809</v>
      </c>
      <c r="AC815" t="s">
        <v>14810</v>
      </c>
      <c r="AD815" t="s">
        <v>14810</v>
      </c>
      <c r="AE815" t="s">
        <v>14811</v>
      </c>
      <c r="AF815" t="s">
        <v>74</v>
      </c>
      <c r="AG815">
        <v>67</v>
      </c>
      <c r="AH815">
        <v>10</v>
      </c>
      <c r="AI815">
        <v>14</v>
      </c>
      <c r="AJ815">
        <v>1</v>
      </c>
      <c r="AK815">
        <v>22</v>
      </c>
      <c r="AL815" t="s">
        <v>5648</v>
      </c>
      <c r="AM815" t="s">
        <v>5649</v>
      </c>
      <c r="AN815" t="s">
        <v>5650</v>
      </c>
      <c r="AO815" t="s">
        <v>14631</v>
      </c>
      <c r="AP815" t="s">
        <v>14632</v>
      </c>
      <c r="AQ815" t="s">
        <v>74</v>
      </c>
      <c r="AR815" t="s">
        <v>14633</v>
      </c>
      <c r="AS815" t="s">
        <v>14634</v>
      </c>
      <c r="AT815" t="s">
        <v>74</v>
      </c>
      <c r="AU815">
        <v>2010</v>
      </c>
      <c r="AV815">
        <v>409</v>
      </c>
      <c r="AW815" t="s">
        <v>74</v>
      </c>
      <c r="AX815" t="s">
        <v>74</v>
      </c>
      <c r="AY815" t="s">
        <v>74</v>
      </c>
      <c r="AZ815" t="s">
        <v>74</v>
      </c>
      <c r="BA815" t="s">
        <v>74</v>
      </c>
      <c r="BB815">
        <v>255</v>
      </c>
      <c r="BC815" t="s">
        <v>14812</v>
      </c>
      <c r="BD815" t="s">
        <v>74</v>
      </c>
      <c r="BE815" t="s">
        <v>14813</v>
      </c>
      <c r="BF815" t="str">
        <f>HYPERLINK("http://dx.doi.org/10.3354/meps08611","http://dx.doi.org/10.3354/meps08611")</f>
        <v>http://dx.doi.org/10.3354/meps08611</v>
      </c>
      <c r="BG815" t="s">
        <v>74</v>
      </c>
      <c r="BH815" t="s">
        <v>74</v>
      </c>
      <c r="BI815">
        <v>14</v>
      </c>
      <c r="BJ815" t="s">
        <v>14636</v>
      </c>
      <c r="BK815" t="s">
        <v>102</v>
      </c>
      <c r="BL815" t="s">
        <v>14637</v>
      </c>
      <c r="BM815" t="s">
        <v>14796</v>
      </c>
      <c r="BN815" t="s">
        <v>74</v>
      </c>
      <c r="BO815" t="s">
        <v>104</v>
      </c>
      <c r="BP815" t="s">
        <v>74</v>
      </c>
      <c r="BQ815" t="s">
        <v>74</v>
      </c>
      <c r="BR815" t="s">
        <v>105</v>
      </c>
      <c r="BS815" t="s">
        <v>14814</v>
      </c>
      <c r="BT815" t="str">
        <f>HYPERLINK("https%3A%2F%2Fwww.webofscience.com%2Fwos%2Fwoscc%2Ffull-record%2FWOS:000279054000021","View Full Record in Web of Science")</f>
        <v>View Full Record in Web of Science</v>
      </c>
    </row>
    <row r="816" spans="1:72" x14ac:dyDescent="0.15">
      <c r="A816" t="s">
        <v>72</v>
      </c>
      <c r="B816" t="s">
        <v>14815</v>
      </c>
      <c r="C816" t="s">
        <v>74</v>
      </c>
      <c r="D816" t="s">
        <v>74</v>
      </c>
      <c r="E816" t="s">
        <v>74</v>
      </c>
      <c r="F816" t="s">
        <v>14816</v>
      </c>
      <c r="G816" t="s">
        <v>74</v>
      </c>
      <c r="H816" t="s">
        <v>74</v>
      </c>
      <c r="I816" t="s">
        <v>14817</v>
      </c>
      <c r="J816" t="s">
        <v>14619</v>
      </c>
      <c r="K816" t="s">
        <v>74</v>
      </c>
      <c r="L816" t="s">
        <v>74</v>
      </c>
      <c r="M816" t="s">
        <v>78</v>
      </c>
      <c r="N816" t="s">
        <v>79</v>
      </c>
      <c r="O816" t="s">
        <v>74</v>
      </c>
      <c r="P816" t="s">
        <v>74</v>
      </c>
      <c r="Q816" t="s">
        <v>74</v>
      </c>
      <c r="R816" t="s">
        <v>74</v>
      </c>
      <c r="S816" t="s">
        <v>74</v>
      </c>
      <c r="T816" t="s">
        <v>14818</v>
      </c>
      <c r="U816" t="s">
        <v>14819</v>
      </c>
      <c r="V816" t="s">
        <v>14820</v>
      </c>
      <c r="W816" t="s">
        <v>14821</v>
      </c>
      <c r="X816" t="s">
        <v>14822</v>
      </c>
      <c r="Y816" t="s">
        <v>14823</v>
      </c>
      <c r="Z816" t="s">
        <v>14824</v>
      </c>
      <c r="AA816" t="s">
        <v>14825</v>
      </c>
      <c r="AB816" t="s">
        <v>14826</v>
      </c>
      <c r="AC816" t="s">
        <v>14827</v>
      </c>
      <c r="AD816" t="s">
        <v>14828</v>
      </c>
      <c r="AE816" t="s">
        <v>14829</v>
      </c>
      <c r="AF816" t="s">
        <v>74</v>
      </c>
      <c r="AG816">
        <v>90</v>
      </c>
      <c r="AH816">
        <v>48</v>
      </c>
      <c r="AI816">
        <v>51</v>
      </c>
      <c r="AJ816">
        <v>2</v>
      </c>
      <c r="AK816">
        <v>25</v>
      </c>
      <c r="AL816" t="s">
        <v>5648</v>
      </c>
      <c r="AM816" t="s">
        <v>5649</v>
      </c>
      <c r="AN816" t="s">
        <v>5650</v>
      </c>
      <c r="AO816" t="s">
        <v>14631</v>
      </c>
      <c r="AP816" t="s">
        <v>14632</v>
      </c>
      <c r="AQ816" t="s">
        <v>74</v>
      </c>
      <c r="AR816" t="s">
        <v>14633</v>
      </c>
      <c r="AS816" t="s">
        <v>14634</v>
      </c>
      <c r="AT816" t="s">
        <v>74</v>
      </c>
      <c r="AU816">
        <v>2010</v>
      </c>
      <c r="AV816">
        <v>407</v>
      </c>
      <c r="AW816" t="s">
        <v>74</v>
      </c>
      <c r="AX816" t="s">
        <v>74</v>
      </c>
      <c r="AY816" t="s">
        <v>74</v>
      </c>
      <c r="AZ816" t="s">
        <v>74</v>
      </c>
      <c r="BA816" t="s">
        <v>74</v>
      </c>
      <c r="BB816">
        <v>27</v>
      </c>
      <c r="BC816">
        <v>42</v>
      </c>
      <c r="BD816" t="s">
        <v>74</v>
      </c>
      <c r="BE816" t="s">
        <v>14830</v>
      </c>
      <c r="BF816" t="str">
        <f>HYPERLINK("http://dx.doi.org/10.3354/meps08559","http://dx.doi.org/10.3354/meps08559")</f>
        <v>http://dx.doi.org/10.3354/meps08559</v>
      </c>
      <c r="BG816" t="s">
        <v>74</v>
      </c>
      <c r="BH816" t="s">
        <v>74</v>
      </c>
      <c r="BI816">
        <v>16</v>
      </c>
      <c r="BJ816" t="s">
        <v>14636</v>
      </c>
      <c r="BK816" t="s">
        <v>102</v>
      </c>
      <c r="BL816" t="s">
        <v>14637</v>
      </c>
      <c r="BM816" t="s">
        <v>14831</v>
      </c>
      <c r="BN816" t="s">
        <v>74</v>
      </c>
      <c r="BO816" t="s">
        <v>14832</v>
      </c>
      <c r="BP816" t="s">
        <v>74</v>
      </c>
      <c r="BQ816" t="s">
        <v>74</v>
      </c>
      <c r="BR816" t="s">
        <v>105</v>
      </c>
      <c r="BS816" t="s">
        <v>14833</v>
      </c>
      <c r="BT816" t="str">
        <f>HYPERLINK("https%3A%2F%2Fwww.webofscience.com%2Fwos%2Fwoscc%2Ffull-record%2FWOS:000278978600003","View Full Record in Web of Science")</f>
        <v>View Full Record in Web of Science</v>
      </c>
    </row>
    <row r="817" spans="1:72" x14ac:dyDescent="0.15">
      <c r="A817" t="s">
        <v>72</v>
      </c>
      <c r="B817" t="s">
        <v>14834</v>
      </c>
      <c r="C817" t="s">
        <v>74</v>
      </c>
      <c r="D817" t="s">
        <v>74</v>
      </c>
      <c r="E817" t="s">
        <v>74</v>
      </c>
      <c r="F817" t="s">
        <v>14835</v>
      </c>
      <c r="G817" t="s">
        <v>74</v>
      </c>
      <c r="H817" t="s">
        <v>74</v>
      </c>
      <c r="I817" t="s">
        <v>14836</v>
      </c>
      <c r="J817" t="s">
        <v>14619</v>
      </c>
      <c r="K817" t="s">
        <v>74</v>
      </c>
      <c r="L817" t="s">
        <v>74</v>
      </c>
      <c r="M817" t="s">
        <v>78</v>
      </c>
      <c r="N817" t="s">
        <v>79</v>
      </c>
      <c r="O817" t="s">
        <v>74</v>
      </c>
      <c r="P817" t="s">
        <v>74</v>
      </c>
      <c r="Q817" t="s">
        <v>74</v>
      </c>
      <c r="R817" t="s">
        <v>74</v>
      </c>
      <c r="S817" t="s">
        <v>74</v>
      </c>
      <c r="T817" t="s">
        <v>14837</v>
      </c>
      <c r="U817" t="s">
        <v>14838</v>
      </c>
      <c r="V817" t="s">
        <v>14839</v>
      </c>
      <c r="W817" t="s">
        <v>14840</v>
      </c>
      <c r="X817" t="s">
        <v>14841</v>
      </c>
      <c r="Y817" t="s">
        <v>14842</v>
      </c>
      <c r="Z817" t="s">
        <v>14843</v>
      </c>
      <c r="AA817" t="s">
        <v>14844</v>
      </c>
      <c r="AB817" t="s">
        <v>14845</v>
      </c>
      <c r="AC817" t="s">
        <v>14846</v>
      </c>
      <c r="AD817" t="s">
        <v>14847</v>
      </c>
      <c r="AE817" t="s">
        <v>14848</v>
      </c>
      <c r="AF817" t="s">
        <v>74</v>
      </c>
      <c r="AG817">
        <v>78</v>
      </c>
      <c r="AH817">
        <v>47</v>
      </c>
      <c r="AI817">
        <v>52</v>
      </c>
      <c r="AJ817">
        <v>3</v>
      </c>
      <c r="AK817">
        <v>32</v>
      </c>
      <c r="AL817" t="s">
        <v>5648</v>
      </c>
      <c r="AM817" t="s">
        <v>5649</v>
      </c>
      <c r="AN817" t="s">
        <v>5650</v>
      </c>
      <c r="AO817" t="s">
        <v>14631</v>
      </c>
      <c r="AP817" t="s">
        <v>14632</v>
      </c>
      <c r="AQ817" t="s">
        <v>74</v>
      </c>
      <c r="AR817" t="s">
        <v>14633</v>
      </c>
      <c r="AS817" t="s">
        <v>14634</v>
      </c>
      <c r="AT817" t="s">
        <v>74</v>
      </c>
      <c r="AU817">
        <v>2010</v>
      </c>
      <c r="AV817">
        <v>406</v>
      </c>
      <c r="AW817" t="s">
        <v>74</v>
      </c>
      <c r="AX817" t="s">
        <v>74</v>
      </c>
      <c r="AY817" t="s">
        <v>74</v>
      </c>
      <c r="AZ817" t="s">
        <v>74</v>
      </c>
      <c r="BA817" t="s">
        <v>74</v>
      </c>
      <c r="BB817">
        <v>121</v>
      </c>
      <c r="BC817">
        <v>133</v>
      </c>
      <c r="BD817" t="s">
        <v>74</v>
      </c>
      <c r="BE817" t="s">
        <v>14849</v>
      </c>
      <c r="BF817" t="str">
        <f>HYPERLINK("http://dx.doi.org/10.3354/meps08535","http://dx.doi.org/10.3354/meps08535")</f>
        <v>http://dx.doi.org/10.3354/meps08535</v>
      </c>
      <c r="BG817" t="s">
        <v>74</v>
      </c>
      <c r="BH817" t="s">
        <v>74</v>
      </c>
      <c r="BI817">
        <v>13</v>
      </c>
      <c r="BJ817" t="s">
        <v>14636</v>
      </c>
      <c r="BK817" t="s">
        <v>102</v>
      </c>
      <c r="BL817" t="s">
        <v>14637</v>
      </c>
      <c r="BM817" t="s">
        <v>14850</v>
      </c>
      <c r="BN817" t="s">
        <v>74</v>
      </c>
      <c r="BO817" t="s">
        <v>104</v>
      </c>
      <c r="BP817" t="s">
        <v>74</v>
      </c>
      <c r="BQ817" t="s">
        <v>74</v>
      </c>
      <c r="BR817" t="s">
        <v>105</v>
      </c>
      <c r="BS817" t="s">
        <v>14851</v>
      </c>
      <c r="BT817" t="str">
        <f>HYPERLINK("https%3A%2F%2Fwww.webofscience.com%2Fwos%2Fwoscc%2Ffull-record%2FWOS:000278441200010","View Full Record in Web of Science")</f>
        <v>View Full Record in Web of Science</v>
      </c>
    </row>
    <row r="818" spans="1:72" x14ac:dyDescent="0.15">
      <c r="A818" t="s">
        <v>72</v>
      </c>
      <c r="B818" t="s">
        <v>14852</v>
      </c>
      <c r="C818" t="s">
        <v>74</v>
      </c>
      <c r="D818" t="s">
        <v>74</v>
      </c>
      <c r="E818" t="s">
        <v>74</v>
      </c>
      <c r="F818" t="s">
        <v>14853</v>
      </c>
      <c r="G818" t="s">
        <v>74</v>
      </c>
      <c r="H818" t="s">
        <v>74</v>
      </c>
      <c r="I818" t="s">
        <v>14854</v>
      </c>
      <c r="J818" t="s">
        <v>14619</v>
      </c>
      <c r="K818" t="s">
        <v>74</v>
      </c>
      <c r="L818" t="s">
        <v>74</v>
      </c>
      <c r="M818" t="s">
        <v>78</v>
      </c>
      <c r="N818" t="s">
        <v>79</v>
      </c>
      <c r="O818" t="s">
        <v>74</v>
      </c>
      <c r="P818" t="s">
        <v>74</v>
      </c>
      <c r="Q818" t="s">
        <v>74</v>
      </c>
      <c r="R818" t="s">
        <v>74</v>
      </c>
      <c r="S818" t="s">
        <v>74</v>
      </c>
      <c r="T818" t="s">
        <v>14855</v>
      </c>
      <c r="U818" t="s">
        <v>14856</v>
      </c>
      <c r="V818" t="s">
        <v>14857</v>
      </c>
      <c r="W818" t="s">
        <v>14858</v>
      </c>
      <c r="X818" t="s">
        <v>14859</v>
      </c>
      <c r="Y818" t="s">
        <v>14860</v>
      </c>
      <c r="Z818" t="s">
        <v>14861</v>
      </c>
      <c r="AA818" t="s">
        <v>74</v>
      </c>
      <c r="AB818" t="s">
        <v>14862</v>
      </c>
      <c r="AC818" t="s">
        <v>14597</v>
      </c>
      <c r="AD818" t="s">
        <v>4729</v>
      </c>
      <c r="AE818" t="s">
        <v>74</v>
      </c>
      <c r="AF818" t="s">
        <v>74</v>
      </c>
      <c r="AG818">
        <v>47</v>
      </c>
      <c r="AH818">
        <v>72</v>
      </c>
      <c r="AI818">
        <v>78</v>
      </c>
      <c r="AJ818">
        <v>0</v>
      </c>
      <c r="AK818">
        <v>50</v>
      </c>
      <c r="AL818" t="s">
        <v>5648</v>
      </c>
      <c r="AM818" t="s">
        <v>5649</v>
      </c>
      <c r="AN818" t="s">
        <v>5650</v>
      </c>
      <c r="AO818" t="s">
        <v>14631</v>
      </c>
      <c r="AP818" t="s">
        <v>14632</v>
      </c>
      <c r="AQ818" t="s">
        <v>74</v>
      </c>
      <c r="AR818" t="s">
        <v>14633</v>
      </c>
      <c r="AS818" t="s">
        <v>14634</v>
      </c>
      <c r="AT818" t="s">
        <v>74</v>
      </c>
      <c r="AU818">
        <v>2010</v>
      </c>
      <c r="AV818">
        <v>406</v>
      </c>
      <c r="AW818" t="s">
        <v>74</v>
      </c>
      <c r="AX818" t="s">
        <v>74</v>
      </c>
      <c r="AY818" t="s">
        <v>74</v>
      </c>
      <c r="AZ818" t="s">
        <v>74</v>
      </c>
      <c r="BA818" t="s">
        <v>74</v>
      </c>
      <c r="BB818">
        <v>291</v>
      </c>
      <c r="BC818">
        <v>303</v>
      </c>
      <c r="BD818" t="s">
        <v>74</v>
      </c>
      <c r="BE818" t="s">
        <v>14863</v>
      </c>
      <c r="BF818" t="str">
        <f>HYPERLINK("http://dx.doi.org/10.3354/meps08532","http://dx.doi.org/10.3354/meps08532")</f>
        <v>http://dx.doi.org/10.3354/meps08532</v>
      </c>
      <c r="BG818" t="s">
        <v>74</v>
      </c>
      <c r="BH818" t="s">
        <v>74</v>
      </c>
      <c r="BI818">
        <v>13</v>
      </c>
      <c r="BJ818" t="s">
        <v>14636</v>
      </c>
      <c r="BK818" t="s">
        <v>102</v>
      </c>
      <c r="BL818" t="s">
        <v>14637</v>
      </c>
      <c r="BM818" t="s">
        <v>14850</v>
      </c>
      <c r="BN818" t="s">
        <v>74</v>
      </c>
      <c r="BO818" t="s">
        <v>104</v>
      </c>
      <c r="BP818" t="s">
        <v>74</v>
      </c>
      <c r="BQ818" t="s">
        <v>74</v>
      </c>
      <c r="BR818" t="s">
        <v>105</v>
      </c>
      <c r="BS818" t="s">
        <v>14864</v>
      </c>
      <c r="BT818" t="str">
        <f>HYPERLINK("https%3A%2F%2Fwww.webofscience.com%2Fwos%2Fwoscc%2Ffull-record%2FWOS:000278441200023","View Full Record in Web of Science")</f>
        <v>View Full Record in Web of Science</v>
      </c>
    </row>
    <row r="819" spans="1:72" x14ac:dyDescent="0.15">
      <c r="A819" t="s">
        <v>72</v>
      </c>
      <c r="B819" t="s">
        <v>14865</v>
      </c>
      <c r="C819" t="s">
        <v>74</v>
      </c>
      <c r="D819" t="s">
        <v>74</v>
      </c>
      <c r="E819" t="s">
        <v>74</v>
      </c>
      <c r="F819" t="s">
        <v>14866</v>
      </c>
      <c r="G819" t="s">
        <v>74</v>
      </c>
      <c r="H819" t="s">
        <v>74</v>
      </c>
      <c r="I819" t="s">
        <v>14867</v>
      </c>
      <c r="J819" t="s">
        <v>14619</v>
      </c>
      <c r="K819" t="s">
        <v>74</v>
      </c>
      <c r="L819" t="s">
        <v>74</v>
      </c>
      <c r="M819" t="s">
        <v>78</v>
      </c>
      <c r="N819" t="s">
        <v>79</v>
      </c>
      <c r="O819" t="s">
        <v>74</v>
      </c>
      <c r="P819" t="s">
        <v>74</v>
      </c>
      <c r="Q819" t="s">
        <v>74</v>
      </c>
      <c r="R819" t="s">
        <v>74</v>
      </c>
      <c r="S819" t="s">
        <v>74</v>
      </c>
      <c r="T819" t="s">
        <v>14868</v>
      </c>
      <c r="U819" t="s">
        <v>14869</v>
      </c>
      <c r="V819" t="s">
        <v>14870</v>
      </c>
      <c r="W819" t="s">
        <v>14871</v>
      </c>
      <c r="X819" t="s">
        <v>5611</v>
      </c>
      <c r="Y819" t="s">
        <v>14872</v>
      </c>
      <c r="Z819" t="s">
        <v>14873</v>
      </c>
      <c r="AA819" t="s">
        <v>14874</v>
      </c>
      <c r="AB819" t="s">
        <v>14875</v>
      </c>
      <c r="AC819" t="s">
        <v>14876</v>
      </c>
      <c r="AD819" t="s">
        <v>14877</v>
      </c>
      <c r="AE819" t="s">
        <v>14878</v>
      </c>
      <c r="AF819" t="s">
        <v>74</v>
      </c>
      <c r="AG819">
        <v>59</v>
      </c>
      <c r="AH819">
        <v>146</v>
      </c>
      <c r="AI819">
        <v>157</v>
      </c>
      <c r="AJ819">
        <v>0</v>
      </c>
      <c r="AK819">
        <v>41</v>
      </c>
      <c r="AL819" t="s">
        <v>5648</v>
      </c>
      <c r="AM819" t="s">
        <v>5649</v>
      </c>
      <c r="AN819" t="s">
        <v>5650</v>
      </c>
      <c r="AO819" t="s">
        <v>14631</v>
      </c>
      <c r="AP819" t="s">
        <v>74</v>
      </c>
      <c r="AQ819" t="s">
        <v>74</v>
      </c>
      <c r="AR819" t="s">
        <v>14633</v>
      </c>
      <c r="AS819" t="s">
        <v>14634</v>
      </c>
      <c r="AT819" t="s">
        <v>74</v>
      </c>
      <c r="AU819">
        <v>2010</v>
      </c>
      <c r="AV819">
        <v>405</v>
      </c>
      <c r="AW819" t="s">
        <v>74</v>
      </c>
      <c r="AX819" t="s">
        <v>74</v>
      </c>
      <c r="AY819" t="s">
        <v>74</v>
      </c>
      <c r="AZ819" t="s">
        <v>74</v>
      </c>
      <c r="BA819" t="s">
        <v>74</v>
      </c>
      <c r="BB819">
        <v>221</v>
      </c>
      <c r="BC819">
        <v>230</v>
      </c>
      <c r="BD819" t="s">
        <v>74</v>
      </c>
      <c r="BE819" t="s">
        <v>14879</v>
      </c>
      <c r="BF819" t="str">
        <f>HYPERLINK("http://dx.doi.org/10.3354/meps08523","http://dx.doi.org/10.3354/meps08523")</f>
        <v>http://dx.doi.org/10.3354/meps08523</v>
      </c>
      <c r="BG819" t="s">
        <v>74</v>
      </c>
      <c r="BH819" t="s">
        <v>74</v>
      </c>
      <c r="BI819">
        <v>10</v>
      </c>
      <c r="BJ819" t="s">
        <v>14636</v>
      </c>
      <c r="BK819" t="s">
        <v>102</v>
      </c>
      <c r="BL819" t="s">
        <v>14637</v>
      </c>
      <c r="BM819" t="s">
        <v>14880</v>
      </c>
      <c r="BN819" t="s">
        <v>74</v>
      </c>
      <c r="BO819" t="s">
        <v>104</v>
      </c>
      <c r="BP819" t="s">
        <v>74</v>
      </c>
      <c r="BQ819" t="s">
        <v>74</v>
      </c>
      <c r="BR819" t="s">
        <v>105</v>
      </c>
      <c r="BS819" t="s">
        <v>14881</v>
      </c>
      <c r="BT819" t="str">
        <f>HYPERLINK("https%3A%2F%2Fwww.webofscience.com%2Fwos%2Fwoscc%2Ffull-record%2FWOS:000278041300016","View Full Record in Web of Science")</f>
        <v>View Full Record in Web of Science</v>
      </c>
    </row>
    <row r="820" spans="1:72" x14ac:dyDescent="0.15">
      <c r="A820" t="s">
        <v>72</v>
      </c>
      <c r="B820" t="s">
        <v>14882</v>
      </c>
      <c r="C820" t="s">
        <v>74</v>
      </c>
      <c r="D820" t="s">
        <v>74</v>
      </c>
      <c r="E820" t="s">
        <v>74</v>
      </c>
      <c r="F820" t="s">
        <v>14883</v>
      </c>
      <c r="G820" t="s">
        <v>74</v>
      </c>
      <c r="H820" t="s">
        <v>74</v>
      </c>
      <c r="I820" t="s">
        <v>14884</v>
      </c>
      <c r="J820" t="s">
        <v>14619</v>
      </c>
      <c r="K820" t="s">
        <v>74</v>
      </c>
      <c r="L820" t="s">
        <v>74</v>
      </c>
      <c r="M820" t="s">
        <v>78</v>
      </c>
      <c r="N820" t="s">
        <v>79</v>
      </c>
      <c r="O820" t="s">
        <v>74</v>
      </c>
      <c r="P820" t="s">
        <v>74</v>
      </c>
      <c r="Q820" t="s">
        <v>74</v>
      </c>
      <c r="R820" t="s">
        <v>74</v>
      </c>
      <c r="S820" t="s">
        <v>74</v>
      </c>
      <c r="T820" t="s">
        <v>14885</v>
      </c>
      <c r="U820" t="s">
        <v>14886</v>
      </c>
      <c r="V820" t="s">
        <v>14887</v>
      </c>
      <c r="W820" t="s">
        <v>14888</v>
      </c>
      <c r="X820" t="s">
        <v>14889</v>
      </c>
      <c r="Y820" t="s">
        <v>14890</v>
      </c>
      <c r="Z820" t="s">
        <v>14891</v>
      </c>
      <c r="AA820" t="s">
        <v>74</v>
      </c>
      <c r="AB820" t="s">
        <v>74</v>
      </c>
      <c r="AC820" t="s">
        <v>14892</v>
      </c>
      <c r="AD820" t="s">
        <v>14893</v>
      </c>
      <c r="AE820" t="s">
        <v>14894</v>
      </c>
      <c r="AF820" t="s">
        <v>74</v>
      </c>
      <c r="AG820">
        <v>85</v>
      </c>
      <c r="AH820">
        <v>100</v>
      </c>
      <c r="AI820">
        <v>110</v>
      </c>
      <c r="AJ820">
        <v>1</v>
      </c>
      <c r="AK820">
        <v>39</v>
      </c>
      <c r="AL820" t="s">
        <v>5648</v>
      </c>
      <c r="AM820" t="s">
        <v>5649</v>
      </c>
      <c r="AN820" t="s">
        <v>5650</v>
      </c>
      <c r="AO820" t="s">
        <v>14631</v>
      </c>
      <c r="AP820" t="s">
        <v>14632</v>
      </c>
      <c r="AQ820" t="s">
        <v>74</v>
      </c>
      <c r="AR820" t="s">
        <v>14633</v>
      </c>
      <c r="AS820" t="s">
        <v>14634</v>
      </c>
      <c r="AT820" t="s">
        <v>74</v>
      </c>
      <c r="AU820">
        <v>2010</v>
      </c>
      <c r="AV820">
        <v>405</v>
      </c>
      <c r="AW820" t="s">
        <v>74</v>
      </c>
      <c r="AX820" t="s">
        <v>74</v>
      </c>
      <c r="AY820" t="s">
        <v>74</v>
      </c>
      <c r="AZ820" t="s">
        <v>74</v>
      </c>
      <c r="BA820" t="s">
        <v>74</v>
      </c>
      <c r="BB820">
        <v>255</v>
      </c>
      <c r="BC820">
        <v>269</v>
      </c>
      <c r="BD820" t="s">
        <v>74</v>
      </c>
      <c r="BE820" t="s">
        <v>14895</v>
      </c>
      <c r="BF820" t="str">
        <f>HYPERLINK("http://dx.doi.org/10.3354/meps08513","http://dx.doi.org/10.3354/meps08513")</f>
        <v>http://dx.doi.org/10.3354/meps08513</v>
      </c>
      <c r="BG820" t="s">
        <v>74</v>
      </c>
      <c r="BH820" t="s">
        <v>74</v>
      </c>
      <c r="BI820">
        <v>15</v>
      </c>
      <c r="BJ820" t="s">
        <v>14636</v>
      </c>
      <c r="BK820" t="s">
        <v>102</v>
      </c>
      <c r="BL820" t="s">
        <v>14637</v>
      </c>
      <c r="BM820" t="s">
        <v>14880</v>
      </c>
      <c r="BN820" t="s">
        <v>74</v>
      </c>
      <c r="BO820" t="s">
        <v>104</v>
      </c>
      <c r="BP820" t="s">
        <v>74</v>
      </c>
      <c r="BQ820" t="s">
        <v>74</v>
      </c>
      <c r="BR820" t="s">
        <v>105</v>
      </c>
      <c r="BS820" t="s">
        <v>14896</v>
      </c>
      <c r="BT820" t="str">
        <f>HYPERLINK("https%3A%2F%2Fwww.webofscience.com%2Fwos%2Fwoscc%2Ffull-record%2FWOS:000278041300019","View Full Record in Web of Science")</f>
        <v>View Full Record in Web of Science</v>
      </c>
    </row>
    <row r="821" spans="1:72" x14ac:dyDescent="0.15">
      <c r="A821" t="s">
        <v>72</v>
      </c>
      <c r="B821" t="s">
        <v>14897</v>
      </c>
      <c r="C821" t="s">
        <v>74</v>
      </c>
      <c r="D821" t="s">
        <v>74</v>
      </c>
      <c r="E821" t="s">
        <v>74</v>
      </c>
      <c r="F821" t="s">
        <v>14898</v>
      </c>
      <c r="G821" t="s">
        <v>74</v>
      </c>
      <c r="H821" t="s">
        <v>74</v>
      </c>
      <c r="I821" t="s">
        <v>14899</v>
      </c>
      <c r="J821" t="s">
        <v>14619</v>
      </c>
      <c r="K821" t="s">
        <v>74</v>
      </c>
      <c r="L821" t="s">
        <v>74</v>
      </c>
      <c r="M821" t="s">
        <v>78</v>
      </c>
      <c r="N821" t="s">
        <v>79</v>
      </c>
      <c r="O821" t="s">
        <v>74</v>
      </c>
      <c r="P821" t="s">
        <v>74</v>
      </c>
      <c r="Q821" t="s">
        <v>74</v>
      </c>
      <c r="R821" t="s">
        <v>74</v>
      </c>
      <c r="S821" t="s">
        <v>74</v>
      </c>
      <c r="T821" t="s">
        <v>14900</v>
      </c>
      <c r="U821" t="s">
        <v>14901</v>
      </c>
      <c r="V821" t="s">
        <v>14902</v>
      </c>
      <c r="W821" t="s">
        <v>14903</v>
      </c>
      <c r="X821" t="s">
        <v>14904</v>
      </c>
      <c r="Y821" t="s">
        <v>14905</v>
      </c>
      <c r="Z821" t="s">
        <v>14906</v>
      </c>
      <c r="AA821" t="s">
        <v>14907</v>
      </c>
      <c r="AB821" t="s">
        <v>74</v>
      </c>
      <c r="AC821" t="s">
        <v>74</v>
      </c>
      <c r="AD821" t="s">
        <v>74</v>
      </c>
      <c r="AE821" t="s">
        <v>74</v>
      </c>
      <c r="AF821" t="s">
        <v>74</v>
      </c>
      <c r="AG821">
        <v>67</v>
      </c>
      <c r="AH821">
        <v>34</v>
      </c>
      <c r="AI821">
        <v>36</v>
      </c>
      <c r="AJ821">
        <v>0</v>
      </c>
      <c r="AK821">
        <v>32</v>
      </c>
      <c r="AL821" t="s">
        <v>5648</v>
      </c>
      <c r="AM821" t="s">
        <v>5649</v>
      </c>
      <c r="AN821" t="s">
        <v>5650</v>
      </c>
      <c r="AO821" t="s">
        <v>14631</v>
      </c>
      <c r="AP821" t="s">
        <v>14632</v>
      </c>
      <c r="AQ821" t="s">
        <v>74</v>
      </c>
      <c r="AR821" t="s">
        <v>14633</v>
      </c>
      <c r="AS821" t="s">
        <v>14634</v>
      </c>
      <c r="AT821" t="s">
        <v>74</v>
      </c>
      <c r="AU821">
        <v>2010</v>
      </c>
      <c r="AV821">
        <v>405</v>
      </c>
      <c r="AW821" t="s">
        <v>74</v>
      </c>
      <c r="AX821" t="s">
        <v>74</v>
      </c>
      <c r="AY821" t="s">
        <v>74</v>
      </c>
      <c r="AZ821" t="s">
        <v>74</v>
      </c>
      <c r="BA821" t="s">
        <v>74</v>
      </c>
      <c r="BB821">
        <v>271</v>
      </c>
      <c r="BC821">
        <v>285</v>
      </c>
      <c r="BD821" t="s">
        <v>74</v>
      </c>
      <c r="BE821" t="s">
        <v>14908</v>
      </c>
      <c r="BF821" t="str">
        <f>HYPERLINK("http://dx.doi.org/10.3354/meps08590","http://dx.doi.org/10.3354/meps08590")</f>
        <v>http://dx.doi.org/10.3354/meps08590</v>
      </c>
      <c r="BG821" t="s">
        <v>74</v>
      </c>
      <c r="BH821" t="s">
        <v>74</v>
      </c>
      <c r="BI821">
        <v>15</v>
      </c>
      <c r="BJ821" t="s">
        <v>14636</v>
      </c>
      <c r="BK821" t="s">
        <v>102</v>
      </c>
      <c r="BL821" t="s">
        <v>14637</v>
      </c>
      <c r="BM821" t="s">
        <v>14880</v>
      </c>
      <c r="BN821" t="s">
        <v>74</v>
      </c>
      <c r="BO821" t="s">
        <v>104</v>
      </c>
      <c r="BP821" t="s">
        <v>74</v>
      </c>
      <c r="BQ821" t="s">
        <v>74</v>
      </c>
      <c r="BR821" t="s">
        <v>105</v>
      </c>
      <c r="BS821" t="s">
        <v>14909</v>
      </c>
      <c r="BT821" t="str">
        <f>HYPERLINK("https%3A%2F%2Fwww.webofscience.com%2Fwos%2Fwoscc%2Ffull-record%2FWOS:000278041300020","View Full Record in Web of Science")</f>
        <v>View Full Record in Web of Science</v>
      </c>
    </row>
    <row r="822" spans="1:72" x14ac:dyDescent="0.15">
      <c r="A822" t="s">
        <v>72</v>
      </c>
      <c r="B822" t="s">
        <v>14910</v>
      </c>
      <c r="C822" t="s">
        <v>74</v>
      </c>
      <c r="D822" t="s">
        <v>74</v>
      </c>
      <c r="E822" t="s">
        <v>74</v>
      </c>
      <c r="F822" t="s">
        <v>14911</v>
      </c>
      <c r="G822" t="s">
        <v>74</v>
      </c>
      <c r="H822" t="s">
        <v>74</v>
      </c>
      <c r="I822" t="s">
        <v>14912</v>
      </c>
      <c r="J822" t="s">
        <v>14619</v>
      </c>
      <c r="K822" t="s">
        <v>74</v>
      </c>
      <c r="L822" t="s">
        <v>74</v>
      </c>
      <c r="M822" t="s">
        <v>78</v>
      </c>
      <c r="N822" t="s">
        <v>79</v>
      </c>
      <c r="O822" t="s">
        <v>74</v>
      </c>
      <c r="P822" t="s">
        <v>74</v>
      </c>
      <c r="Q822" t="s">
        <v>74</v>
      </c>
      <c r="R822" t="s">
        <v>74</v>
      </c>
      <c r="S822" t="s">
        <v>74</v>
      </c>
      <c r="T822" t="s">
        <v>14913</v>
      </c>
      <c r="U822" t="s">
        <v>14914</v>
      </c>
      <c r="V822" t="s">
        <v>14915</v>
      </c>
      <c r="W822" t="s">
        <v>14916</v>
      </c>
      <c r="X822" t="s">
        <v>14917</v>
      </c>
      <c r="Y822" t="s">
        <v>14918</v>
      </c>
      <c r="Z822" t="s">
        <v>14919</v>
      </c>
      <c r="AA822" t="s">
        <v>74</v>
      </c>
      <c r="AB822" t="s">
        <v>74</v>
      </c>
      <c r="AC822" t="s">
        <v>14920</v>
      </c>
      <c r="AD822" t="s">
        <v>14921</v>
      </c>
      <c r="AE822" t="s">
        <v>14922</v>
      </c>
      <c r="AF822" t="s">
        <v>74</v>
      </c>
      <c r="AG822">
        <v>78</v>
      </c>
      <c r="AH822">
        <v>64</v>
      </c>
      <c r="AI822">
        <v>66</v>
      </c>
      <c r="AJ822">
        <v>1</v>
      </c>
      <c r="AK822">
        <v>59</v>
      </c>
      <c r="AL822" t="s">
        <v>5648</v>
      </c>
      <c r="AM822" t="s">
        <v>5649</v>
      </c>
      <c r="AN822" t="s">
        <v>5650</v>
      </c>
      <c r="AO822" t="s">
        <v>14631</v>
      </c>
      <c r="AP822" t="s">
        <v>14632</v>
      </c>
      <c r="AQ822" t="s">
        <v>74</v>
      </c>
      <c r="AR822" t="s">
        <v>14633</v>
      </c>
      <c r="AS822" t="s">
        <v>14634</v>
      </c>
      <c r="AT822" t="s">
        <v>74</v>
      </c>
      <c r="AU822">
        <v>2010</v>
      </c>
      <c r="AV822">
        <v>405</v>
      </c>
      <c r="AW822" t="s">
        <v>74</v>
      </c>
      <c r="AX822" t="s">
        <v>74</v>
      </c>
      <c r="AY822" t="s">
        <v>74</v>
      </c>
      <c r="AZ822" t="s">
        <v>74</v>
      </c>
      <c r="BA822" t="s">
        <v>74</v>
      </c>
      <c r="BB822">
        <v>287</v>
      </c>
      <c r="BC822">
        <v>302</v>
      </c>
      <c r="BD822" t="s">
        <v>74</v>
      </c>
      <c r="BE822" t="s">
        <v>14923</v>
      </c>
      <c r="BF822" t="str">
        <f>HYPERLINK("http://dx.doi.org/10.3354/meps08514","http://dx.doi.org/10.3354/meps08514")</f>
        <v>http://dx.doi.org/10.3354/meps08514</v>
      </c>
      <c r="BG822" t="s">
        <v>74</v>
      </c>
      <c r="BH822" t="s">
        <v>74</v>
      </c>
      <c r="BI822">
        <v>16</v>
      </c>
      <c r="BJ822" t="s">
        <v>14636</v>
      </c>
      <c r="BK822" t="s">
        <v>102</v>
      </c>
      <c r="BL822" t="s">
        <v>14637</v>
      </c>
      <c r="BM822" t="s">
        <v>14880</v>
      </c>
      <c r="BN822" t="s">
        <v>74</v>
      </c>
      <c r="BO822" t="s">
        <v>104</v>
      </c>
      <c r="BP822" t="s">
        <v>74</v>
      </c>
      <c r="BQ822" t="s">
        <v>74</v>
      </c>
      <c r="BR822" t="s">
        <v>105</v>
      </c>
      <c r="BS822" t="s">
        <v>14924</v>
      </c>
      <c r="BT822" t="str">
        <f>HYPERLINK("https%3A%2F%2Fwww.webofscience.com%2Fwos%2Fwoscc%2Ffull-record%2FWOS:000278041300021","View Full Record in Web of Science")</f>
        <v>View Full Record in Web of Science</v>
      </c>
    </row>
    <row r="823" spans="1:72" x14ac:dyDescent="0.15">
      <c r="A823" t="s">
        <v>72</v>
      </c>
      <c r="B823" t="s">
        <v>14925</v>
      </c>
      <c r="C823" t="s">
        <v>74</v>
      </c>
      <c r="D823" t="s">
        <v>74</v>
      </c>
      <c r="E823" t="s">
        <v>74</v>
      </c>
      <c r="F823" t="s">
        <v>14926</v>
      </c>
      <c r="G823" t="s">
        <v>74</v>
      </c>
      <c r="H823" t="s">
        <v>74</v>
      </c>
      <c r="I823" t="s">
        <v>14927</v>
      </c>
      <c r="J823" t="s">
        <v>14619</v>
      </c>
      <c r="K823" t="s">
        <v>74</v>
      </c>
      <c r="L823" t="s">
        <v>74</v>
      </c>
      <c r="M823" t="s">
        <v>78</v>
      </c>
      <c r="N823" t="s">
        <v>79</v>
      </c>
      <c r="O823" t="s">
        <v>74</v>
      </c>
      <c r="P823" t="s">
        <v>74</v>
      </c>
      <c r="Q823" t="s">
        <v>74</v>
      </c>
      <c r="R823" t="s">
        <v>74</v>
      </c>
      <c r="S823" t="s">
        <v>74</v>
      </c>
      <c r="T823" t="s">
        <v>14928</v>
      </c>
      <c r="U823" t="s">
        <v>14929</v>
      </c>
      <c r="V823" t="s">
        <v>14930</v>
      </c>
      <c r="W823" t="s">
        <v>14931</v>
      </c>
      <c r="X823" t="s">
        <v>14932</v>
      </c>
      <c r="Y823" t="s">
        <v>14933</v>
      </c>
      <c r="Z823" t="s">
        <v>14934</v>
      </c>
      <c r="AA823" t="s">
        <v>14935</v>
      </c>
      <c r="AB823" t="s">
        <v>14936</v>
      </c>
      <c r="AC823" t="s">
        <v>14937</v>
      </c>
      <c r="AD823" t="s">
        <v>14938</v>
      </c>
      <c r="AE823" t="s">
        <v>14939</v>
      </c>
      <c r="AF823" t="s">
        <v>74</v>
      </c>
      <c r="AG823">
        <v>71</v>
      </c>
      <c r="AH823">
        <v>81</v>
      </c>
      <c r="AI823">
        <v>83</v>
      </c>
      <c r="AJ823">
        <v>2</v>
      </c>
      <c r="AK823">
        <v>50</v>
      </c>
      <c r="AL823" t="s">
        <v>5648</v>
      </c>
      <c r="AM823" t="s">
        <v>5649</v>
      </c>
      <c r="AN823" t="s">
        <v>5650</v>
      </c>
      <c r="AO823" t="s">
        <v>14631</v>
      </c>
      <c r="AP823" t="s">
        <v>14632</v>
      </c>
      <c r="AQ823" t="s">
        <v>74</v>
      </c>
      <c r="AR823" t="s">
        <v>14633</v>
      </c>
      <c r="AS823" t="s">
        <v>14634</v>
      </c>
      <c r="AT823" t="s">
        <v>74</v>
      </c>
      <c r="AU823">
        <v>2010</v>
      </c>
      <c r="AV823">
        <v>404</v>
      </c>
      <c r="AW823" t="s">
        <v>74</v>
      </c>
      <c r="AX823" t="s">
        <v>74</v>
      </c>
      <c r="AY823" t="s">
        <v>74</v>
      </c>
      <c r="AZ823" t="s">
        <v>74</v>
      </c>
      <c r="BA823" t="s">
        <v>74</v>
      </c>
      <c r="BB823">
        <v>1</v>
      </c>
      <c r="BC823">
        <v>19</v>
      </c>
      <c r="BD823" t="s">
        <v>74</v>
      </c>
      <c r="BE823" t="s">
        <v>14940</v>
      </c>
      <c r="BF823" t="str">
        <f>HYPERLINK("http://dx.doi.org/10.3354/meps08557","http://dx.doi.org/10.3354/meps08557")</f>
        <v>http://dx.doi.org/10.3354/meps08557</v>
      </c>
      <c r="BG823" t="s">
        <v>74</v>
      </c>
      <c r="BH823" t="s">
        <v>74</v>
      </c>
      <c r="BI823">
        <v>19</v>
      </c>
      <c r="BJ823" t="s">
        <v>14636</v>
      </c>
      <c r="BK823" t="s">
        <v>102</v>
      </c>
      <c r="BL823" t="s">
        <v>14637</v>
      </c>
      <c r="BM823" t="s">
        <v>14941</v>
      </c>
      <c r="BN823" t="s">
        <v>74</v>
      </c>
      <c r="BO823" t="s">
        <v>13737</v>
      </c>
      <c r="BP823" t="s">
        <v>74</v>
      </c>
      <c r="BQ823" t="s">
        <v>74</v>
      </c>
      <c r="BR823" t="s">
        <v>105</v>
      </c>
      <c r="BS823" t="s">
        <v>14942</v>
      </c>
      <c r="BT823" t="str">
        <f>HYPERLINK("https%3A%2F%2Fwww.webofscience.com%2Fwos%2Fwoscc%2Ffull-record%2FWOS:000277230100001","View Full Record in Web of Science")</f>
        <v>View Full Record in Web of Science</v>
      </c>
    </row>
    <row r="824" spans="1:72" x14ac:dyDescent="0.15">
      <c r="A824" t="s">
        <v>72</v>
      </c>
      <c r="B824" t="s">
        <v>14943</v>
      </c>
      <c r="C824" t="s">
        <v>74</v>
      </c>
      <c r="D824" t="s">
        <v>74</v>
      </c>
      <c r="E824" t="s">
        <v>74</v>
      </c>
      <c r="F824" t="s">
        <v>14944</v>
      </c>
      <c r="G824" t="s">
        <v>74</v>
      </c>
      <c r="H824" t="s">
        <v>74</v>
      </c>
      <c r="I824" t="s">
        <v>14945</v>
      </c>
      <c r="J824" t="s">
        <v>14619</v>
      </c>
      <c r="K824" t="s">
        <v>74</v>
      </c>
      <c r="L824" t="s">
        <v>74</v>
      </c>
      <c r="M824" t="s">
        <v>78</v>
      </c>
      <c r="N824" t="s">
        <v>79</v>
      </c>
      <c r="O824" t="s">
        <v>74</v>
      </c>
      <c r="P824" t="s">
        <v>74</v>
      </c>
      <c r="Q824" t="s">
        <v>74</v>
      </c>
      <c r="R824" t="s">
        <v>74</v>
      </c>
      <c r="S824" t="s">
        <v>74</v>
      </c>
      <c r="T824" t="s">
        <v>14946</v>
      </c>
      <c r="U824" t="s">
        <v>14947</v>
      </c>
      <c r="V824" t="s">
        <v>14948</v>
      </c>
      <c r="W824" t="s">
        <v>14949</v>
      </c>
      <c r="X824" t="s">
        <v>14950</v>
      </c>
      <c r="Y824" t="s">
        <v>14951</v>
      </c>
      <c r="Z824" t="s">
        <v>14952</v>
      </c>
      <c r="AA824" t="s">
        <v>74</v>
      </c>
      <c r="AB824" t="s">
        <v>74</v>
      </c>
      <c r="AC824" t="s">
        <v>14953</v>
      </c>
      <c r="AD824" t="s">
        <v>14954</v>
      </c>
      <c r="AE824" t="s">
        <v>14955</v>
      </c>
      <c r="AF824" t="s">
        <v>74</v>
      </c>
      <c r="AG824">
        <v>54</v>
      </c>
      <c r="AH824">
        <v>30</v>
      </c>
      <c r="AI824">
        <v>37</v>
      </c>
      <c r="AJ824">
        <v>2</v>
      </c>
      <c r="AK824">
        <v>18</v>
      </c>
      <c r="AL824" t="s">
        <v>5648</v>
      </c>
      <c r="AM824" t="s">
        <v>5649</v>
      </c>
      <c r="AN824" t="s">
        <v>5650</v>
      </c>
      <c r="AO824" t="s">
        <v>14631</v>
      </c>
      <c r="AP824" t="s">
        <v>74</v>
      </c>
      <c r="AQ824" t="s">
        <v>74</v>
      </c>
      <c r="AR824" t="s">
        <v>14633</v>
      </c>
      <c r="AS824" t="s">
        <v>14634</v>
      </c>
      <c r="AT824" t="s">
        <v>74</v>
      </c>
      <c r="AU824">
        <v>2010</v>
      </c>
      <c r="AV824">
        <v>403</v>
      </c>
      <c r="AW824" t="s">
        <v>74</v>
      </c>
      <c r="AX824" t="s">
        <v>74</v>
      </c>
      <c r="AY824" t="s">
        <v>74</v>
      </c>
      <c r="AZ824" t="s">
        <v>74</v>
      </c>
      <c r="BA824" t="s">
        <v>74</v>
      </c>
      <c r="BB824">
        <v>1</v>
      </c>
      <c r="BC824">
        <v>11</v>
      </c>
      <c r="BD824" t="s">
        <v>74</v>
      </c>
      <c r="BE824" t="s">
        <v>14956</v>
      </c>
      <c r="BF824" t="str">
        <f>HYPERLINK("http://dx.doi.org/10.3354/meps08501","http://dx.doi.org/10.3354/meps08501")</f>
        <v>http://dx.doi.org/10.3354/meps08501</v>
      </c>
      <c r="BG824" t="s">
        <v>74</v>
      </c>
      <c r="BH824" t="s">
        <v>74</v>
      </c>
      <c r="BI824">
        <v>11</v>
      </c>
      <c r="BJ824" t="s">
        <v>14636</v>
      </c>
      <c r="BK824" t="s">
        <v>102</v>
      </c>
      <c r="BL824" t="s">
        <v>14637</v>
      </c>
      <c r="BM824" t="s">
        <v>14957</v>
      </c>
      <c r="BN824" t="s">
        <v>74</v>
      </c>
      <c r="BO824" t="s">
        <v>104</v>
      </c>
      <c r="BP824" t="s">
        <v>74</v>
      </c>
      <c r="BQ824" t="s">
        <v>74</v>
      </c>
      <c r="BR824" t="s">
        <v>105</v>
      </c>
      <c r="BS824" t="s">
        <v>14958</v>
      </c>
      <c r="BT824" t="str">
        <f>HYPERLINK("https%3A%2F%2Fwww.webofscience.com%2Fwos%2Fwoscc%2Ffull-record%2FWOS:000276799000001","View Full Record in Web of Science")</f>
        <v>View Full Record in Web of Science</v>
      </c>
    </row>
    <row r="825" spans="1:72" x14ac:dyDescent="0.15">
      <c r="A825" t="s">
        <v>72</v>
      </c>
      <c r="B825" t="s">
        <v>14959</v>
      </c>
      <c r="C825" t="s">
        <v>74</v>
      </c>
      <c r="D825" t="s">
        <v>74</v>
      </c>
      <c r="E825" t="s">
        <v>74</v>
      </c>
      <c r="F825" t="s">
        <v>14960</v>
      </c>
      <c r="G825" t="s">
        <v>74</v>
      </c>
      <c r="H825" t="s">
        <v>74</v>
      </c>
      <c r="I825" t="s">
        <v>14961</v>
      </c>
      <c r="J825" t="s">
        <v>14619</v>
      </c>
      <c r="K825" t="s">
        <v>74</v>
      </c>
      <c r="L825" t="s">
        <v>74</v>
      </c>
      <c r="M825" t="s">
        <v>78</v>
      </c>
      <c r="N825" t="s">
        <v>79</v>
      </c>
      <c r="O825" t="s">
        <v>74</v>
      </c>
      <c r="P825" t="s">
        <v>74</v>
      </c>
      <c r="Q825" t="s">
        <v>74</v>
      </c>
      <c r="R825" t="s">
        <v>74</v>
      </c>
      <c r="S825" t="s">
        <v>74</v>
      </c>
      <c r="T825" t="s">
        <v>14962</v>
      </c>
      <c r="U825" t="s">
        <v>14963</v>
      </c>
      <c r="V825" t="s">
        <v>14964</v>
      </c>
      <c r="W825" t="s">
        <v>14965</v>
      </c>
      <c r="X825" t="s">
        <v>14966</v>
      </c>
      <c r="Y825" t="s">
        <v>14967</v>
      </c>
      <c r="Z825" t="s">
        <v>14968</v>
      </c>
      <c r="AA825" t="s">
        <v>74</v>
      </c>
      <c r="AB825" t="s">
        <v>14969</v>
      </c>
      <c r="AC825" t="s">
        <v>14970</v>
      </c>
      <c r="AD825" t="s">
        <v>14971</v>
      </c>
      <c r="AE825" t="s">
        <v>14972</v>
      </c>
      <c r="AF825" t="s">
        <v>74</v>
      </c>
      <c r="AG825">
        <v>46</v>
      </c>
      <c r="AH825">
        <v>6</v>
      </c>
      <c r="AI825">
        <v>7</v>
      </c>
      <c r="AJ825">
        <v>0</v>
      </c>
      <c r="AK825">
        <v>6</v>
      </c>
      <c r="AL825" t="s">
        <v>5648</v>
      </c>
      <c r="AM825" t="s">
        <v>5649</v>
      </c>
      <c r="AN825" t="s">
        <v>5650</v>
      </c>
      <c r="AO825" t="s">
        <v>14631</v>
      </c>
      <c r="AP825" t="s">
        <v>74</v>
      </c>
      <c r="AQ825" t="s">
        <v>74</v>
      </c>
      <c r="AR825" t="s">
        <v>14633</v>
      </c>
      <c r="AS825" t="s">
        <v>14634</v>
      </c>
      <c r="AT825" t="s">
        <v>74</v>
      </c>
      <c r="AU825">
        <v>2010</v>
      </c>
      <c r="AV825">
        <v>401</v>
      </c>
      <c r="AW825" t="s">
        <v>74</v>
      </c>
      <c r="AX825" t="s">
        <v>74</v>
      </c>
      <c r="AY825" t="s">
        <v>74</v>
      </c>
      <c r="AZ825" t="s">
        <v>74</v>
      </c>
      <c r="BA825" t="s">
        <v>74</v>
      </c>
      <c r="BB825">
        <v>15</v>
      </c>
      <c r="BC825">
        <v>20</v>
      </c>
      <c r="BD825" t="s">
        <v>74</v>
      </c>
      <c r="BE825" t="s">
        <v>14973</v>
      </c>
      <c r="BF825" t="str">
        <f>HYPERLINK("http://dx.doi.org/10.3354/meps08446","http://dx.doi.org/10.3354/meps08446")</f>
        <v>http://dx.doi.org/10.3354/meps08446</v>
      </c>
      <c r="BG825" t="s">
        <v>74</v>
      </c>
      <c r="BH825" t="s">
        <v>74</v>
      </c>
      <c r="BI825">
        <v>6</v>
      </c>
      <c r="BJ825" t="s">
        <v>14636</v>
      </c>
      <c r="BK825" t="s">
        <v>102</v>
      </c>
      <c r="BL825" t="s">
        <v>14637</v>
      </c>
      <c r="BM825" t="s">
        <v>14974</v>
      </c>
      <c r="BN825" t="s">
        <v>74</v>
      </c>
      <c r="BO825" t="s">
        <v>346</v>
      </c>
      <c r="BP825" t="s">
        <v>74</v>
      </c>
      <c r="BQ825" t="s">
        <v>74</v>
      </c>
      <c r="BR825" t="s">
        <v>105</v>
      </c>
      <c r="BS825" t="s">
        <v>14975</v>
      </c>
      <c r="BT825" t="str">
        <f>HYPERLINK("https%3A%2F%2Fwww.webofscience.com%2Fwos%2Fwoscc%2Ffull-record%2FWOS:000276021600002","View Full Record in Web of Science")</f>
        <v>View Full Record in Web of Science</v>
      </c>
    </row>
    <row r="826" spans="1:72" x14ac:dyDescent="0.15">
      <c r="A826" t="s">
        <v>72</v>
      </c>
      <c r="B826" t="s">
        <v>14976</v>
      </c>
      <c r="C826" t="s">
        <v>74</v>
      </c>
      <c r="D826" t="s">
        <v>74</v>
      </c>
      <c r="E826" t="s">
        <v>74</v>
      </c>
      <c r="F826" t="s">
        <v>14977</v>
      </c>
      <c r="G826" t="s">
        <v>74</v>
      </c>
      <c r="H826" t="s">
        <v>74</v>
      </c>
      <c r="I826" t="s">
        <v>14978</v>
      </c>
      <c r="J826" t="s">
        <v>14619</v>
      </c>
      <c r="K826" t="s">
        <v>74</v>
      </c>
      <c r="L826" t="s">
        <v>74</v>
      </c>
      <c r="M826" t="s">
        <v>78</v>
      </c>
      <c r="N826" t="s">
        <v>79</v>
      </c>
      <c r="O826" t="s">
        <v>74</v>
      </c>
      <c r="P826" t="s">
        <v>74</v>
      </c>
      <c r="Q826" t="s">
        <v>74</v>
      </c>
      <c r="R826" t="s">
        <v>74</v>
      </c>
      <c r="S826" t="s">
        <v>74</v>
      </c>
      <c r="T826" t="s">
        <v>14979</v>
      </c>
      <c r="U826" t="s">
        <v>14980</v>
      </c>
      <c r="V826" t="s">
        <v>14981</v>
      </c>
      <c r="W826" t="s">
        <v>14982</v>
      </c>
      <c r="X826" t="s">
        <v>12002</v>
      </c>
      <c r="Y826" t="s">
        <v>14983</v>
      </c>
      <c r="Z826" t="s">
        <v>14984</v>
      </c>
      <c r="AA826" t="s">
        <v>4405</v>
      </c>
      <c r="AB826" t="s">
        <v>4406</v>
      </c>
      <c r="AC826" t="s">
        <v>14985</v>
      </c>
      <c r="AD826" t="s">
        <v>989</v>
      </c>
      <c r="AE826" t="s">
        <v>14986</v>
      </c>
      <c r="AF826" t="s">
        <v>74</v>
      </c>
      <c r="AG826">
        <v>46</v>
      </c>
      <c r="AH826">
        <v>66</v>
      </c>
      <c r="AI826">
        <v>72</v>
      </c>
      <c r="AJ826">
        <v>2</v>
      </c>
      <c r="AK826">
        <v>33</v>
      </c>
      <c r="AL826" t="s">
        <v>5648</v>
      </c>
      <c r="AM826" t="s">
        <v>5649</v>
      </c>
      <c r="AN826" t="s">
        <v>5650</v>
      </c>
      <c r="AO826" t="s">
        <v>14631</v>
      </c>
      <c r="AP826" t="s">
        <v>14632</v>
      </c>
      <c r="AQ826" t="s">
        <v>74</v>
      </c>
      <c r="AR826" t="s">
        <v>14633</v>
      </c>
      <c r="AS826" t="s">
        <v>14634</v>
      </c>
      <c r="AT826" t="s">
        <v>74</v>
      </c>
      <c r="AU826">
        <v>2010</v>
      </c>
      <c r="AV826">
        <v>400</v>
      </c>
      <c r="AW826" t="s">
        <v>74</v>
      </c>
      <c r="AX826" t="s">
        <v>74</v>
      </c>
      <c r="AY826" t="s">
        <v>74</v>
      </c>
      <c r="AZ826" t="s">
        <v>74</v>
      </c>
      <c r="BA826" t="s">
        <v>74</v>
      </c>
      <c r="BB826">
        <v>155</v>
      </c>
      <c r="BC826">
        <v>163</v>
      </c>
      <c r="BD826" t="s">
        <v>74</v>
      </c>
      <c r="BE826" t="s">
        <v>14987</v>
      </c>
      <c r="BF826" t="str">
        <f>HYPERLINK("http://dx.doi.org/10.3354/meps08399","http://dx.doi.org/10.3354/meps08399")</f>
        <v>http://dx.doi.org/10.3354/meps08399</v>
      </c>
      <c r="BG826" t="s">
        <v>74</v>
      </c>
      <c r="BH826" t="s">
        <v>74</v>
      </c>
      <c r="BI826">
        <v>9</v>
      </c>
      <c r="BJ826" t="s">
        <v>14636</v>
      </c>
      <c r="BK826" t="s">
        <v>102</v>
      </c>
      <c r="BL826" t="s">
        <v>14637</v>
      </c>
      <c r="BM826" t="s">
        <v>14988</v>
      </c>
      <c r="BN826" t="s">
        <v>74</v>
      </c>
      <c r="BO826" t="s">
        <v>104</v>
      </c>
      <c r="BP826" t="s">
        <v>74</v>
      </c>
      <c r="BQ826" t="s">
        <v>74</v>
      </c>
      <c r="BR826" t="s">
        <v>105</v>
      </c>
      <c r="BS826" t="s">
        <v>14989</v>
      </c>
      <c r="BT826" t="str">
        <f>HYPERLINK("https%3A%2F%2Fwww.webofscience.com%2Fwos%2Fwoscc%2Ffull-record%2FWOS:000275528300013","View Full Record in Web of Science")</f>
        <v>View Full Record in Web of Science</v>
      </c>
    </row>
    <row r="827" spans="1:72" x14ac:dyDescent="0.15">
      <c r="A827" t="s">
        <v>72</v>
      </c>
      <c r="B827" t="s">
        <v>14990</v>
      </c>
      <c r="C827" t="s">
        <v>74</v>
      </c>
      <c r="D827" t="s">
        <v>74</v>
      </c>
      <c r="E827" t="s">
        <v>74</v>
      </c>
      <c r="F827" t="s">
        <v>14991</v>
      </c>
      <c r="G827" t="s">
        <v>74</v>
      </c>
      <c r="H827" t="s">
        <v>74</v>
      </c>
      <c r="I827" t="s">
        <v>14992</v>
      </c>
      <c r="J827" t="s">
        <v>14619</v>
      </c>
      <c r="K827" t="s">
        <v>74</v>
      </c>
      <c r="L827" t="s">
        <v>74</v>
      </c>
      <c r="M827" t="s">
        <v>78</v>
      </c>
      <c r="N827" t="s">
        <v>79</v>
      </c>
      <c r="O827" t="s">
        <v>74</v>
      </c>
      <c r="P827" t="s">
        <v>74</v>
      </c>
      <c r="Q827" t="s">
        <v>74</v>
      </c>
      <c r="R827" t="s">
        <v>74</v>
      </c>
      <c r="S827" t="s">
        <v>74</v>
      </c>
      <c r="T827" t="s">
        <v>14993</v>
      </c>
      <c r="U827" t="s">
        <v>14994</v>
      </c>
      <c r="V827" t="s">
        <v>14995</v>
      </c>
      <c r="W827" t="s">
        <v>14996</v>
      </c>
      <c r="X827" t="s">
        <v>656</v>
      </c>
      <c r="Y827" t="s">
        <v>14997</v>
      </c>
      <c r="Z827" t="s">
        <v>14998</v>
      </c>
      <c r="AA827" t="s">
        <v>14999</v>
      </c>
      <c r="AB827" t="s">
        <v>74</v>
      </c>
      <c r="AC827" t="s">
        <v>15000</v>
      </c>
      <c r="AD827" t="s">
        <v>1972</v>
      </c>
      <c r="AE827" t="s">
        <v>74</v>
      </c>
      <c r="AF827" t="s">
        <v>74</v>
      </c>
      <c r="AG827">
        <v>36</v>
      </c>
      <c r="AH827">
        <v>26</v>
      </c>
      <c r="AI827">
        <v>27</v>
      </c>
      <c r="AJ827">
        <v>1</v>
      </c>
      <c r="AK827">
        <v>25</v>
      </c>
      <c r="AL827" t="s">
        <v>5648</v>
      </c>
      <c r="AM827" t="s">
        <v>5649</v>
      </c>
      <c r="AN827" t="s">
        <v>5650</v>
      </c>
      <c r="AO827" t="s">
        <v>14631</v>
      </c>
      <c r="AP827" t="s">
        <v>74</v>
      </c>
      <c r="AQ827" t="s">
        <v>74</v>
      </c>
      <c r="AR827" t="s">
        <v>14633</v>
      </c>
      <c r="AS827" t="s">
        <v>14634</v>
      </c>
      <c r="AT827" t="s">
        <v>74</v>
      </c>
      <c r="AU827">
        <v>2010</v>
      </c>
      <c r="AV827">
        <v>399</v>
      </c>
      <c r="AW827" t="s">
        <v>74</v>
      </c>
      <c r="AX827" t="s">
        <v>74</v>
      </c>
      <c r="AY827" t="s">
        <v>74</v>
      </c>
      <c r="AZ827" t="s">
        <v>74</v>
      </c>
      <c r="BA827" t="s">
        <v>74</v>
      </c>
      <c r="BB827">
        <v>243</v>
      </c>
      <c r="BC827">
        <v>252</v>
      </c>
      <c r="BD827" t="s">
        <v>74</v>
      </c>
      <c r="BE827" t="s">
        <v>15001</v>
      </c>
      <c r="BF827" t="str">
        <f>HYPERLINK("http://dx.doi.org/10.3354/meps08356","http://dx.doi.org/10.3354/meps08356")</f>
        <v>http://dx.doi.org/10.3354/meps08356</v>
      </c>
      <c r="BG827" t="s">
        <v>74</v>
      </c>
      <c r="BH827" t="s">
        <v>74</v>
      </c>
      <c r="BI827">
        <v>10</v>
      </c>
      <c r="BJ827" t="s">
        <v>14636</v>
      </c>
      <c r="BK827" t="s">
        <v>102</v>
      </c>
      <c r="BL827" t="s">
        <v>14637</v>
      </c>
      <c r="BM827" t="s">
        <v>15002</v>
      </c>
      <c r="BN827" t="s">
        <v>74</v>
      </c>
      <c r="BO827" t="s">
        <v>346</v>
      </c>
      <c r="BP827" t="s">
        <v>74</v>
      </c>
      <c r="BQ827" t="s">
        <v>74</v>
      </c>
      <c r="BR827" t="s">
        <v>105</v>
      </c>
      <c r="BS827" t="s">
        <v>15003</v>
      </c>
      <c r="BT827" t="str">
        <f>HYPERLINK("https%3A%2F%2Fwww.webofscience.com%2Fwos%2Fwoscc%2Ffull-record%2FWOS:000274774400019","View Full Record in Web of Science")</f>
        <v>View Full Record in Web of Science</v>
      </c>
    </row>
    <row r="828" spans="1:72" x14ac:dyDescent="0.15">
      <c r="A828" t="s">
        <v>72</v>
      </c>
      <c r="B828" t="s">
        <v>15004</v>
      </c>
      <c r="C828" t="s">
        <v>74</v>
      </c>
      <c r="D828" t="s">
        <v>74</v>
      </c>
      <c r="E828" t="s">
        <v>74</v>
      </c>
      <c r="F828" t="s">
        <v>15005</v>
      </c>
      <c r="G828" t="s">
        <v>74</v>
      </c>
      <c r="H828" t="s">
        <v>74</v>
      </c>
      <c r="I828" t="s">
        <v>15006</v>
      </c>
      <c r="J828" t="s">
        <v>14619</v>
      </c>
      <c r="K828" t="s">
        <v>74</v>
      </c>
      <c r="L828" t="s">
        <v>74</v>
      </c>
      <c r="M828" t="s">
        <v>78</v>
      </c>
      <c r="N828" t="s">
        <v>79</v>
      </c>
      <c r="O828" t="s">
        <v>74</v>
      </c>
      <c r="P828" t="s">
        <v>74</v>
      </c>
      <c r="Q828" t="s">
        <v>74</v>
      </c>
      <c r="R828" t="s">
        <v>74</v>
      </c>
      <c r="S828" t="s">
        <v>74</v>
      </c>
      <c r="T828" t="s">
        <v>15007</v>
      </c>
      <c r="U828" t="s">
        <v>15008</v>
      </c>
      <c r="V828" t="s">
        <v>15009</v>
      </c>
      <c r="W828" t="s">
        <v>15010</v>
      </c>
      <c r="X828" t="s">
        <v>15011</v>
      </c>
      <c r="Y828" t="s">
        <v>4980</v>
      </c>
      <c r="Z828" t="s">
        <v>15012</v>
      </c>
      <c r="AA828" t="s">
        <v>15013</v>
      </c>
      <c r="AB828" t="s">
        <v>15014</v>
      </c>
      <c r="AC828" t="s">
        <v>15015</v>
      </c>
      <c r="AD828" t="s">
        <v>15016</v>
      </c>
      <c r="AE828" t="s">
        <v>15017</v>
      </c>
      <c r="AF828" t="s">
        <v>74</v>
      </c>
      <c r="AG828">
        <v>69</v>
      </c>
      <c r="AH828">
        <v>88</v>
      </c>
      <c r="AI828">
        <v>98</v>
      </c>
      <c r="AJ828">
        <v>0</v>
      </c>
      <c r="AK828">
        <v>45</v>
      </c>
      <c r="AL828" t="s">
        <v>5648</v>
      </c>
      <c r="AM828" t="s">
        <v>5649</v>
      </c>
      <c r="AN828" t="s">
        <v>5650</v>
      </c>
      <c r="AO828" t="s">
        <v>14631</v>
      </c>
      <c r="AP828" t="s">
        <v>14632</v>
      </c>
      <c r="AQ828" t="s">
        <v>74</v>
      </c>
      <c r="AR828" t="s">
        <v>14633</v>
      </c>
      <c r="AS828" t="s">
        <v>14634</v>
      </c>
      <c r="AT828" t="s">
        <v>74</v>
      </c>
      <c r="AU828">
        <v>2010</v>
      </c>
      <c r="AV828">
        <v>398</v>
      </c>
      <c r="AW828" t="s">
        <v>74</v>
      </c>
      <c r="AX828" t="s">
        <v>74</v>
      </c>
      <c r="AY828" t="s">
        <v>74</v>
      </c>
      <c r="AZ828" t="s">
        <v>74</v>
      </c>
      <c r="BA828" t="s">
        <v>74</v>
      </c>
      <c r="BB828">
        <v>1</v>
      </c>
      <c r="BC828">
        <v>18</v>
      </c>
      <c r="BD828" t="s">
        <v>74</v>
      </c>
      <c r="BE828" t="s">
        <v>15018</v>
      </c>
      <c r="BF828" t="str">
        <f>HYPERLINK("http://dx.doi.org/10.3354/meps08371","http://dx.doi.org/10.3354/meps08371")</f>
        <v>http://dx.doi.org/10.3354/meps08371</v>
      </c>
      <c r="BG828" t="s">
        <v>74</v>
      </c>
      <c r="BH828" t="s">
        <v>74</v>
      </c>
      <c r="BI828">
        <v>18</v>
      </c>
      <c r="BJ828" t="s">
        <v>14636</v>
      </c>
      <c r="BK828" t="s">
        <v>102</v>
      </c>
      <c r="BL828" t="s">
        <v>14637</v>
      </c>
      <c r="BM828" t="s">
        <v>15019</v>
      </c>
      <c r="BN828" t="s">
        <v>74</v>
      </c>
      <c r="BO828" t="s">
        <v>15020</v>
      </c>
      <c r="BP828" t="s">
        <v>74</v>
      </c>
      <c r="BQ828" t="s">
        <v>74</v>
      </c>
      <c r="BR828" t="s">
        <v>105</v>
      </c>
      <c r="BS828" t="s">
        <v>15021</v>
      </c>
      <c r="BT828" t="str">
        <f>HYPERLINK("https%3A%2F%2Fwww.webofscience.com%2Fwos%2Fwoscc%2Ffull-record%2FWOS:000273968500001","View Full Record in Web of Science")</f>
        <v>View Full Record in Web of Science</v>
      </c>
    </row>
    <row r="829" spans="1:72" x14ac:dyDescent="0.15">
      <c r="A829" t="s">
        <v>8563</v>
      </c>
      <c r="B829" t="s">
        <v>15022</v>
      </c>
      <c r="C829" t="s">
        <v>74</v>
      </c>
      <c r="D829" t="s">
        <v>15023</v>
      </c>
      <c r="E829" t="s">
        <v>74</v>
      </c>
      <c r="F829" t="s">
        <v>15024</v>
      </c>
      <c r="G829" t="s">
        <v>74</v>
      </c>
      <c r="H829" t="s">
        <v>74</v>
      </c>
      <c r="I829" t="s">
        <v>15025</v>
      </c>
      <c r="J829" t="s">
        <v>15026</v>
      </c>
      <c r="K829" t="s">
        <v>74</v>
      </c>
      <c r="L829" t="s">
        <v>74</v>
      </c>
      <c r="M829" t="s">
        <v>78</v>
      </c>
      <c r="N829" t="s">
        <v>8859</v>
      </c>
      <c r="O829" t="s">
        <v>74</v>
      </c>
      <c r="P829" t="s">
        <v>74</v>
      </c>
      <c r="Q829" t="s">
        <v>74</v>
      </c>
      <c r="R829" t="s">
        <v>74</v>
      </c>
      <c r="S829" t="s">
        <v>74</v>
      </c>
      <c r="T829" t="s">
        <v>74</v>
      </c>
      <c r="U829" t="s">
        <v>74</v>
      </c>
      <c r="V829" t="s">
        <v>74</v>
      </c>
      <c r="W829" t="s">
        <v>15027</v>
      </c>
      <c r="X829" t="s">
        <v>15028</v>
      </c>
      <c r="Y829" t="s">
        <v>15029</v>
      </c>
      <c r="Z829" t="s">
        <v>74</v>
      </c>
      <c r="AA829" t="s">
        <v>15030</v>
      </c>
      <c r="AB829" t="s">
        <v>15031</v>
      </c>
      <c r="AC829" t="s">
        <v>74</v>
      </c>
      <c r="AD829" t="s">
        <v>74</v>
      </c>
      <c r="AE829" t="s">
        <v>74</v>
      </c>
      <c r="AF829" t="s">
        <v>74</v>
      </c>
      <c r="AG829">
        <v>0</v>
      </c>
      <c r="AH829">
        <v>15</v>
      </c>
      <c r="AI829">
        <v>15</v>
      </c>
      <c r="AJ829">
        <v>0</v>
      </c>
      <c r="AK829">
        <v>3</v>
      </c>
      <c r="AL829" t="s">
        <v>1508</v>
      </c>
      <c r="AM829" t="s">
        <v>225</v>
      </c>
      <c r="AN829" t="s">
        <v>15032</v>
      </c>
      <c r="AO829" t="s">
        <v>74</v>
      </c>
      <c r="AP829" t="s">
        <v>74</v>
      </c>
      <c r="AQ829" t="s">
        <v>15033</v>
      </c>
      <c r="AR829" t="s">
        <v>74</v>
      </c>
      <c r="AS829" t="s">
        <v>74</v>
      </c>
      <c r="AT829" t="s">
        <v>74</v>
      </c>
      <c r="AU829">
        <v>2010</v>
      </c>
      <c r="AV829" t="s">
        <v>74</v>
      </c>
      <c r="AW829" t="s">
        <v>74</v>
      </c>
      <c r="AX829" t="s">
        <v>74</v>
      </c>
      <c r="AY829" t="s">
        <v>74</v>
      </c>
      <c r="AZ829" t="s">
        <v>74</v>
      </c>
      <c r="BA829" t="s">
        <v>74</v>
      </c>
      <c r="BB829">
        <v>11</v>
      </c>
      <c r="BC829">
        <v>39</v>
      </c>
      <c r="BD829" t="s">
        <v>74</v>
      </c>
      <c r="BE829" t="s">
        <v>74</v>
      </c>
      <c r="BF829" t="s">
        <v>74</v>
      </c>
      <c r="BG829" t="s">
        <v>15034</v>
      </c>
      <c r="BH829" t="s">
        <v>74</v>
      </c>
      <c r="BI829">
        <v>29</v>
      </c>
      <c r="BJ829" t="s">
        <v>15035</v>
      </c>
      <c r="BK829" t="s">
        <v>8579</v>
      </c>
      <c r="BL829" t="s">
        <v>14637</v>
      </c>
      <c r="BM829" t="s">
        <v>15036</v>
      </c>
      <c r="BN829" t="s">
        <v>74</v>
      </c>
      <c r="BO829" t="s">
        <v>555</v>
      </c>
      <c r="BP829" t="s">
        <v>74</v>
      </c>
      <c r="BQ829" t="s">
        <v>74</v>
      </c>
      <c r="BR829" t="s">
        <v>105</v>
      </c>
      <c r="BS829" t="s">
        <v>15037</v>
      </c>
      <c r="BT829" t="str">
        <f>HYPERLINK("https%3A%2F%2Fwww.webofscience.com%2Fwos%2Fwoscc%2Ffull-record%2FWOS:000355183500004","View Full Record in Web of Science")</f>
        <v>View Full Record in Web of Science</v>
      </c>
    </row>
    <row r="830" spans="1:72" x14ac:dyDescent="0.15">
      <c r="A830" t="s">
        <v>8563</v>
      </c>
      <c r="B830" t="s">
        <v>15038</v>
      </c>
      <c r="C830" t="s">
        <v>74</v>
      </c>
      <c r="D830" t="s">
        <v>15023</v>
      </c>
      <c r="E830" t="s">
        <v>74</v>
      </c>
      <c r="F830" t="s">
        <v>15039</v>
      </c>
      <c r="G830" t="s">
        <v>74</v>
      </c>
      <c r="H830" t="s">
        <v>74</v>
      </c>
      <c r="I830" t="s">
        <v>15040</v>
      </c>
      <c r="J830" t="s">
        <v>15026</v>
      </c>
      <c r="K830" t="s">
        <v>74</v>
      </c>
      <c r="L830" t="s">
        <v>74</v>
      </c>
      <c r="M830" t="s">
        <v>78</v>
      </c>
      <c r="N830" t="s">
        <v>8859</v>
      </c>
      <c r="O830" t="s">
        <v>74</v>
      </c>
      <c r="P830" t="s">
        <v>74</v>
      </c>
      <c r="Q830" t="s">
        <v>74</v>
      </c>
      <c r="R830" t="s">
        <v>74</v>
      </c>
      <c r="S830" t="s">
        <v>74</v>
      </c>
      <c r="T830" t="s">
        <v>74</v>
      </c>
      <c r="U830" t="s">
        <v>74</v>
      </c>
      <c r="V830" t="s">
        <v>74</v>
      </c>
      <c r="W830" t="s">
        <v>15041</v>
      </c>
      <c r="X830" t="s">
        <v>15042</v>
      </c>
      <c r="Y830" t="s">
        <v>15043</v>
      </c>
      <c r="Z830" t="s">
        <v>74</v>
      </c>
      <c r="AA830" t="s">
        <v>15044</v>
      </c>
      <c r="AB830" t="s">
        <v>15045</v>
      </c>
      <c r="AC830" t="s">
        <v>74</v>
      </c>
      <c r="AD830" t="s">
        <v>74</v>
      </c>
      <c r="AE830" t="s">
        <v>74</v>
      </c>
      <c r="AF830" t="s">
        <v>74</v>
      </c>
      <c r="AG830">
        <v>0</v>
      </c>
      <c r="AH830">
        <v>13</v>
      </c>
      <c r="AI830">
        <v>13</v>
      </c>
      <c r="AJ830">
        <v>0</v>
      </c>
      <c r="AK830">
        <v>1</v>
      </c>
      <c r="AL830" t="s">
        <v>1508</v>
      </c>
      <c r="AM830" t="s">
        <v>225</v>
      </c>
      <c r="AN830" t="s">
        <v>15032</v>
      </c>
      <c r="AO830" t="s">
        <v>74</v>
      </c>
      <c r="AP830" t="s">
        <v>74</v>
      </c>
      <c r="AQ830" t="s">
        <v>15033</v>
      </c>
      <c r="AR830" t="s">
        <v>74</v>
      </c>
      <c r="AS830" t="s">
        <v>74</v>
      </c>
      <c r="AT830" t="s">
        <v>74</v>
      </c>
      <c r="AU830">
        <v>2010</v>
      </c>
      <c r="AV830" t="s">
        <v>74</v>
      </c>
      <c r="AW830" t="s">
        <v>74</v>
      </c>
      <c r="AX830" t="s">
        <v>74</v>
      </c>
      <c r="AY830" t="s">
        <v>74</v>
      </c>
      <c r="AZ830" t="s">
        <v>74</v>
      </c>
      <c r="BA830" t="s">
        <v>74</v>
      </c>
      <c r="BB830">
        <v>179</v>
      </c>
      <c r="BC830">
        <v>218</v>
      </c>
      <c r="BD830" t="s">
        <v>74</v>
      </c>
      <c r="BE830" t="s">
        <v>74</v>
      </c>
      <c r="BF830" t="s">
        <v>74</v>
      </c>
      <c r="BG830" t="s">
        <v>15034</v>
      </c>
      <c r="BH830" t="s">
        <v>74</v>
      </c>
      <c r="BI830">
        <v>40</v>
      </c>
      <c r="BJ830" t="s">
        <v>15035</v>
      </c>
      <c r="BK830" t="s">
        <v>8579</v>
      </c>
      <c r="BL830" t="s">
        <v>14637</v>
      </c>
      <c r="BM830" t="s">
        <v>15036</v>
      </c>
      <c r="BN830" t="s">
        <v>74</v>
      </c>
      <c r="BO830" t="s">
        <v>555</v>
      </c>
      <c r="BP830" t="s">
        <v>74</v>
      </c>
      <c r="BQ830" t="s">
        <v>74</v>
      </c>
      <c r="BR830" t="s">
        <v>105</v>
      </c>
      <c r="BS830" t="s">
        <v>15046</v>
      </c>
      <c r="BT830" t="str">
        <f>HYPERLINK("https%3A%2F%2Fwww.webofscience.com%2Fwos%2Fwoscc%2Ffull-record%2FWOS:000355183500010","View Full Record in Web of Science")</f>
        <v>View Full Record in Web of Science</v>
      </c>
    </row>
    <row r="831" spans="1:72" x14ac:dyDescent="0.15">
      <c r="A831" t="s">
        <v>72</v>
      </c>
      <c r="B831" t="s">
        <v>15047</v>
      </c>
      <c r="C831" t="s">
        <v>74</v>
      </c>
      <c r="D831" t="s">
        <v>74</v>
      </c>
      <c r="E831" t="s">
        <v>74</v>
      </c>
      <c r="F831" t="s">
        <v>15048</v>
      </c>
      <c r="G831" t="s">
        <v>74</v>
      </c>
      <c r="H831" t="s">
        <v>74</v>
      </c>
      <c r="I831" t="s">
        <v>15049</v>
      </c>
      <c r="J831" t="s">
        <v>2299</v>
      </c>
      <c r="K831" t="s">
        <v>74</v>
      </c>
      <c r="L831" t="s">
        <v>74</v>
      </c>
      <c r="M831" t="s">
        <v>78</v>
      </c>
      <c r="N831" t="s">
        <v>79</v>
      </c>
      <c r="O831" t="s">
        <v>74</v>
      </c>
      <c r="P831" t="s">
        <v>74</v>
      </c>
      <c r="Q831" t="s">
        <v>74</v>
      </c>
      <c r="R831" t="s">
        <v>74</v>
      </c>
      <c r="S831" t="s">
        <v>74</v>
      </c>
      <c r="T831" t="s">
        <v>15050</v>
      </c>
      <c r="U831" t="s">
        <v>15051</v>
      </c>
      <c r="V831" t="s">
        <v>15052</v>
      </c>
      <c r="W831" t="s">
        <v>15053</v>
      </c>
      <c r="X831" t="s">
        <v>6962</v>
      </c>
      <c r="Y831" t="s">
        <v>15054</v>
      </c>
      <c r="Z831" t="s">
        <v>15055</v>
      </c>
      <c r="AA831" t="s">
        <v>15056</v>
      </c>
      <c r="AB831" t="s">
        <v>15057</v>
      </c>
      <c r="AC831" t="s">
        <v>15058</v>
      </c>
      <c r="AD831" t="s">
        <v>15058</v>
      </c>
      <c r="AE831" t="s">
        <v>15059</v>
      </c>
      <c r="AF831" t="s">
        <v>74</v>
      </c>
      <c r="AG831">
        <v>47</v>
      </c>
      <c r="AH831">
        <v>9</v>
      </c>
      <c r="AI831">
        <v>9</v>
      </c>
      <c r="AJ831">
        <v>0</v>
      </c>
      <c r="AK831">
        <v>7</v>
      </c>
      <c r="AL831" t="s">
        <v>1654</v>
      </c>
      <c r="AM831" t="s">
        <v>1655</v>
      </c>
      <c r="AN831" t="s">
        <v>1656</v>
      </c>
      <c r="AO831" t="s">
        <v>2313</v>
      </c>
      <c r="AP831" t="s">
        <v>74</v>
      </c>
      <c r="AQ831" t="s">
        <v>74</v>
      </c>
      <c r="AR831" t="s">
        <v>2315</v>
      </c>
      <c r="AS831" t="s">
        <v>2316</v>
      </c>
      <c r="AT831" t="s">
        <v>8958</v>
      </c>
      <c r="AU831">
        <v>2010</v>
      </c>
      <c r="AV831">
        <v>26</v>
      </c>
      <c r="AW831">
        <v>1</v>
      </c>
      <c r="AX831" t="s">
        <v>74</v>
      </c>
      <c r="AY831" t="s">
        <v>74</v>
      </c>
      <c r="AZ831" t="s">
        <v>74</v>
      </c>
      <c r="BA831" t="s">
        <v>74</v>
      </c>
      <c r="BB831">
        <v>123</v>
      </c>
      <c r="BC831">
        <v>139</v>
      </c>
      <c r="BD831" t="s">
        <v>74</v>
      </c>
      <c r="BE831" t="s">
        <v>15060</v>
      </c>
      <c r="BF831" t="str">
        <f>HYPERLINK("http://dx.doi.org/10.1111/j.1748-7692.2009.00330.x","http://dx.doi.org/10.1111/j.1748-7692.2009.00330.x")</f>
        <v>http://dx.doi.org/10.1111/j.1748-7692.2009.00330.x</v>
      </c>
      <c r="BG831" t="s">
        <v>74</v>
      </c>
      <c r="BH831" t="s">
        <v>74</v>
      </c>
      <c r="BI831">
        <v>17</v>
      </c>
      <c r="BJ831" t="s">
        <v>2318</v>
      </c>
      <c r="BK831" t="s">
        <v>102</v>
      </c>
      <c r="BL831" t="s">
        <v>2318</v>
      </c>
      <c r="BM831" t="s">
        <v>15061</v>
      </c>
      <c r="BN831" t="s">
        <v>74</v>
      </c>
      <c r="BO831" t="s">
        <v>74</v>
      </c>
      <c r="BP831" t="s">
        <v>74</v>
      </c>
      <c r="BQ831" t="s">
        <v>74</v>
      </c>
      <c r="BR831" t="s">
        <v>105</v>
      </c>
      <c r="BS831" t="s">
        <v>15062</v>
      </c>
      <c r="BT831" t="str">
        <f>HYPERLINK("https%3A%2F%2Fwww.webofscience.com%2Fwos%2Fwoscc%2Ffull-record%2FWOS:000273167300008","View Full Record in Web of Science")</f>
        <v>View Full Record in Web of Science</v>
      </c>
    </row>
    <row r="832" spans="1:72" x14ac:dyDescent="0.15">
      <c r="A832" t="s">
        <v>72</v>
      </c>
      <c r="B832" t="s">
        <v>15063</v>
      </c>
      <c r="C832" t="s">
        <v>74</v>
      </c>
      <c r="D832" t="s">
        <v>74</v>
      </c>
      <c r="E832" t="s">
        <v>74</v>
      </c>
      <c r="F832" t="s">
        <v>15064</v>
      </c>
      <c r="G832" t="s">
        <v>74</v>
      </c>
      <c r="H832" t="s">
        <v>74</v>
      </c>
      <c r="I832" t="s">
        <v>15065</v>
      </c>
      <c r="J832" t="s">
        <v>15066</v>
      </c>
      <c r="K832" t="s">
        <v>74</v>
      </c>
      <c r="L832" t="s">
        <v>74</v>
      </c>
      <c r="M832" t="s">
        <v>2928</v>
      </c>
      <c r="N832" t="s">
        <v>79</v>
      </c>
      <c r="O832" t="s">
        <v>74</v>
      </c>
      <c r="P832" t="s">
        <v>74</v>
      </c>
      <c r="Q832" t="s">
        <v>74</v>
      </c>
      <c r="R832" t="s">
        <v>74</v>
      </c>
      <c r="S832" t="s">
        <v>74</v>
      </c>
      <c r="T832" t="s">
        <v>15067</v>
      </c>
      <c r="U832" t="s">
        <v>74</v>
      </c>
      <c r="V832" t="s">
        <v>15068</v>
      </c>
      <c r="W832" t="s">
        <v>15069</v>
      </c>
      <c r="X832" t="s">
        <v>15070</v>
      </c>
      <c r="Y832" t="s">
        <v>15071</v>
      </c>
      <c r="Z832" t="s">
        <v>74</v>
      </c>
      <c r="AA832" t="s">
        <v>15072</v>
      </c>
      <c r="AB832" t="s">
        <v>15073</v>
      </c>
      <c r="AC832" t="s">
        <v>74</v>
      </c>
      <c r="AD832" t="s">
        <v>74</v>
      </c>
      <c r="AE832" t="s">
        <v>74</v>
      </c>
      <c r="AF832" t="s">
        <v>74</v>
      </c>
      <c r="AG832">
        <v>19</v>
      </c>
      <c r="AH832">
        <v>0</v>
      </c>
      <c r="AI832">
        <v>0</v>
      </c>
      <c r="AJ832">
        <v>0</v>
      </c>
      <c r="AK832">
        <v>0</v>
      </c>
      <c r="AL832" t="s">
        <v>15074</v>
      </c>
      <c r="AM832" t="s">
        <v>15075</v>
      </c>
      <c r="AN832" t="s">
        <v>15076</v>
      </c>
      <c r="AO832" t="s">
        <v>15077</v>
      </c>
      <c r="AP832" t="s">
        <v>74</v>
      </c>
      <c r="AQ832" t="s">
        <v>74</v>
      </c>
      <c r="AR832" t="s">
        <v>15078</v>
      </c>
      <c r="AS832" t="s">
        <v>15079</v>
      </c>
      <c r="AT832" t="s">
        <v>74</v>
      </c>
      <c r="AU832">
        <v>2010</v>
      </c>
      <c r="AV832" t="s">
        <v>74</v>
      </c>
      <c r="AW832">
        <v>8</v>
      </c>
      <c r="AX832" t="s">
        <v>74</v>
      </c>
      <c r="AY832" t="s">
        <v>74</v>
      </c>
      <c r="AZ832" t="s">
        <v>74</v>
      </c>
      <c r="BA832" t="s">
        <v>74</v>
      </c>
      <c r="BB832">
        <v>18</v>
      </c>
      <c r="BC832">
        <v>36</v>
      </c>
      <c r="BD832" t="s">
        <v>74</v>
      </c>
      <c r="BE832" t="s">
        <v>74</v>
      </c>
      <c r="BF832" t="s">
        <v>74</v>
      </c>
      <c r="BG832" t="s">
        <v>74</v>
      </c>
      <c r="BH832" t="s">
        <v>74</v>
      </c>
      <c r="BI832">
        <v>19</v>
      </c>
      <c r="BJ832" t="s">
        <v>11087</v>
      </c>
      <c r="BK832" t="s">
        <v>1408</v>
      </c>
      <c r="BL832" t="s">
        <v>11089</v>
      </c>
      <c r="BM832" t="s">
        <v>15080</v>
      </c>
      <c r="BN832" t="s">
        <v>74</v>
      </c>
      <c r="BO832" t="s">
        <v>74</v>
      </c>
      <c r="BP832" t="s">
        <v>74</v>
      </c>
      <c r="BQ832" t="s">
        <v>74</v>
      </c>
      <c r="BR832" t="s">
        <v>105</v>
      </c>
      <c r="BS832" t="s">
        <v>15081</v>
      </c>
      <c r="BT832" t="str">
        <f>HYPERLINK("https%3A%2F%2Fwww.webofscience.com%2Fwos%2Fwoscc%2Ffull-record%2FWOS:000215865800003","View Full Record in Web of Science")</f>
        <v>View Full Record in Web of Science</v>
      </c>
    </row>
    <row r="833" spans="1:72" x14ac:dyDescent="0.15">
      <c r="A833" t="s">
        <v>72</v>
      </c>
      <c r="B833" t="s">
        <v>15082</v>
      </c>
      <c r="C833" t="s">
        <v>74</v>
      </c>
      <c r="D833" t="s">
        <v>74</v>
      </c>
      <c r="E833" t="s">
        <v>74</v>
      </c>
      <c r="F833" t="s">
        <v>15083</v>
      </c>
      <c r="G833" t="s">
        <v>74</v>
      </c>
      <c r="H833" t="s">
        <v>74</v>
      </c>
      <c r="I833" t="s">
        <v>15084</v>
      </c>
      <c r="J833" t="s">
        <v>15085</v>
      </c>
      <c r="K833" t="s">
        <v>74</v>
      </c>
      <c r="L833" t="s">
        <v>74</v>
      </c>
      <c r="M833" t="s">
        <v>78</v>
      </c>
      <c r="N833" t="s">
        <v>79</v>
      </c>
      <c r="O833" t="s">
        <v>74</v>
      </c>
      <c r="P833" t="s">
        <v>74</v>
      </c>
      <c r="Q833" t="s">
        <v>74</v>
      </c>
      <c r="R833" t="s">
        <v>74</v>
      </c>
      <c r="S833" t="s">
        <v>74</v>
      </c>
      <c r="T833" t="s">
        <v>15086</v>
      </c>
      <c r="U833" t="s">
        <v>15087</v>
      </c>
      <c r="V833" t="s">
        <v>15088</v>
      </c>
      <c r="W833" t="s">
        <v>15089</v>
      </c>
      <c r="X833" t="s">
        <v>1399</v>
      </c>
      <c r="Y833" t="s">
        <v>15090</v>
      </c>
      <c r="Z833" t="s">
        <v>15091</v>
      </c>
      <c r="AA833" t="s">
        <v>74</v>
      </c>
      <c r="AB833" t="s">
        <v>74</v>
      </c>
      <c r="AC833" t="s">
        <v>74</v>
      </c>
      <c r="AD833" t="s">
        <v>74</v>
      </c>
      <c r="AE833" t="s">
        <v>74</v>
      </c>
      <c r="AF833" t="s">
        <v>74</v>
      </c>
      <c r="AG833">
        <v>7</v>
      </c>
      <c r="AH833">
        <v>5</v>
      </c>
      <c r="AI833">
        <v>5</v>
      </c>
      <c r="AJ833">
        <v>0</v>
      </c>
      <c r="AK833">
        <v>2</v>
      </c>
      <c r="AL833" t="s">
        <v>15092</v>
      </c>
      <c r="AM833" t="s">
        <v>7202</v>
      </c>
      <c r="AN833" t="s">
        <v>15093</v>
      </c>
      <c r="AO833" t="s">
        <v>15094</v>
      </c>
      <c r="AP833" t="s">
        <v>74</v>
      </c>
      <c r="AQ833" t="s">
        <v>74</v>
      </c>
      <c r="AR833" t="s">
        <v>15085</v>
      </c>
      <c r="AS833" t="s">
        <v>15095</v>
      </c>
      <c r="AT833" t="s">
        <v>8958</v>
      </c>
      <c r="AU833">
        <v>2010</v>
      </c>
      <c r="AV833">
        <v>61</v>
      </c>
      <c r="AW833">
        <v>1</v>
      </c>
      <c r="AX833" t="s">
        <v>74</v>
      </c>
      <c r="AY833" t="s">
        <v>74</v>
      </c>
      <c r="AZ833" t="s">
        <v>74</v>
      </c>
      <c r="BA833" t="s">
        <v>74</v>
      </c>
      <c r="BB833">
        <v>117</v>
      </c>
      <c r="BC833">
        <v>120</v>
      </c>
      <c r="BD833" t="s">
        <v>74</v>
      </c>
      <c r="BE833" t="s">
        <v>74</v>
      </c>
      <c r="BF833" t="s">
        <v>74</v>
      </c>
      <c r="BG833" t="s">
        <v>74</v>
      </c>
      <c r="BH833" t="s">
        <v>74</v>
      </c>
      <c r="BI833">
        <v>4</v>
      </c>
      <c r="BJ833" t="s">
        <v>258</v>
      </c>
      <c r="BK833" t="s">
        <v>102</v>
      </c>
      <c r="BL833" t="s">
        <v>258</v>
      </c>
      <c r="BM833" t="s">
        <v>15096</v>
      </c>
      <c r="BN833" t="s">
        <v>74</v>
      </c>
      <c r="BO833" t="s">
        <v>74</v>
      </c>
      <c r="BP833" t="s">
        <v>74</v>
      </c>
      <c r="BQ833" t="s">
        <v>74</v>
      </c>
      <c r="BR833" t="s">
        <v>105</v>
      </c>
      <c r="BS833" t="s">
        <v>15097</v>
      </c>
      <c r="BT833" t="str">
        <f>HYPERLINK("https%3A%2F%2Fwww.webofscience.com%2Fwos%2Fwoscc%2Ffull-record%2FWOS:000275809200012","View Full Record in Web of Science")</f>
        <v>View Full Record in Web of Science</v>
      </c>
    </row>
    <row r="834" spans="1:72" x14ac:dyDescent="0.15">
      <c r="A834" t="s">
        <v>72</v>
      </c>
      <c r="B834" t="s">
        <v>15098</v>
      </c>
      <c r="C834" t="s">
        <v>74</v>
      </c>
      <c r="D834" t="s">
        <v>74</v>
      </c>
      <c r="E834" t="s">
        <v>74</v>
      </c>
      <c r="F834" t="s">
        <v>15099</v>
      </c>
      <c r="G834" t="s">
        <v>74</v>
      </c>
      <c r="H834" t="s">
        <v>74</v>
      </c>
      <c r="I834" t="s">
        <v>15100</v>
      </c>
      <c r="J834" t="s">
        <v>15101</v>
      </c>
      <c r="K834" t="s">
        <v>74</v>
      </c>
      <c r="L834" t="s">
        <v>74</v>
      </c>
      <c r="M834" t="s">
        <v>78</v>
      </c>
      <c r="N834" t="s">
        <v>79</v>
      </c>
      <c r="O834" t="s">
        <v>74</v>
      </c>
      <c r="P834" t="s">
        <v>74</v>
      </c>
      <c r="Q834" t="s">
        <v>74</v>
      </c>
      <c r="R834" t="s">
        <v>74</v>
      </c>
      <c r="S834" t="s">
        <v>74</v>
      </c>
      <c r="T834" t="s">
        <v>15102</v>
      </c>
      <c r="U834" t="s">
        <v>15103</v>
      </c>
      <c r="V834" t="s">
        <v>15104</v>
      </c>
      <c r="W834" t="s">
        <v>15105</v>
      </c>
      <c r="X834" t="s">
        <v>15106</v>
      </c>
      <c r="Y834" t="s">
        <v>15107</v>
      </c>
      <c r="Z834" t="s">
        <v>15108</v>
      </c>
      <c r="AA834" t="s">
        <v>15109</v>
      </c>
      <c r="AB834" t="s">
        <v>15110</v>
      </c>
      <c r="AC834" t="s">
        <v>15111</v>
      </c>
      <c r="AD834" t="s">
        <v>15112</v>
      </c>
      <c r="AE834" t="s">
        <v>15113</v>
      </c>
      <c r="AF834" t="s">
        <v>74</v>
      </c>
      <c r="AG834">
        <v>115</v>
      </c>
      <c r="AH834">
        <v>3</v>
      </c>
      <c r="AI834">
        <v>3</v>
      </c>
      <c r="AJ834">
        <v>1</v>
      </c>
      <c r="AK834">
        <v>26</v>
      </c>
      <c r="AL834" t="s">
        <v>15114</v>
      </c>
      <c r="AM834" t="s">
        <v>5208</v>
      </c>
      <c r="AN834" t="s">
        <v>15115</v>
      </c>
      <c r="AO834" t="s">
        <v>15116</v>
      </c>
      <c r="AP834" t="s">
        <v>74</v>
      </c>
      <c r="AQ834" t="s">
        <v>74</v>
      </c>
      <c r="AR834" t="s">
        <v>15117</v>
      </c>
      <c r="AS834" t="s">
        <v>15118</v>
      </c>
      <c r="AT834" t="s">
        <v>74</v>
      </c>
      <c r="AU834">
        <v>2010</v>
      </c>
      <c r="AV834">
        <v>15</v>
      </c>
      <c r="AW834">
        <v>10</v>
      </c>
      <c r="AX834" t="s">
        <v>74</v>
      </c>
      <c r="AY834" t="s">
        <v>74</v>
      </c>
      <c r="AZ834" t="s">
        <v>74</v>
      </c>
      <c r="BA834" t="s">
        <v>74</v>
      </c>
      <c r="BB834">
        <v>107</v>
      </c>
      <c r="BC834">
        <v>117</v>
      </c>
      <c r="BD834" t="s">
        <v>74</v>
      </c>
      <c r="BE834" t="s">
        <v>74</v>
      </c>
      <c r="BF834" t="s">
        <v>74</v>
      </c>
      <c r="BG834" t="s">
        <v>74</v>
      </c>
      <c r="BH834" t="s">
        <v>74</v>
      </c>
      <c r="BI834">
        <v>11</v>
      </c>
      <c r="BJ834" t="s">
        <v>14269</v>
      </c>
      <c r="BK834" t="s">
        <v>102</v>
      </c>
      <c r="BL834" t="s">
        <v>14269</v>
      </c>
      <c r="BM834" t="s">
        <v>15119</v>
      </c>
      <c r="BN834" t="s">
        <v>74</v>
      </c>
      <c r="BO834" t="s">
        <v>74</v>
      </c>
      <c r="BP834" t="s">
        <v>74</v>
      </c>
      <c r="BQ834" t="s">
        <v>74</v>
      </c>
      <c r="BR834" t="s">
        <v>105</v>
      </c>
      <c r="BS834" t="s">
        <v>15120</v>
      </c>
      <c r="BT834" t="str">
        <f>HYPERLINK("https%3A%2F%2Fwww.webofscience.com%2Fwos%2Fwoscc%2Ffull-record%2FWOS:000278729300022","View Full Record in Web of Science")</f>
        <v>View Full Record in Web of Science</v>
      </c>
    </row>
    <row r="835" spans="1:72" x14ac:dyDescent="0.15">
      <c r="A835" t="s">
        <v>72</v>
      </c>
      <c r="B835" t="s">
        <v>15121</v>
      </c>
      <c r="C835" t="s">
        <v>74</v>
      </c>
      <c r="D835" t="s">
        <v>74</v>
      </c>
      <c r="E835" t="s">
        <v>74</v>
      </c>
      <c r="F835" t="s">
        <v>15122</v>
      </c>
      <c r="G835" t="s">
        <v>74</v>
      </c>
      <c r="H835" t="s">
        <v>74</v>
      </c>
      <c r="I835" t="s">
        <v>15123</v>
      </c>
      <c r="J835" t="s">
        <v>2337</v>
      </c>
      <c r="K835" t="s">
        <v>74</v>
      </c>
      <c r="L835" t="s">
        <v>74</v>
      </c>
      <c r="M835" t="s">
        <v>78</v>
      </c>
      <c r="N835" t="s">
        <v>79</v>
      </c>
      <c r="O835" t="s">
        <v>74</v>
      </c>
      <c r="P835" t="s">
        <v>74</v>
      </c>
      <c r="Q835" t="s">
        <v>74</v>
      </c>
      <c r="R835" t="s">
        <v>74</v>
      </c>
      <c r="S835" t="s">
        <v>74</v>
      </c>
      <c r="T835" t="s">
        <v>74</v>
      </c>
      <c r="U835" t="s">
        <v>15124</v>
      </c>
      <c r="V835" t="s">
        <v>15125</v>
      </c>
      <c r="W835" t="s">
        <v>15126</v>
      </c>
      <c r="X835" t="s">
        <v>15127</v>
      </c>
      <c r="Y835" t="s">
        <v>15128</v>
      </c>
      <c r="Z835" t="s">
        <v>15129</v>
      </c>
      <c r="AA835" t="s">
        <v>74</v>
      </c>
      <c r="AB835" t="s">
        <v>74</v>
      </c>
      <c r="AC835" t="s">
        <v>15130</v>
      </c>
      <c r="AD835" t="s">
        <v>7998</v>
      </c>
      <c r="AE835" t="s">
        <v>15131</v>
      </c>
      <c r="AF835" t="s">
        <v>74</v>
      </c>
      <c r="AG835">
        <v>50</v>
      </c>
      <c r="AH835">
        <v>24</v>
      </c>
      <c r="AI835">
        <v>25</v>
      </c>
      <c r="AJ835">
        <v>0</v>
      </c>
      <c r="AK835">
        <v>15</v>
      </c>
      <c r="AL835" t="s">
        <v>991</v>
      </c>
      <c r="AM835" t="s">
        <v>992</v>
      </c>
      <c r="AN835" t="s">
        <v>993</v>
      </c>
      <c r="AO835" t="s">
        <v>2347</v>
      </c>
      <c r="AP835" t="s">
        <v>2348</v>
      </c>
      <c r="AQ835" t="s">
        <v>74</v>
      </c>
      <c r="AR835" t="s">
        <v>2349</v>
      </c>
      <c r="AS835" t="s">
        <v>2350</v>
      </c>
      <c r="AT835" t="s">
        <v>8958</v>
      </c>
      <c r="AU835">
        <v>2010</v>
      </c>
      <c r="AV835">
        <v>45</v>
      </c>
      <c r="AW835">
        <v>1</v>
      </c>
      <c r="AX835" t="s">
        <v>74</v>
      </c>
      <c r="AY835" t="s">
        <v>74</v>
      </c>
      <c r="AZ835" t="s">
        <v>74</v>
      </c>
      <c r="BA835" t="s">
        <v>74</v>
      </c>
      <c r="BB835">
        <v>43</v>
      </c>
      <c r="BC835">
        <v>54</v>
      </c>
      <c r="BD835" t="s">
        <v>74</v>
      </c>
      <c r="BE835" t="s">
        <v>15132</v>
      </c>
      <c r="BF835" t="str">
        <f>HYPERLINK("http://dx.doi.org/10.1111/j.1945-5100.2009.01004.x","http://dx.doi.org/10.1111/j.1945-5100.2009.01004.x")</f>
        <v>http://dx.doi.org/10.1111/j.1945-5100.2009.01004.x</v>
      </c>
      <c r="BG835" t="s">
        <v>74</v>
      </c>
      <c r="BH835" t="s">
        <v>74</v>
      </c>
      <c r="BI835">
        <v>12</v>
      </c>
      <c r="BJ835" t="s">
        <v>507</v>
      </c>
      <c r="BK835" t="s">
        <v>102</v>
      </c>
      <c r="BL835" t="s">
        <v>507</v>
      </c>
      <c r="BM835" t="s">
        <v>15133</v>
      </c>
      <c r="BN835" t="s">
        <v>74</v>
      </c>
      <c r="BO835" t="s">
        <v>74</v>
      </c>
      <c r="BP835" t="s">
        <v>74</v>
      </c>
      <c r="BQ835" t="s">
        <v>74</v>
      </c>
      <c r="BR835" t="s">
        <v>105</v>
      </c>
      <c r="BS835" t="s">
        <v>15134</v>
      </c>
      <c r="BT835" t="str">
        <f>HYPERLINK("https%3A%2F%2Fwww.webofscience.com%2Fwos%2Fwoscc%2Ffull-record%2FWOS:000277326500005","View Full Record in Web of Science")</f>
        <v>View Full Record in Web of Science</v>
      </c>
    </row>
    <row r="836" spans="1:72" x14ac:dyDescent="0.15">
      <c r="A836" t="s">
        <v>72</v>
      </c>
      <c r="B836" t="s">
        <v>15135</v>
      </c>
      <c r="C836" t="s">
        <v>74</v>
      </c>
      <c r="D836" t="s">
        <v>74</v>
      </c>
      <c r="E836" t="s">
        <v>74</v>
      </c>
      <c r="F836" t="s">
        <v>15136</v>
      </c>
      <c r="G836" t="s">
        <v>74</v>
      </c>
      <c r="H836" t="s">
        <v>74</v>
      </c>
      <c r="I836" t="s">
        <v>15137</v>
      </c>
      <c r="J836" t="s">
        <v>15138</v>
      </c>
      <c r="K836" t="s">
        <v>74</v>
      </c>
      <c r="L836" t="s">
        <v>74</v>
      </c>
      <c r="M836" t="s">
        <v>78</v>
      </c>
      <c r="N836" t="s">
        <v>79</v>
      </c>
      <c r="O836" t="s">
        <v>74</v>
      </c>
      <c r="P836" t="s">
        <v>74</v>
      </c>
      <c r="Q836" t="s">
        <v>74</v>
      </c>
      <c r="R836" t="s">
        <v>74</v>
      </c>
      <c r="S836" t="s">
        <v>74</v>
      </c>
      <c r="T836" t="s">
        <v>15139</v>
      </c>
      <c r="U836" t="s">
        <v>15140</v>
      </c>
      <c r="V836" t="s">
        <v>15141</v>
      </c>
      <c r="W836" t="s">
        <v>15142</v>
      </c>
      <c r="X836" t="s">
        <v>656</v>
      </c>
      <c r="Y836" t="s">
        <v>657</v>
      </c>
      <c r="Z836" t="s">
        <v>658</v>
      </c>
      <c r="AA836" t="s">
        <v>659</v>
      </c>
      <c r="AB836" t="s">
        <v>4066</v>
      </c>
      <c r="AC836" t="s">
        <v>15143</v>
      </c>
      <c r="AD836" t="s">
        <v>11153</v>
      </c>
      <c r="AE836" t="s">
        <v>15144</v>
      </c>
      <c r="AF836" t="s">
        <v>74</v>
      </c>
      <c r="AG836">
        <v>26</v>
      </c>
      <c r="AH836">
        <v>34</v>
      </c>
      <c r="AI836">
        <v>38</v>
      </c>
      <c r="AJ836">
        <v>3</v>
      </c>
      <c r="AK836">
        <v>33</v>
      </c>
      <c r="AL836" t="s">
        <v>14507</v>
      </c>
      <c r="AM836" t="s">
        <v>14508</v>
      </c>
      <c r="AN836" t="s">
        <v>14509</v>
      </c>
      <c r="AO836" t="s">
        <v>15145</v>
      </c>
      <c r="AP836" t="s">
        <v>74</v>
      </c>
      <c r="AQ836" t="s">
        <v>74</v>
      </c>
      <c r="AR836" t="s">
        <v>15146</v>
      </c>
      <c r="AS836" t="s">
        <v>15147</v>
      </c>
      <c r="AT836" t="s">
        <v>74</v>
      </c>
      <c r="AU836">
        <v>2010</v>
      </c>
      <c r="AV836">
        <v>165</v>
      </c>
      <c r="AW836">
        <v>7</v>
      </c>
      <c r="AX836" t="s">
        <v>74</v>
      </c>
      <c r="AY836" t="s">
        <v>74</v>
      </c>
      <c r="AZ836" t="s">
        <v>74</v>
      </c>
      <c r="BA836" t="s">
        <v>74</v>
      </c>
      <c r="BB836">
        <v>523</v>
      </c>
      <c r="BC836">
        <v>530</v>
      </c>
      <c r="BD836" t="s">
        <v>74</v>
      </c>
      <c r="BE836" t="s">
        <v>15148</v>
      </c>
      <c r="BF836" t="str">
        <f>HYPERLINK("http://dx.doi.org/10.1016/j.micres.2009.11.005","http://dx.doi.org/10.1016/j.micres.2009.11.005")</f>
        <v>http://dx.doi.org/10.1016/j.micres.2009.11.005</v>
      </c>
      <c r="BG836" t="s">
        <v>74</v>
      </c>
      <c r="BH836" t="s">
        <v>74</v>
      </c>
      <c r="BI836">
        <v>8</v>
      </c>
      <c r="BJ836" t="s">
        <v>1612</v>
      </c>
      <c r="BK836" t="s">
        <v>102</v>
      </c>
      <c r="BL836" t="s">
        <v>1612</v>
      </c>
      <c r="BM836" t="s">
        <v>15149</v>
      </c>
      <c r="BN836">
        <v>20006478</v>
      </c>
      <c r="BO836" t="s">
        <v>3033</v>
      </c>
      <c r="BP836" t="s">
        <v>74</v>
      </c>
      <c r="BQ836" t="s">
        <v>74</v>
      </c>
      <c r="BR836" t="s">
        <v>105</v>
      </c>
      <c r="BS836" t="s">
        <v>15150</v>
      </c>
      <c r="BT836" t="str">
        <f>HYPERLINK("https%3A%2F%2Fwww.webofscience.com%2Fwos%2Fwoscc%2Ffull-record%2FWOS:000282740100001","View Full Record in Web of Science")</f>
        <v>View Full Record in Web of Science</v>
      </c>
    </row>
    <row r="837" spans="1:72" x14ac:dyDescent="0.15">
      <c r="A837" t="s">
        <v>72</v>
      </c>
      <c r="B837" t="s">
        <v>15151</v>
      </c>
      <c r="C837" t="s">
        <v>74</v>
      </c>
      <c r="D837" t="s">
        <v>74</v>
      </c>
      <c r="E837" t="s">
        <v>74</v>
      </c>
      <c r="F837" t="s">
        <v>15152</v>
      </c>
      <c r="G837" t="s">
        <v>74</v>
      </c>
      <c r="H837" t="s">
        <v>74</v>
      </c>
      <c r="I837" t="s">
        <v>15153</v>
      </c>
      <c r="J837" t="s">
        <v>7346</v>
      </c>
      <c r="K837" t="s">
        <v>74</v>
      </c>
      <c r="L837" t="s">
        <v>74</v>
      </c>
      <c r="M837" t="s">
        <v>78</v>
      </c>
      <c r="N837" t="s">
        <v>79</v>
      </c>
      <c r="O837" t="s">
        <v>74</v>
      </c>
      <c r="P837" t="s">
        <v>74</v>
      </c>
      <c r="Q837" t="s">
        <v>74</v>
      </c>
      <c r="R837" t="s">
        <v>74</v>
      </c>
      <c r="S837" t="s">
        <v>74</v>
      </c>
      <c r="T837" t="s">
        <v>74</v>
      </c>
      <c r="U837" t="s">
        <v>15154</v>
      </c>
      <c r="V837" t="s">
        <v>15155</v>
      </c>
      <c r="W837" t="s">
        <v>15156</v>
      </c>
      <c r="X837" t="s">
        <v>15157</v>
      </c>
      <c r="Y837" t="s">
        <v>15158</v>
      </c>
      <c r="Z837" t="s">
        <v>3258</v>
      </c>
      <c r="AA837" t="s">
        <v>15159</v>
      </c>
      <c r="AB837" t="s">
        <v>15160</v>
      </c>
      <c r="AC837" t="s">
        <v>15161</v>
      </c>
      <c r="AD837" t="s">
        <v>15162</v>
      </c>
      <c r="AE837" t="s">
        <v>15163</v>
      </c>
      <c r="AF837" t="s">
        <v>74</v>
      </c>
      <c r="AG837">
        <v>36</v>
      </c>
      <c r="AH837">
        <v>7</v>
      </c>
      <c r="AI837">
        <v>7</v>
      </c>
      <c r="AJ837">
        <v>0</v>
      </c>
      <c r="AK837">
        <v>5</v>
      </c>
      <c r="AL837" t="s">
        <v>1641</v>
      </c>
      <c r="AM837" t="s">
        <v>407</v>
      </c>
      <c r="AN837" t="s">
        <v>1642</v>
      </c>
      <c r="AO837" t="s">
        <v>7358</v>
      </c>
      <c r="AP837" t="s">
        <v>7359</v>
      </c>
      <c r="AQ837" t="s">
        <v>74</v>
      </c>
      <c r="AR837" t="s">
        <v>7360</v>
      </c>
      <c r="AS837" t="s">
        <v>7361</v>
      </c>
      <c r="AT837" t="s">
        <v>8958</v>
      </c>
      <c r="AU837">
        <v>2010</v>
      </c>
      <c r="AV837">
        <v>156</v>
      </c>
      <c r="AW837" t="s">
        <v>74</v>
      </c>
      <c r="AX837">
        <v>1</v>
      </c>
      <c r="AY837" t="s">
        <v>74</v>
      </c>
      <c r="AZ837" t="s">
        <v>74</v>
      </c>
      <c r="BA837" t="s">
        <v>74</v>
      </c>
      <c r="BB837">
        <v>211</v>
      </c>
      <c r="BC837">
        <v>219</v>
      </c>
      <c r="BD837" t="s">
        <v>74</v>
      </c>
      <c r="BE837" t="s">
        <v>15164</v>
      </c>
      <c r="BF837" t="str">
        <f>HYPERLINK("http://dx.doi.org/10.1099/mic.0.032342-0","http://dx.doi.org/10.1099/mic.0.032342-0")</f>
        <v>http://dx.doi.org/10.1099/mic.0.032342-0</v>
      </c>
      <c r="BG837" t="s">
        <v>74</v>
      </c>
      <c r="BH837" t="s">
        <v>74</v>
      </c>
      <c r="BI837">
        <v>9</v>
      </c>
      <c r="BJ837" t="s">
        <v>1612</v>
      </c>
      <c r="BK837" t="s">
        <v>102</v>
      </c>
      <c r="BL837" t="s">
        <v>1612</v>
      </c>
      <c r="BM837" t="s">
        <v>15165</v>
      </c>
      <c r="BN837">
        <v>19778966</v>
      </c>
      <c r="BO837" t="s">
        <v>104</v>
      </c>
      <c r="BP837" t="s">
        <v>74</v>
      </c>
      <c r="BQ837" t="s">
        <v>74</v>
      </c>
      <c r="BR837" t="s">
        <v>105</v>
      </c>
      <c r="BS837" t="s">
        <v>15166</v>
      </c>
      <c r="BT837" t="str">
        <f>HYPERLINK("https%3A%2F%2Fwww.webofscience.com%2Fwos%2Fwoscc%2Ffull-record%2FWOS:000274368500024","View Full Record in Web of Science")</f>
        <v>View Full Record in Web of Science</v>
      </c>
    </row>
    <row r="838" spans="1:72" x14ac:dyDescent="0.15">
      <c r="A838" t="s">
        <v>8257</v>
      </c>
      <c r="B838" t="s">
        <v>15167</v>
      </c>
      <c r="C838" t="s">
        <v>74</v>
      </c>
      <c r="D838" t="s">
        <v>15168</v>
      </c>
      <c r="E838" t="s">
        <v>74</v>
      </c>
      <c r="F838" t="s">
        <v>15169</v>
      </c>
      <c r="G838" t="s">
        <v>74</v>
      </c>
      <c r="H838" t="s">
        <v>74</v>
      </c>
      <c r="I838" t="s">
        <v>15170</v>
      </c>
      <c r="J838" t="s">
        <v>15171</v>
      </c>
      <c r="K838" t="s">
        <v>9704</v>
      </c>
      <c r="L838" t="s">
        <v>74</v>
      </c>
      <c r="M838" t="s">
        <v>78</v>
      </c>
      <c r="N838" t="s">
        <v>8264</v>
      </c>
      <c r="O838" t="s">
        <v>15172</v>
      </c>
      <c r="P838" t="s">
        <v>15173</v>
      </c>
      <c r="Q838" t="s">
        <v>9707</v>
      </c>
      <c r="R838" t="s">
        <v>74</v>
      </c>
      <c r="S838" t="s">
        <v>74</v>
      </c>
      <c r="T838" t="s">
        <v>15174</v>
      </c>
      <c r="U838" t="s">
        <v>15175</v>
      </c>
      <c r="V838" t="s">
        <v>15176</v>
      </c>
      <c r="W838" t="s">
        <v>15177</v>
      </c>
      <c r="X838" t="s">
        <v>15178</v>
      </c>
      <c r="Y838" t="s">
        <v>15179</v>
      </c>
      <c r="Z838" t="s">
        <v>15180</v>
      </c>
      <c r="AA838" t="s">
        <v>15181</v>
      </c>
      <c r="AB838" t="s">
        <v>15182</v>
      </c>
      <c r="AC838" t="s">
        <v>15183</v>
      </c>
      <c r="AD838" t="s">
        <v>15184</v>
      </c>
      <c r="AE838" t="s">
        <v>15185</v>
      </c>
      <c r="AF838" t="s">
        <v>74</v>
      </c>
      <c r="AG838">
        <v>39</v>
      </c>
      <c r="AH838">
        <v>22</v>
      </c>
      <c r="AI838">
        <v>25</v>
      </c>
      <c r="AJ838">
        <v>0</v>
      </c>
      <c r="AK838">
        <v>1</v>
      </c>
      <c r="AL838" t="s">
        <v>8533</v>
      </c>
      <c r="AM838" t="s">
        <v>8534</v>
      </c>
      <c r="AN838" t="s">
        <v>8535</v>
      </c>
      <c r="AO838" t="s">
        <v>8536</v>
      </c>
      <c r="AP838" t="s">
        <v>9717</v>
      </c>
      <c r="AQ838" t="s">
        <v>15186</v>
      </c>
      <c r="AR838" t="s">
        <v>9719</v>
      </c>
      <c r="AS838" t="s">
        <v>74</v>
      </c>
      <c r="AT838" t="s">
        <v>74</v>
      </c>
      <c r="AU838">
        <v>2010</v>
      </c>
      <c r="AV838">
        <v>7741</v>
      </c>
      <c r="AW838" t="s">
        <v>74</v>
      </c>
      <c r="AX838" t="s">
        <v>74</v>
      </c>
      <c r="AY838" t="s">
        <v>74</v>
      </c>
      <c r="AZ838" t="s">
        <v>74</v>
      </c>
      <c r="BA838" t="s">
        <v>74</v>
      </c>
      <c r="BB838" t="s">
        <v>74</v>
      </c>
      <c r="BC838" t="s">
        <v>74</v>
      </c>
      <c r="BD838" t="s">
        <v>15187</v>
      </c>
      <c r="BE838" t="s">
        <v>15188</v>
      </c>
      <c r="BF838" t="str">
        <f>HYPERLINK("http://dx.doi.org/10.1117/12.857720","http://dx.doi.org/10.1117/12.857720")</f>
        <v>http://dx.doi.org/10.1117/12.857720</v>
      </c>
      <c r="BG838" t="s">
        <v>74</v>
      </c>
      <c r="BH838" t="s">
        <v>74</v>
      </c>
      <c r="BI838">
        <v>12</v>
      </c>
      <c r="BJ838" t="s">
        <v>15189</v>
      </c>
      <c r="BK838" t="s">
        <v>8281</v>
      </c>
      <c r="BL838" t="s">
        <v>15189</v>
      </c>
      <c r="BM838" t="s">
        <v>15190</v>
      </c>
      <c r="BN838" t="s">
        <v>74</v>
      </c>
      <c r="BO838" t="s">
        <v>13876</v>
      </c>
      <c r="BP838" t="s">
        <v>74</v>
      </c>
      <c r="BQ838" t="s">
        <v>74</v>
      </c>
      <c r="BR838" t="s">
        <v>105</v>
      </c>
      <c r="BS838" t="s">
        <v>15191</v>
      </c>
      <c r="BT838" t="str">
        <f>HYPERLINK("https%3A%2F%2Fwww.webofscience.com%2Fwos%2Fwoscc%2Ffull-record%2FWOS:000285838800046","View Full Record in Web of Science")</f>
        <v>View Full Record in Web of Science</v>
      </c>
    </row>
    <row r="839" spans="1:72" x14ac:dyDescent="0.15">
      <c r="A839" t="s">
        <v>72</v>
      </c>
      <c r="B839" t="s">
        <v>15192</v>
      </c>
      <c r="C839" t="s">
        <v>74</v>
      </c>
      <c r="D839" t="s">
        <v>74</v>
      </c>
      <c r="E839" t="s">
        <v>74</v>
      </c>
      <c r="F839" t="s">
        <v>15193</v>
      </c>
      <c r="G839" t="s">
        <v>74</v>
      </c>
      <c r="H839" t="s">
        <v>74</v>
      </c>
      <c r="I839" t="s">
        <v>15194</v>
      </c>
      <c r="J839" t="s">
        <v>15195</v>
      </c>
      <c r="K839" t="s">
        <v>74</v>
      </c>
      <c r="L839" t="s">
        <v>74</v>
      </c>
      <c r="M839" t="s">
        <v>78</v>
      </c>
      <c r="N839" t="s">
        <v>79</v>
      </c>
      <c r="O839" t="s">
        <v>74</v>
      </c>
      <c r="P839" t="s">
        <v>74</v>
      </c>
      <c r="Q839" t="s">
        <v>74</v>
      </c>
      <c r="R839" t="s">
        <v>74</v>
      </c>
      <c r="S839" t="s">
        <v>74</v>
      </c>
      <c r="T839" t="s">
        <v>15196</v>
      </c>
      <c r="U839" t="s">
        <v>15197</v>
      </c>
      <c r="V839" t="s">
        <v>15198</v>
      </c>
      <c r="W839" t="s">
        <v>15199</v>
      </c>
      <c r="X839" t="s">
        <v>15200</v>
      </c>
      <c r="Y839" t="s">
        <v>15201</v>
      </c>
      <c r="Z839" t="s">
        <v>15202</v>
      </c>
      <c r="AA839" t="s">
        <v>15203</v>
      </c>
      <c r="AB839" t="s">
        <v>15204</v>
      </c>
      <c r="AC839" t="s">
        <v>15205</v>
      </c>
      <c r="AD839" t="s">
        <v>15206</v>
      </c>
      <c r="AE839" t="s">
        <v>15207</v>
      </c>
      <c r="AF839" t="s">
        <v>74</v>
      </c>
      <c r="AG839">
        <v>63</v>
      </c>
      <c r="AH839">
        <v>24</v>
      </c>
      <c r="AI839">
        <v>24</v>
      </c>
      <c r="AJ839">
        <v>0</v>
      </c>
      <c r="AK839">
        <v>54</v>
      </c>
      <c r="AL839" t="s">
        <v>991</v>
      </c>
      <c r="AM839" t="s">
        <v>992</v>
      </c>
      <c r="AN839" t="s">
        <v>993</v>
      </c>
      <c r="AO839" t="s">
        <v>15208</v>
      </c>
      <c r="AP839" t="s">
        <v>15209</v>
      </c>
      <c r="AQ839" t="s">
        <v>74</v>
      </c>
      <c r="AR839" t="s">
        <v>15210</v>
      </c>
      <c r="AS839" t="s">
        <v>15211</v>
      </c>
      <c r="AT839" t="s">
        <v>8958</v>
      </c>
      <c r="AU839">
        <v>2010</v>
      </c>
      <c r="AV839">
        <v>19</v>
      </c>
      <c r="AW839">
        <v>2</v>
      </c>
      <c r="AX839" t="s">
        <v>74</v>
      </c>
      <c r="AY839" t="s">
        <v>74</v>
      </c>
      <c r="AZ839" t="s">
        <v>74</v>
      </c>
      <c r="BA839" t="s">
        <v>74</v>
      </c>
      <c r="BB839">
        <v>281</v>
      </c>
      <c r="BC839">
        <v>291</v>
      </c>
      <c r="BD839" t="s">
        <v>74</v>
      </c>
      <c r="BE839" t="s">
        <v>15212</v>
      </c>
      <c r="BF839" t="str">
        <f>HYPERLINK("http://dx.doi.org/10.1111/j.1365-294X.2009.04447.x","http://dx.doi.org/10.1111/j.1365-294X.2009.04447.x")</f>
        <v>http://dx.doi.org/10.1111/j.1365-294X.2009.04447.x</v>
      </c>
      <c r="BG839" t="s">
        <v>74</v>
      </c>
      <c r="BH839" t="s">
        <v>74</v>
      </c>
      <c r="BI839">
        <v>11</v>
      </c>
      <c r="BJ839" t="s">
        <v>15213</v>
      </c>
      <c r="BK839" t="s">
        <v>102</v>
      </c>
      <c r="BL839" t="s">
        <v>15214</v>
      </c>
      <c r="BM839" t="s">
        <v>15215</v>
      </c>
      <c r="BN839">
        <v>20025655</v>
      </c>
      <c r="BO839" t="s">
        <v>74</v>
      </c>
      <c r="BP839" t="s">
        <v>74</v>
      </c>
      <c r="BQ839" t="s">
        <v>74</v>
      </c>
      <c r="BR839" t="s">
        <v>105</v>
      </c>
      <c r="BS839" t="s">
        <v>15216</v>
      </c>
      <c r="BT839" t="str">
        <f>HYPERLINK("https%3A%2F%2Fwww.webofscience.com%2Fwos%2Fwoscc%2Ffull-record%2FWOS:000273550100007","View Full Record in Web of Science")</f>
        <v>View Full Record in Web of Science</v>
      </c>
    </row>
    <row r="840" spans="1:72" x14ac:dyDescent="0.15">
      <c r="A840" t="s">
        <v>72</v>
      </c>
      <c r="B840" t="s">
        <v>15217</v>
      </c>
      <c r="C840" t="s">
        <v>74</v>
      </c>
      <c r="D840" t="s">
        <v>74</v>
      </c>
      <c r="E840" t="s">
        <v>74</v>
      </c>
      <c r="F840" t="s">
        <v>15218</v>
      </c>
      <c r="G840" t="s">
        <v>74</v>
      </c>
      <c r="H840" t="s">
        <v>74</v>
      </c>
      <c r="I840" t="s">
        <v>15219</v>
      </c>
      <c r="J840" t="s">
        <v>15220</v>
      </c>
      <c r="K840" t="s">
        <v>74</v>
      </c>
      <c r="L840" t="s">
        <v>74</v>
      </c>
      <c r="M840" t="s">
        <v>78</v>
      </c>
      <c r="N840" t="s">
        <v>79</v>
      </c>
      <c r="O840" t="s">
        <v>74</v>
      </c>
      <c r="P840" t="s">
        <v>74</v>
      </c>
      <c r="Q840" t="s">
        <v>74</v>
      </c>
      <c r="R840" t="s">
        <v>74</v>
      </c>
      <c r="S840" t="s">
        <v>74</v>
      </c>
      <c r="T840" t="s">
        <v>15221</v>
      </c>
      <c r="U840" t="s">
        <v>15222</v>
      </c>
      <c r="V840" t="s">
        <v>15223</v>
      </c>
      <c r="W840" t="s">
        <v>15224</v>
      </c>
      <c r="X840" t="s">
        <v>15225</v>
      </c>
      <c r="Y840" t="s">
        <v>15226</v>
      </c>
      <c r="Z840" t="s">
        <v>15227</v>
      </c>
      <c r="AA840" t="s">
        <v>74</v>
      </c>
      <c r="AB840" t="s">
        <v>74</v>
      </c>
      <c r="AC840" t="s">
        <v>15228</v>
      </c>
      <c r="AD840" t="s">
        <v>15229</v>
      </c>
      <c r="AE840" t="s">
        <v>15230</v>
      </c>
      <c r="AF840" t="s">
        <v>74</v>
      </c>
      <c r="AG840">
        <v>20</v>
      </c>
      <c r="AH840">
        <v>11</v>
      </c>
      <c r="AI840">
        <v>12</v>
      </c>
      <c r="AJ840">
        <v>1</v>
      </c>
      <c r="AK840">
        <v>31</v>
      </c>
      <c r="AL840" t="s">
        <v>1654</v>
      </c>
      <c r="AM840" t="s">
        <v>1655</v>
      </c>
      <c r="AN840" t="s">
        <v>1656</v>
      </c>
      <c r="AO840" t="s">
        <v>15231</v>
      </c>
      <c r="AP840" t="s">
        <v>74</v>
      </c>
      <c r="AQ840" t="s">
        <v>74</v>
      </c>
      <c r="AR840" t="s">
        <v>15232</v>
      </c>
      <c r="AS840" t="s">
        <v>15233</v>
      </c>
      <c r="AT840" t="s">
        <v>8958</v>
      </c>
      <c r="AU840">
        <v>2010</v>
      </c>
      <c r="AV840">
        <v>10</v>
      </c>
      <c r="AW840">
        <v>1</v>
      </c>
      <c r="AX840" t="s">
        <v>74</v>
      </c>
      <c r="AY840" t="s">
        <v>74</v>
      </c>
      <c r="AZ840" t="s">
        <v>74</v>
      </c>
      <c r="BA840" t="s">
        <v>74</v>
      </c>
      <c r="BB840">
        <v>129</v>
      </c>
      <c r="BC840">
        <v>134</v>
      </c>
      <c r="BD840" t="s">
        <v>74</v>
      </c>
      <c r="BE840" t="s">
        <v>15234</v>
      </c>
      <c r="BF840" t="str">
        <f>HYPERLINK("http://dx.doi.org/10.1111/j.1755-0998.2009.02711.x","http://dx.doi.org/10.1111/j.1755-0998.2009.02711.x")</f>
        <v>http://dx.doi.org/10.1111/j.1755-0998.2009.02711.x</v>
      </c>
      <c r="BG840" t="s">
        <v>74</v>
      </c>
      <c r="BH840" t="s">
        <v>74</v>
      </c>
      <c r="BI840">
        <v>6</v>
      </c>
      <c r="BJ840" t="s">
        <v>15213</v>
      </c>
      <c r="BK840" t="s">
        <v>102</v>
      </c>
      <c r="BL840" t="s">
        <v>15214</v>
      </c>
      <c r="BM840" t="s">
        <v>15235</v>
      </c>
      <c r="BN840">
        <v>21564997</v>
      </c>
      <c r="BO840" t="s">
        <v>74</v>
      </c>
      <c r="BP840" t="s">
        <v>74</v>
      </c>
      <c r="BQ840" t="s">
        <v>74</v>
      </c>
      <c r="BR840" t="s">
        <v>105</v>
      </c>
      <c r="BS840" t="s">
        <v>15236</v>
      </c>
      <c r="BT840" t="str">
        <f>HYPERLINK("https%3A%2F%2Fwww.webofscience.com%2Fwos%2Fwoscc%2Ffull-record%2FWOS:000272866500012","View Full Record in Web of Science")</f>
        <v>View Full Record in Web of Science</v>
      </c>
    </row>
    <row r="841" spans="1:72" x14ac:dyDescent="0.15">
      <c r="A841" t="s">
        <v>8697</v>
      </c>
      <c r="B841" t="s">
        <v>15237</v>
      </c>
      <c r="C841" t="s">
        <v>74</v>
      </c>
      <c r="D841" t="s">
        <v>15238</v>
      </c>
      <c r="E841" t="s">
        <v>74</v>
      </c>
      <c r="F841" t="s">
        <v>15239</v>
      </c>
      <c r="G841" t="s">
        <v>74</v>
      </c>
      <c r="H841" t="s">
        <v>74</v>
      </c>
      <c r="I841" t="s">
        <v>15240</v>
      </c>
      <c r="J841" t="s">
        <v>15241</v>
      </c>
      <c r="K841" t="s">
        <v>11097</v>
      </c>
      <c r="L841" t="s">
        <v>74</v>
      </c>
      <c r="M841" t="s">
        <v>78</v>
      </c>
      <c r="N841" t="s">
        <v>8859</v>
      </c>
      <c r="O841" t="s">
        <v>74</v>
      </c>
      <c r="P841" t="s">
        <v>74</v>
      </c>
      <c r="Q841" t="s">
        <v>74</v>
      </c>
      <c r="R841" t="s">
        <v>74</v>
      </c>
      <c r="S841" t="s">
        <v>74</v>
      </c>
      <c r="T841" t="s">
        <v>74</v>
      </c>
      <c r="U841" t="s">
        <v>15242</v>
      </c>
      <c r="V841" t="s">
        <v>15243</v>
      </c>
      <c r="W841" t="s">
        <v>15244</v>
      </c>
      <c r="X841" t="s">
        <v>15245</v>
      </c>
      <c r="Y841" t="s">
        <v>15246</v>
      </c>
      <c r="Z841" t="s">
        <v>15247</v>
      </c>
      <c r="AA841" t="s">
        <v>15248</v>
      </c>
      <c r="AB841" t="s">
        <v>15249</v>
      </c>
      <c r="AC841" t="s">
        <v>74</v>
      </c>
      <c r="AD841" t="s">
        <v>74</v>
      </c>
      <c r="AE841" t="s">
        <v>74</v>
      </c>
      <c r="AF841" t="s">
        <v>74</v>
      </c>
      <c r="AG841">
        <v>57</v>
      </c>
      <c r="AH841">
        <v>19</v>
      </c>
      <c r="AI841">
        <v>21</v>
      </c>
      <c r="AJ841">
        <v>0</v>
      </c>
      <c r="AK841">
        <v>3</v>
      </c>
      <c r="AL841" t="s">
        <v>11105</v>
      </c>
      <c r="AM841" t="s">
        <v>4508</v>
      </c>
      <c r="AN841" t="s">
        <v>11106</v>
      </c>
      <c r="AO841" t="s">
        <v>11107</v>
      </c>
      <c r="AP841" t="s">
        <v>74</v>
      </c>
      <c r="AQ841" t="s">
        <v>15250</v>
      </c>
      <c r="AR841" t="s">
        <v>11109</v>
      </c>
      <c r="AS841" t="s">
        <v>11110</v>
      </c>
      <c r="AT841" t="s">
        <v>74</v>
      </c>
      <c r="AU841">
        <v>2010</v>
      </c>
      <c r="AV841">
        <v>342</v>
      </c>
      <c r="AW841" t="s">
        <v>74</v>
      </c>
      <c r="AX841" t="s">
        <v>74</v>
      </c>
      <c r="AY841" t="s">
        <v>74</v>
      </c>
      <c r="AZ841" t="s">
        <v>74</v>
      </c>
      <c r="BA841" t="s">
        <v>74</v>
      </c>
      <c r="BB841">
        <v>279</v>
      </c>
      <c r="BC841">
        <v>291</v>
      </c>
      <c r="BD841" t="s">
        <v>74</v>
      </c>
      <c r="BE841" t="s">
        <v>15251</v>
      </c>
      <c r="BF841" t="str">
        <f>HYPERLINK("http://dx.doi.org/10.1144/SP342.16","http://dx.doi.org/10.1144/SP342.16")</f>
        <v>http://dx.doi.org/10.1144/SP342.16</v>
      </c>
      <c r="BG841" t="s">
        <v>74</v>
      </c>
      <c r="BH841" t="s">
        <v>74</v>
      </c>
      <c r="BI841">
        <v>13</v>
      </c>
      <c r="BJ841" t="s">
        <v>15252</v>
      </c>
      <c r="BK841" t="s">
        <v>8579</v>
      </c>
      <c r="BL841" t="s">
        <v>11112</v>
      </c>
      <c r="BM841" t="s">
        <v>15253</v>
      </c>
      <c r="BN841" t="s">
        <v>74</v>
      </c>
      <c r="BO841" t="s">
        <v>74</v>
      </c>
      <c r="BP841" t="s">
        <v>74</v>
      </c>
      <c r="BQ841" t="s">
        <v>74</v>
      </c>
      <c r="BR841" t="s">
        <v>105</v>
      </c>
      <c r="BS841" t="s">
        <v>15254</v>
      </c>
      <c r="BT841" t="str">
        <f>HYPERLINK("https%3A%2F%2Fwww.webofscience.com%2Fwos%2Fwoscc%2Ffull-record%2FWOS:000288753700016","View Full Record in Web of Science")</f>
        <v>View Full Record in Web of Science</v>
      </c>
    </row>
    <row r="842" spans="1:72" x14ac:dyDescent="0.15">
      <c r="A842" t="s">
        <v>8697</v>
      </c>
      <c r="B842" t="s">
        <v>15255</v>
      </c>
      <c r="C842" t="s">
        <v>74</v>
      </c>
      <c r="D842" t="s">
        <v>15256</v>
      </c>
      <c r="E842" t="s">
        <v>74</v>
      </c>
      <c r="F842" t="s">
        <v>15257</v>
      </c>
      <c r="G842" t="s">
        <v>74</v>
      </c>
      <c r="H842" t="s">
        <v>74</v>
      </c>
      <c r="I842" t="s">
        <v>15258</v>
      </c>
      <c r="J842" t="s">
        <v>15259</v>
      </c>
      <c r="K842" t="s">
        <v>15260</v>
      </c>
      <c r="L842" t="s">
        <v>74</v>
      </c>
      <c r="M842" t="s">
        <v>78</v>
      </c>
      <c r="N842" t="s">
        <v>8859</v>
      </c>
      <c r="O842" t="s">
        <v>74</v>
      </c>
      <c r="P842" t="s">
        <v>74</v>
      </c>
      <c r="Q842" t="s">
        <v>74</v>
      </c>
      <c r="R842" t="s">
        <v>74</v>
      </c>
      <c r="S842" t="s">
        <v>74</v>
      </c>
      <c r="T842" t="s">
        <v>74</v>
      </c>
      <c r="U842" t="s">
        <v>74</v>
      </c>
      <c r="V842" t="s">
        <v>74</v>
      </c>
      <c r="W842" t="s">
        <v>15261</v>
      </c>
      <c r="X842" t="s">
        <v>15262</v>
      </c>
      <c r="Y842" t="s">
        <v>15263</v>
      </c>
      <c r="Z842" t="s">
        <v>74</v>
      </c>
      <c r="AA842" t="s">
        <v>74</v>
      </c>
      <c r="AB842" t="s">
        <v>74</v>
      </c>
      <c r="AC842" t="s">
        <v>74</v>
      </c>
      <c r="AD842" t="s">
        <v>74</v>
      </c>
      <c r="AE842" t="s">
        <v>74</v>
      </c>
      <c r="AF842" t="s">
        <v>74</v>
      </c>
      <c r="AG842">
        <v>0</v>
      </c>
      <c r="AH842">
        <v>8</v>
      </c>
      <c r="AI842">
        <v>9</v>
      </c>
      <c r="AJ842">
        <v>0</v>
      </c>
      <c r="AK842">
        <v>4</v>
      </c>
      <c r="AL842" t="s">
        <v>173</v>
      </c>
      <c r="AM842" t="s">
        <v>145</v>
      </c>
      <c r="AN842" t="s">
        <v>14376</v>
      </c>
      <c r="AO842" t="s">
        <v>15264</v>
      </c>
      <c r="AP842" t="s">
        <v>74</v>
      </c>
      <c r="AQ842" t="s">
        <v>15265</v>
      </c>
      <c r="AR842" t="s">
        <v>15266</v>
      </c>
      <c r="AS842" t="s">
        <v>74</v>
      </c>
      <c r="AT842" t="s">
        <v>74</v>
      </c>
      <c r="AU842">
        <v>2010</v>
      </c>
      <c r="AV842">
        <v>13</v>
      </c>
      <c r="AW842" t="s">
        <v>74</v>
      </c>
      <c r="AX842" t="s">
        <v>74</v>
      </c>
      <c r="AY842" t="s">
        <v>74</v>
      </c>
      <c r="AZ842" t="s">
        <v>74</v>
      </c>
      <c r="BA842" t="s">
        <v>74</v>
      </c>
      <c r="BB842">
        <v>415</v>
      </c>
      <c r="BC842">
        <v>438</v>
      </c>
      <c r="BD842" t="s">
        <v>74</v>
      </c>
      <c r="BE842" t="s">
        <v>15267</v>
      </c>
      <c r="BF842" t="str">
        <f>HYPERLINK("http://dx.doi.org/10.1016/S0928-2025(08)10019-0","http://dx.doi.org/10.1016/S0928-2025(08)10019-0")</f>
        <v>http://dx.doi.org/10.1016/S0928-2025(08)10019-0</v>
      </c>
      <c r="BG842" t="s">
        <v>74</v>
      </c>
      <c r="BH842" t="s">
        <v>74</v>
      </c>
      <c r="BI842">
        <v>24</v>
      </c>
      <c r="BJ842" t="s">
        <v>2881</v>
      </c>
      <c r="BK842" t="s">
        <v>8579</v>
      </c>
      <c r="BL842" t="s">
        <v>2628</v>
      </c>
      <c r="BM842" t="s">
        <v>15268</v>
      </c>
      <c r="BN842" t="s">
        <v>74</v>
      </c>
      <c r="BO842" t="s">
        <v>74</v>
      </c>
      <c r="BP842" t="s">
        <v>74</v>
      </c>
      <c r="BQ842" t="s">
        <v>74</v>
      </c>
      <c r="BR842" t="s">
        <v>105</v>
      </c>
      <c r="BS842" t="s">
        <v>15269</v>
      </c>
      <c r="BT842" t="str">
        <f>HYPERLINK("https%3A%2F%2Fwww.webofscience.com%2Fwos%2Fwoscc%2Ffull-record%2FWOS:000311046100022","View Full Record in Web of Science")</f>
        <v>View Full Record in Web of Science</v>
      </c>
    </row>
    <row r="843" spans="1:72" x14ac:dyDescent="0.15">
      <c r="A843" t="s">
        <v>72</v>
      </c>
      <c r="B843" t="s">
        <v>15270</v>
      </c>
      <c r="C843" t="s">
        <v>74</v>
      </c>
      <c r="D843" t="s">
        <v>74</v>
      </c>
      <c r="E843" t="s">
        <v>74</v>
      </c>
      <c r="F843" t="s">
        <v>15271</v>
      </c>
      <c r="G843" t="s">
        <v>74</v>
      </c>
      <c r="H843" t="s">
        <v>74</v>
      </c>
      <c r="I843" t="s">
        <v>15272</v>
      </c>
      <c r="J843" t="s">
        <v>2447</v>
      </c>
      <c r="K843" t="s">
        <v>74</v>
      </c>
      <c r="L843" t="s">
        <v>74</v>
      </c>
      <c r="M843" t="s">
        <v>78</v>
      </c>
      <c r="N843" t="s">
        <v>79</v>
      </c>
      <c r="O843" t="s">
        <v>74</v>
      </c>
      <c r="P843" t="s">
        <v>74</v>
      </c>
      <c r="Q843" t="s">
        <v>74</v>
      </c>
      <c r="R843" t="s">
        <v>74</v>
      </c>
      <c r="S843" t="s">
        <v>74</v>
      </c>
      <c r="T843" t="s">
        <v>74</v>
      </c>
      <c r="U843" t="s">
        <v>15273</v>
      </c>
      <c r="V843" t="s">
        <v>15274</v>
      </c>
      <c r="W843" t="s">
        <v>15275</v>
      </c>
      <c r="X843" t="s">
        <v>15276</v>
      </c>
      <c r="Y843" t="s">
        <v>15277</v>
      </c>
      <c r="Z843" t="s">
        <v>15278</v>
      </c>
      <c r="AA843" t="s">
        <v>15279</v>
      </c>
      <c r="AB843" t="s">
        <v>15280</v>
      </c>
      <c r="AC843" t="s">
        <v>15281</v>
      </c>
      <c r="AD843" t="s">
        <v>15282</v>
      </c>
      <c r="AE843" t="s">
        <v>15283</v>
      </c>
      <c r="AF843" t="s">
        <v>74</v>
      </c>
      <c r="AG843">
        <v>30</v>
      </c>
      <c r="AH843">
        <v>53</v>
      </c>
      <c r="AI843">
        <v>63</v>
      </c>
      <c r="AJ843">
        <v>1</v>
      </c>
      <c r="AK843">
        <v>28</v>
      </c>
      <c r="AL843" t="s">
        <v>2459</v>
      </c>
      <c r="AM843" t="s">
        <v>225</v>
      </c>
      <c r="AN843" t="s">
        <v>2460</v>
      </c>
      <c r="AO843" t="s">
        <v>2461</v>
      </c>
      <c r="AP843" t="s">
        <v>2462</v>
      </c>
      <c r="AQ843" t="s">
        <v>74</v>
      </c>
      <c r="AR843" t="s">
        <v>2463</v>
      </c>
      <c r="AS843" t="s">
        <v>2464</v>
      </c>
      <c r="AT843" t="s">
        <v>8958</v>
      </c>
      <c r="AU843">
        <v>2010</v>
      </c>
      <c r="AV843">
        <v>3</v>
      </c>
      <c r="AW843">
        <v>1</v>
      </c>
      <c r="AX843" t="s">
        <v>74</v>
      </c>
      <c r="AY843" t="s">
        <v>74</v>
      </c>
      <c r="AZ843" t="s">
        <v>74</v>
      </c>
      <c r="BA843" t="s">
        <v>74</v>
      </c>
      <c r="BB843">
        <v>23</v>
      </c>
      <c r="BC843">
        <v>26</v>
      </c>
      <c r="BD843" t="s">
        <v>74</v>
      </c>
      <c r="BE843" t="s">
        <v>15284</v>
      </c>
      <c r="BF843" t="str">
        <f>HYPERLINK("http://dx.doi.org/10.1038/NGEO715","http://dx.doi.org/10.1038/NGEO715")</f>
        <v>http://dx.doi.org/10.1038/NGEO715</v>
      </c>
      <c r="BG843" t="s">
        <v>74</v>
      </c>
      <c r="BH843" t="s">
        <v>74</v>
      </c>
      <c r="BI843">
        <v>4</v>
      </c>
      <c r="BJ843" t="s">
        <v>913</v>
      </c>
      <c r="BK843" t="s">
        <v>102</v>
      </c>
      <c r="BL843" t="s">
        <v>914</v>
      </c>
      <c r="BM843" t="s">
        <v>15285</v>
      </c>
      <c r="BN843" t="s">
        <v>74</v>
      </c>
      <c r="BO843" t="s">
        <v>74</v>
      </c>
      <c r="BP843" t="s">
        <v>74</v>
      </c>
      <c r="BQ843" t="s">
        <v>74</v>
      </c>
      <c r="BR843" t="s">
        <v>105</v>
      </c>
      <c r="BS843" t="s">
        <v>15286</v>
      </c>
      <c r="BT843" t="str">
        <f>HYPERLINK("https%3A%2F%2Fwww.webofscience.com%2Fwos%2Fwoscc%2Ffull-record%2FWOS:000272976200011","View Full Record in Web of Science")</f>
        <v>View Full Record in Web of Science</v>
      </c>
    </row>
    <row r="844" spans="1:72" x14ac:dyDescent="0.15">
      <c r="A844" t="s">
        <v>72</v>
      </c>
      <c r="B844" t="s">
        <v>15287</v>
      </c>
      <c r="C844" t="s">
        <v>74</v>
      </c>
      <c r="D844" t="s">
        <v>74</v>
      </c>
      <c r="E844" t="s">
        <v>74</v>
      </c>
      <c r="F844" t="s">
        <v>15288</v>
      </c>
      <c r="G844" t="s">
        <v>74</v>
      </c>
      <c r="H844" t="s">
        <v>74</v>
      </c>
      <c r="I844" t="s">
        <v>15289</v>
      </c>
      <c r="J844" t="s">
        <v>2447</v>
      </c>
      <c r="K844" t="s">
        <v>74</v>
      </c>
      <c r="L844" t="s">
        <v>74</v>
      </c>
      <c r="M844" t="s">
        <v>78</v>
      </c>
      <c r="N844" t="s">
        <v>79</v>
      </c>
      <c r="O844" t="s">
        <v>74</v>
      </c>
      <c r="P844" t="s">
        <v>74</v>
      </c>
      <c r="Q844" t="s">
        <v>74</v>
      </c>
      <c r="R844" t="s">
        <v>74</v>
      </c>
      <c r="S844" t="s">
        <v>74</v>
      </c>
      <c r="T844" t="s">
        <v>74</v>
      </c>
      <c r="U844" t="s">
        <v>15290</v>
      </c>
      <c r="V844" t="s">
        <v>15291</v>
      </c>
      <c r="W844" t="s">
        <v>15292</v>
      </c>
      <c r="X844" t="s">
        <v>15293</v>
      </c>
      <c r="Y844" t="s">
        <v>15294</v>
      </c>
      <c r="Z844" t="s">
        <v>15247</v>
      </c>
      <c r="AA844" t="s">
        <v>15295</v>
      </c>
      <c r="AB844" t="s">
        <v>15296</v>
      </c>
      <c r="AC844" t="s">
        <v>15297</v>
      </c>
      <c r="AD844" t="s">
        <v>15298</v>
      </c>
      <c r="AE844" t="s">
        <v>15299</v>
      </c>
      <c r="AF844" t="s">
        <v>74</v>
      </c>
      <c r="AG844">
        <v>43</v>
      </c>
      <c r="AH844">
        <v>187</v>
      </c>
      <c r="AI844">
        <v>206</v>
      </c>
      <c r="AJ844">
        <v>1</v>
      </c>
      <c r="AK844">
        <v>80</v>
      </c>
      <c r="AL844" t="s">
        <v>2459</v>
      </c>
      <c r="AM844" t="s">
        <v>225</v>
      </c>
      <c r="AN844" t="s">
        <v>2460</v>
      </c>
      <c r="AO844" t="s">
        <v>2461</v>
      </c>
      <c r="AP844" t="s">
        <v>2462</v>
      </c>
      <c r="AQ844" t="s">
        <v>74</v>
      </c>
      <c r="AR844" t="s">
        <v>2463</v>
      </c>
      <c r="AS844" t="s">
        <v>2464</v>
      </c>
      <c r="AT844" t="s">
        <v>8958</v>
      </c>
      <c r="AU844">
        <v>2010</v>
      </c>
      <c r="AV844">
        <v>3</v>
      </c>
      <c r="AW844">
        <v>1</v>
      </c>
      <c r="AX844" t="s">
        <v>74</v>
      </c>
      <c r="AY844" t="s">
        <v>74</v>
      </c>
      <c r="AZ844" t="s">
        <v>74</v>
      </c>
      <c r="BA844" t="s">
        <v>74</v>
      </c>
      <c r="BB844">
        <v>60</v>
      </c>
      <c r="BC844">
        <v>64</v>
      </c>
      <c r="BD844" t="s">
        <v>74</v>
      </c>
      <c r="BE844" t="s">
        <v>15300</v>
      </c>
      <c r="BF844" t="str">
        <f>HYPERLINK("http://dx.doi.org/10.1038/NGEO706","http://dx.doi.org/10.1038/NGEO706")</f>
        <v>http://dx.doi.org/10.1038/NGEO706</v>
      </c>
      <c r="BG844" t="s">
        <v>74</v>
      </c>
      <c r="BH844" t="s">
        <v>74</v>
      </c>
      <c r="BI844">
        <v>5</v>
      </c>
      <c r="BJ844" t="s">
        <v>913</v>
      </c>
      <c r="BK844" t="s">
        <v>102</v>
      </c>
      <c r="BL844" t="s">
        <v>914</v>
      </c>
      <c r="BM844" t="s">
        <v>15285</v>
      </c>
      <c r="BN844" t="s">
        <v>74</v>
      </c>
      <c r="BO844" t="s">
        <v>74</v>
      </c>
      <c r="BP844" t="s">
        <v>74</v>
      </c>
      <c r="BQ844" t="s">
        <v>74</v>
      </c>
      <c r="BR844" t="s">
        <v>105</v>
      </c>
      <c r="BS844" t="s">
        <v>15301</v>
      </c>
      <c r="BT844" t="str">
        <f>HYPERLINK("https%3A%2F%2Fwww.webofscience.com%2Fwos%2Fwoscc%2Ffull-record%2FWOS:000272976200018","View Full Record in Web of Science")</f>
        <v>View Full Record in Web of Science</v>
      </c>
    </row>
    <row r="845" spans="1:72" x14ac:dyDescent="0.15">
      <c r="A845" t="s">
        <v>72</v>
      </c>
      <c r="B845" t="s">
        <v>15302</v>
      </c>
      <c r="C845" t="s">
        <v>74</v>
      </c>
      <c r="D845" t="s">
        <v>74</v>
      </c>
      <c r="E845" t="s">
        <v>74</v>
      </c>
      <c r="F845" t="s">
        <v>15303</v>
      </c>
      <c r="G845" t="s">
        <v>74</v>
      </c>
      <c r="H845" t="s">
        <v>74</v>
      </c>
      <c r="I845" t="s">
        <v>15304</v>
      </c>
      <c r="J845" t="s">
        <v>15305</v>
      </c>
      <c r="K845" t="s">
        <v>74</v>
      </c>
      <c r="L845" t="s">
        <v>74</v>
      </c>
      <c r="M845" t="s">
        <v>2928</v>
      </c>
      <c r="N845" t="s">
        <v>79</v>
      </c>
      <c r="O845" t="s">
        <v>74</v>
      </c>
      <c r="P845" t="s">
        <v>74</v>
      </c>
      <c r="Q845" t="s">
        <v>74</v>
      </c>
      <c r="R845" t="s">
        <v>74</v>
      </c>
      <c r="S845" t="s">
        <v>74</v>
      </c>
      <c r="T845" t="s">
        <v>74</v>
      </c>
      <c r="U845" t="s">
        <v>74</v>
      </c>
      <c r="V845" t="s">
        <v>74</v>
      </c>
      <c r="W845" t="s">
        <v>15306</v>
      </c>
      <c r="X845" t="s">
        <v>15307</v>
      </c>
      <c r="Y845" t="s">
        <v>15308</v>
      </c>
      <c r="Z845" t="s">
        <v>15309</v>
      </c>
      <c r="AA845" t="s">
        <v>15310</v>
      </c>
      <c r="AB845" t="s">
        <v>15311</v>
      </c>
      <c r="AC845" t="s">
        <v>74</v>
      </c>
      <c r="AD845" t="s">
        <v>74</v>
      </c>
      <c r="AE845" t="s">
        <v>74</v>
      </c>
      <c r="AF845" t="s">
        <v>74</v>
      </c>
      <c r="AG845">
        <v>32</v>
      </c>
      <c r="AH845">
        <v>3</v>
      </c>
      <c r="AI845">
        <v>4</v>
      </c>
      <c r="AJ845">
        <v>0</v>
      </c>
      <c r="AK845">
        <v>1</v>
      </c>
      <c r="AL845" t="s">
        <v>813</v>
      </c>
      <c r="AM845" t="s">
        <v>814</v>
      </c>
      <c r="AN845" t="s">
        <v>815</v>
      </c>
      <c r="AO845" t="s">
        <v>15312</v>
      </c>
      <c r="AP845" t="s">
        <v>15313</v>
      </c>
      <c r="AQ845" t="s">
        <v>74</v>
      </c>
      <c r="AR845" t="s">
        <v>15305</v>
      </c>
      <c r="AS845" t="s">
        <v>15314</v>
      </c>
      <c r="AT845" t="s">
        <v>8958</v>
      </c>
      <c r="AU845">
        <v>2010</v>
      </c>
      <c r="AV845">
        <v>94</v>
      </c>
      <c r="AW845">
        <v>1</v>
      </c>
      <c r="AX845" t="s">
        <v>74</v>
      </c>
      <c r="AY845" t="s">
        <v>74</v>
      </c>
      <c r="AZ845" t="s">
        <v>74</v>
      </c>
      <c r="BA845" t="s">
        <v>74</v>
      </c>
      <c r="BB845">
        <v>55</v>
      </c>
      <c r="BC845">
        <v>66</v>
      </c>
      <c r="BD845" t="s">
        <v>74</v>
      </c>
      <c r="BE845" t="s">
        <v>15315</v>
      </c>
      <c r="BF845" t="str">
        <f>HYPERLINK("http://dx.doi.org/10.1007/s11061-009-9170-z","http://dx.doi.org/10.1007/s11061-009-9170-z")</f>
        <v>http://dx.doi.org/10.1007/s11061-009-9170-z</v>
      </c>
      <c r="BG845" t="s">
        <v>74</v>
      </c>
      <c r="BH845" t="s">
        <v>74</v>
      </c>
      <c r="BI845">
        <v>12</v>
      </c>
      <c r="BJ845" t="s">
        <v>15316</v>
      </c>
      <c r="BK845" t="s">
        <v>4535</v>
      </c>
      <c r="BL845" t="s">
        <v>10982</v>
      </c>
      <c r="BM845" t="s">
        <v>15317</v>
      </c>
      <c r="BN845" t="s">
        <v>74</v>
      </c>
      <c r="BO845" t="s">
        <v>74</v>
      </c>
      <c r="BP845" t="s">
        <v>74</v>
      </c>
      <c r="BQ845" t="s">
        <v>74</v>
      </c>
      <c r="BR845" t="s">
        <v>105</v>
      </c>
      <c r="BS845" t="s">
        <v>15318</v>
      </c>
      <c r="BT845" t="str">
        <f>HYPERLINK("https%3A%2F%2Fwww.webofscience.com%2Fwos%2Fwoscc%2Ffull-record%2FWOS:000276140200005","View Full Record in Web of Science")</f>
        <v>View Full Record in Web of Science</v>
      </c>
    </row>
    <row r="846" spans="1:72" x14ac:dyDescent="0.15">
      <c r="A846" t="s">
        <v>8257</v>
      </c>
      <c r="B846" t="s">
        <v>15319</v>
      </c>
      <c r="C846" t="s">
        <v>74</v>
      </c>
      <c r="D846" t="s">
        <v>15320</v>
      </c>
      <c r="E846" t="s">
        <v>74</v>
      </c>
      <c r="F846" t="s">
        <v>15321</v>
      </c>
      <c r="G846" t="s">
        <v>74</v>
      </c>
      <c r="H846" t="s">
        <v>74</v>
      </c>
      <c r="I846" t="s">
        <v>15322</v>
      </c>
      <c r="J846" t="s">
        <v>15323</v>
      </c>
      <c r="K846" t="s">
        <v>12409</v>
      </c>
      <c r="L846" t="s">
        <v>74</v>
      </c>
      <c r="M846" t="s">
        <v>78</v>
      </c>
      <c r="N846" t="s">
        <v>8264</v>
      </c>
      <c r="O846" t="s">
        <v>15324</v>
      </c>
      <c r="P846" t="s">
        <v>15325</v>
      </c>
      <c r="Q846" t="s">
        <v>15326</v>
      </c>
      <c r="R846" t="s">
        <v>74</v>
      </c>
      <c r="S846" t="s">
        <v>74</v>
      </c>
      <c r="T846" t="s">
        <v>74</v>
      </c>
      <c r="U846" t="s">
        <v>74</v>
      </c>
      <c r="V846" t="s">
        <v>74</v>
      </c>
      <c r="W846" t="s">
        <v>74</v>
      </c>
      <c r="X846" t="s">
        <v>74</v>
      </c>
      <c r="Y846" t="s">
        <v>74</v>
      </c>
      <c r="Z846" t="s">
        <v>74</v>
      </c>
      <c r="AA846" t="s">
        <v>74</v>
      </c>
      <c r="AB846" t="s">
        <v>74</v>
      </c>
      <c r="AC846" t="s">
        <v>74</v>
      </c>
      <c r="AD846" t="s">
        <v>74</v>
      </c>
      <c r="AE846" t="s">
        <v>74</v>
      </c>
      <c r="AF846" t="s">
        <v>74</v>
      </c>
      <c r="AG846">
        <v>0</v>
      </c>
      <c r="AH846">
        <v>0</v>
      </c>
      <c r="AI846">
        <v>0</v>
      </c>
      <c r="AJ846">
        <v>0</v>
      </c>
      <c r="AK846">
        <v>5</v>
      </c>
      <c r="AL846" t="s">
        <v>8999</v>
      </c>
      <c r="AM846" t="s">
        <v>9000</v>
      </c>
      <c r="AN846" t="s">
        <v>12421</v>
      </c>
      <c r="AO846" t="s">
        <v>12422</v>
      </c>
      <c r="AP846" t="s">
        <v>74</v>
      </c>
      <c r="AQ846" t="s">
        <v>74</v>
      </c>
      <c r="AR846" t="s">
        <v>12423</v>
      </c>
      <c r="AS846" t="s">
        <v>74</v>
      </c>
      <c r="AT846" t="s">
        <v>74</v>
      </c>
      <c r="AU846">
        <v>2010</v>
      </c>
      <c r="AV846">
        <v>38</v>
      </c>
      <c r="AW846" t="s">
        <v>74</v>
      </c>
      <c r="AX846">
        <v>8</v>
      </c>
      <c r="AY846" t="s">
        <v>74</v>
      </c>
      <c r="AZ846" t="s">
        <v>74</v>
      </c>
      <c r="BA846" t="s">
        <v>74</v>
      </c>
      <c r="BB846">
        <v>1047</v>
      </c>
      <c r="BC846">
        <v>1047</v>
      </c>
      <c r="BD846" t="s">
        <v>74</v>
      </c>
      <c r="BE846" t="s">
        <v>74</v>
      </c>
      <c r="BF846" t="s">
        <v>74</v>
      </c>
      <c r="BG846" t="s">
        <v>74</v>
      </c>
      <c r="BH846" t="s">
        <v>74</v>
      </c>
      <c r="BI846">
        <v>1</v>
      </c>
      <c r="BJ846" t="s">
        <v>8343</v>
      </c>
      <c r="BK846" t="s">
        <v>8281</v>
      </c>
      <c r="BL846" t="s">
        <v>8344</v>
      </c>
      <c r="BM846" t="s">
        <v>15327</v>
      </c>
      <c r="BN846" t="s">
        <v>74</v>
      </c>
      <c r="BO846" t="s">
        <v>74</v>
      </c>
      <c r="BP846" t="s">
        <v>74</v>
      </c>
      <c r="BQ846" t="s">
        <v>74</v>
      </c>
      <c r="BR846" t="s">
        <v>105</v>
      </c>
      <c r="BS846" t="s">
        <v>15328</v>
      </c>
      <c r="BT846" t="str">
        <f>HYPERLINK("https%3A%2F%2Fwww.webofscience.com%2Fwos%2Fwoscc%2Ffull-record%2FWOS:000341930000225","View Full Record in Web of Science")</f>
        <v>View Full Record in Web of Science</v>
      </c>
    </row>
    <row r="847" spans="1:72" x14ac:dyDescent="0.15">
      <c r="A847" t="s">
        <v>8257</v>
      </c>
      <c r="B847" t="s">
        <v>15329</v>
      </c>
      <c r="C847" t="s">
        <v>74</v>
      </c>
      <c r="D847" t="s">
        <v>15320</v>
      </c>
      <c r="E847" t="s">
        <v>74</v>
      </c>
      <c r="F847" t="s">
        <v>15330</v>
      </c>
      <c r="G847" t="s">
        <v>74</v>
      </c>
      <c r="H847" t="s">
        <v>74</v>
      </c>
      <c r="I847" t="s">
        <v>15331</v>
      </c>
      <c r="J847" t="s">
        <v>15323</v>
      </c>
      <c r="K847" t="s">
        <v>12409</v>
      </c>
      <c r="L847" t="s">
        <v>74</v>
      </c>
      <c r="M847" t="s">
        <v>78</v>
      </c>
      <c r="N847" t="s">
        <v>8264</v>
      </c>
      <c r="O847" t="s">
        <v>15324</v>
      </c>
      <c r="P847" t="s">
        <v>15325</v>
      </c>
      <c r="Q847" t="s">
        <v>15326</v>
      </c>
      <c r="R847" t="s">
        <v>74</v>
      </c>
      <c r="S847" t="s">
        <v>74</v>
      </c>
      <c r="T847" t="s">
        <v>74</v>
      </c>
      <c r="U847" t="s">
        <v>74</v>
      </c>
      <c r="V847" t="s">
        <v>74</v>
      </c>
      <c r="W847" t="s">
        <v>74</v>
      </c>
      <c r="X847" t="s">
        <v>74</v>
      </c>
      <c r="Y847" t="s">
        <v>74</v>
      </c>
      <c r="Z847" t="s">
        <v>74</v>
      </c>
      <c r="AA847" t="s">
        <v>74</v>
      </c>
      <c r="AB847" t="s">
        <v>74</v>
      </c>
      <c r="AC847" t="s">
        <v>74</v>
      </c>
      <c r="AD847" t="s">
        <v>74</v>
      </c>
      <c r="AE847" t="s">
        <v>74</v>
      </c>
      <c r="AF847" t="s">
        <v>74</v>
      </c>
      <c r="AG847">
        <v>0</v>
      </c>
      <c r="AH847">
        <v>0</v>
      </c>
      <c r="AI847">
        <v>0</v>
      </c>
      <c r="AJ847">
        <v>0</v>
      </c>
      <c r="AK847">
        <v>0</v>
      </c>
      <c r="AL847" t="s">
        <v>8999</v>
      </c>
      <c r="AM847" t="s">
        <v>9000</v>
      </c>
      <c r="AN847" t="s">
        <v>12421</v>
      </c>
      <c r="AO847" t="s">
        <v>12422</v>
      </c>
      <c r="AP847" t="s">
        <v>74</v>
      </c>
      <c r="AQ847" t="s">
        <v>74</v>
      </c>
      <c r="AR847" t="s">
        <v>12423</v>
      </c>
      <c r="AS847" t="s">
        <v>74</v>
      </c>
      <c r="AT847" t="s">
        <v>74</v>
      </c>
      <c r="AU847">
        <v>2010</v>
      </c>
      <c r="AV847">
        <v>38</v>
      </c>
      <c r="AW847" t="s">
        <v>74</v>
      </c>
      <c r="AX847">
        <v>8</v>
      </c>
      <c r="AY847" t="s">
        <v>74</v>
      </c>
      <c r="AZ847" t="s">
        <v>74</v>
      </c>
      <c r="BA847" t="s">
        <v>74</v>
      </c>
      <c r="BB847">
        <v>1052</v>
      </c>
      <c r="BC847">
        <v>1052</v>
      </c>
      <c r="BD847" t="s">
        <v>74</v>
      </c>
      <c r="BE847" t="s">
        <v>74</v>
      </c>
      <c r="BF847" t="s">
        <v>74</v>
      </c>
      <c r="BG847" t="s">
        <v>74</v>
      </c>
      <c r="BH847" t="s">
        <v>74</v>
      </c>
      <c r="BI847">
        <v>1</v>
      </c>
      <c r="BJ847" t="s">
        <v>8343</v>
      </c>
      <c r="BK847" t="s">
        <v>8281</v>
      </c>
      <c r="BL847" t="s">
        <v>8344</v>
      </c>
      <c r="BM847" t="s">
        <v>15327</v>
      </c>
      <c r="BN847" t="s">
        <v>74</v>
      </c>
      <c r="BO847" t="s">
        <v>74</v>
      </c>
      <c r="BP847" t="s">
        <v>74</v>
      </c>
      <c r="BQ847" t="s">
        <v>74</v>
      </c>
      <c r="BR847" t="s">
        <v>105</v>
      </c>
      <c r="BS847" t="s">
        <v>15332</v>
      </c>
      <c r="BT847" t="str">
        <f>HYPERLINK("https%3A%2F%2Fwww.webofscience.com%2Fwos%2Fwoscc%2Ffull-record%2FWOS:000341930000227","View Full Record in Web of Science")</f>
        <v>View Full Record in Web of Science</v>
      </c>
    </row>
    <row r="848" spans="1:72" x14ac:dyDescent="0.15">
      <c r="A848" t="s">
        <v>72</v>
      </c>
      <c r="B848" t="s">
        <v>15333</v>
      </c>
      <c r="C848" t="s">
        <v>74</v>
      </c>
      <c r="D848" t="s">
        <v>74</v>
      </c>
      <c r="E848" t="s">
        <v>74</v>
      </c>
      <c r="F848" t="s">
        <v>15334</v>
      </c>
      <c r="G848" t="s">
        <v>74</v>
      </c>
      <c r="H848" t="s">
        <v>74</v>
      </c>
      <c r="I848" t="s">
        <v>15335</v>
      </c>
      <c r="J848" t="s">
        <v>15336</v>
      </c>
      <c r="K848" t="s">
        <v>74</v>
      </c>
      <c r="L848" t="s">
        <v>74</v>
      </c>
      <c r="M848" t="s">
        <v>78</v>
      </c>
      <c r="N848" t="s">
        <v>600</v>
      </c>
      <c r="O848" t="s">
        <v>74</v>
      </c>
      <c r="P848" t="s">
        <v>74</v>
      </c>
      <c r="Q848" t="s">
        <v>74</v>
      </c>
      <c r="R848" t="s">
        <v>74</v>
      </c>
      <c r="S848" t="s">
        <v>74</v>
      </c>
      <c r="T848" t="s">
        <v>15337</v>
      </c>
      <c r="U848" t="s">
        <v>15338</v>
      </c>
      <c r="V848" t="s">
        <v>15339</v>
      </c>
      <c r="W848" t="s">
        <v>15340</v>
      </c>
      <c r="X848" t="s">
        <v>15341</v>
      </c>
      <c r="Y848" t="s">
        <v>15342</v>
      </c>
      <c r="Z848" t="s">
        <v>15343</v>
      </c>
      <c r="AA848" t="s">
        <v>15344</v>
      </c>
      <c r="AB848" t="s">
        <v>15345</v>
      </c>
      <c r="AC848" t="s">
        <v>15346</v>
      </c>
      <c r="AD848" t="s">
        <v>15347</v>
      </c>
      <c r="AE848" t="s">
        <v>15348</v>
      </c>
      <c r="AF848" t="s">
        <v>74</v>
      </c>
      <c r="AG848">
        <v>203</v>
      </c>
      <c r="AH848">
        <v>139</v>
      </c>
      <c r="AI848">
        <v>149</v>
      </c>
      <c r="AJ848">
        <v>2</v>
      </c>
      <c r="AK848">
        <v>184</v>
      </c>
      <c r="AL848" t="s">
        <v>15349</v>
      </c>
      <c r="AM848" t="s">
        <v>15350</v>
      </c>
      <c r="AN848" t="s">
        <v>15351</v>
      </c>
      <c r="AO848" t="s">
        <v>15352</v>
      </c>
      <c r="AP848" t="s">
        <v>15353</v>
      </c>
      <c r="AQ848" t="s">
        <v>74</v>
      </c>
      <c r="AR848" t="s">
        <v>15354</v>
      </c>
      <c r="AS848" t="s">
        <v>15355</v>
      </c>
      <c r="AT848" t="s">
        <v>74</v>
      </c>
      <c r="AU848">
        <v>2010</v>
      </c>
      <c r="AV848">
        <v>34</v>
      </c>
      <c r="AW848">
        <v>1</v>
      </c>
      <c r="AX848" t="s">
        <v>74</v>
      </c>
      <c r="AY848" t="s">
        <v>74</v>
      </c>
      <c r="AZ848" t="s">
        <v>152</v>
      </c>
      <c r="BA848" t="s">
        <v>74</v>
      </c>
      <c r="BB848">
        <v>115</v>
      </c>
      <c r="BC848">
        <v>136</v>
      </c>
      <c r="BD848" t="s">
        <v>74</v>
      </c>
      <c r="BE848" t="s">
        <v>74</v>
      </c>
      <c r="BF848" t="s">
        <v>74</v>
      </c>
      <c r="BG848" t="s">
        <v>74</v>
      </c>
      <c r="BH848" t="s">
        <v>74</v>
      </c>
      <c r="BI848">
        <v>22</v>
      </c>
      <c r="BJ848" t="s">
        <v>1346</v>
      </c>
      <c r="BK848" t="s">
        <v>102</v>
      </c>
      <c r="BL848" t="s">
        <v>1348</v>
      </c>
      <c r="BM848" t="s">
        <v>15356</v>
      </c>
      <c r="BN848" t="s">
        <v>74</v>
      </c>
      <c r="BO848" t="s">
        <v>74</v>
      </c>
      <c r="BP848" t="s">
        <v>74</v>
      </c>
      <c r="BQ848" t="s">
        <v>74</v>
      </c>
      <c r="BR848" t="s">
        <v>105</v>
      </c>
      <c r="BS848" t="s">
        <v>15357</v>
      </c>
      <c r="BT848" t="str">
        <f>HYPERLINK("https%3A%2F%2Fwww.webofscience.com%2Fwos%2Fwoscc%2Ffull-record%2FWOS:000273519300007","View Full Record in Web of Science")</f>
        <v>View Full Record in Web of Science</v>
      </c>
    </row>
    <row r="849" spans="1:72" x14ac:dyDescent="0.15">
      <c r="A849" t="s">
        <v>8257</v>
      </c>
      <c r="B849" t="s">
        <v>15358</v>
      </c>
      <c r="C849" t="s">
        <v>74</v>
      </c>
      <c r="D849" t="s">
        <v>15359</v>
      </c>
      <c r="E849" t="s">
        <v>74</v>
      </c>
      <c r="F849" t="s">
        <v>15360</v>
      </c>
      <c r="G849" t="s">
        <v>74</v>
      </c>
      <c r="H849" t="s">
        <v>74</v>
      </c>
      <c r="I849" t="s">
        <v>15361</v>
      </c>
      <c r="J849" t="s">
        <v>15362</v>
      </c>
      <c r="K849" t="s">
        <v>9704</v>
      </c>
      <c r="L849" t="s">
        <v>74</v>
      </c>
      <c r="M849" t="s">
        <v>78</v>
      </c>
      <c r="N849" t="s">
        <v>8264</v>
      </c>
      <c r="O849" t="s">
        <v>15363</v>
      </c>
      <c r="P849" t="s">
        <v>15364</v>
      </c>
      <c r="Q849" t="s">
        <v>9707</v>
      </c>
      <c r="R849" t="s">
        <v>74</v>
      </c>
      <c r="S849" t="s">
        <v>74</v>
      </c>
      <c r="T849" t="s">
        <v>15365</v>
      </c>
      <c r="U849" t="s">
        <v>15366</v>
      </c>
      <c r="V849" t="s">
        <v>15367</v>
      </c>
      <c r="W849" t="s">
        <v>15368</v>
      </c>
      <c r="X849" t="s">
        <v>15369</v>
      </c>
      <c r="Y849" t="s">
        <v>15370</v>
      </c>
      <c r="Z849" t="s">
        <v>8685</v>
      </c>
      <c r="AA849" t="s">
        <v>12562</v>
      </c>
      <c r="AB849" t="s">
        <v>15371</v>
      </c>
      <c r="AC849" t="s">
        <v>15372</v>
      </c>
      <c r="AD849" t="s">
        <v>15372</v>
      </c>
      <c r="AE849" t="s">
        <v>15373</v>
      </c>
      <c r="AF849" t="s">
        <v>74</v>
      </c>
      <c r="AG849">
        <v>28</v>
      </c>
      <c r="AH849">
        <v>1</v>
      </c>
      <c r="AI849">
        <v>1</v>
      </c>
      <c r="AJ849">
        <v>0</v>
      </c>
      <c r="AK849">
        <v>1</v>
      </c>
      <c r="AL849" t="s">
        <v>8533</v>
      </c>
      <c r="AM849" t="s">
        <v>8534</v>
      </c>
      <c r="AN849" t="s">
        <v>8535</v>
      </c>
      <c r="AO849" t="s">
        <v>8536</v>
      </c>
      <c r="AP849" t="s">
        <v>9717</v>
      </c>
      <c r="AQ849" t="s">
        <v>15374</v>
      </c>
      <c r="AR849" t="s">
        <v>9719</v>
      </c>
      <c r="AS849" t="s">
        <v>74</v>
      </c>
      <c r="AT849" t="s">
        <v>74</v>
      </c>
      <c r="AU849">
        <v>2010</v>
      </c>
      <c r="AV849">
        <v>7737</v>
      </c>
      <c r="AW849" t="s">
        <v>74</v>
      </c>
      <c r="AX849" t="s">
        <v>74</v>
      </c>
      <c r="AY849" t="s">
        <v>74</v>
      </c>
      <c r="AZ849" t="s">
        <v>74</v>
      </c>
      <c r="BA849" t="s">
        <v>74</v>
      </c>
      <c r="BB849" t="s">
        <v>74</v>
      </c>
      <c r="BC849" t="s">
        <v>74</v>
      </c>
      <c r="BD849">
        <v>773726</v>
      </c>
      <c r="BE849" t="s">
        <v>15375</v>
      </c>
      <c r="BF849" t="str">
        <f>HYPERLINK("http://dx.doi.org/10.1117/12.856857","http://dx.doi.org/10.1117/12.856857")</f>
        <v>http://dx.doi.org/10.1117/12.856857</v>
      </c>
      <c r="BG849" t="s">
        <v>74</v>
      </c>
      <c r="BH849" t="s">
        <v>74</v>
      </c>
      <c r="BI849">
        <v>10</v>
      </c>
      <c r="BJ849" t="s">
        <v>15189</v>
      </c>
      <c r="BK849" t="s">
        <v>8281</v>
      </c>
      <c r="BL849" t="s">
        <v>15189</v>
      </c>
      <c r="BM849" t="s">
        <v>15376</v>
      </c>
      <c r="BN849" t="s">
        <v>74</v>
      </c>
      <c r="BO849" t="s">
        <v>74</v>
      </c>
      <c r="BP849" t="s">
        <v>74</v>
      </c>
      <c r="BQ849" t="s">
        <v>74</v>
      </c>
      <c r="BR849" t="s">
        <v>105</v>
      </c>
      <c r="BS849" t="s">
        <v>15377</v>
      </c>
      <c r="BT849" t="str">
        <f>HYPERLINK("https%3A%2F%2Fwww.webofscience.com%2Fwos%2Fwoscc%2Ffull-record%2FWOS:000285827700055","View Full Record in Web of Science")</f>
        <v>View Full Record in Web of Science</v>
      </c>
    </row>
    <row r="850" spans="1:72" x14ac:dyDescent="0.15">
      <c r="A850" t="s">
        <v>72</v>
      </c>
      <c r="B850" t="s">
        <v>15378</v>
      </c>
      <c r="C850" t="s">
        <v>74</v>
      </c>
      <c r="D850" t="s">
        <v>74</v>
      </c>
      <c r="E850" t="s">
        <v>74</v>
      </c>
      <c r="F850" t="s">
        <v>15379</v>
      </c>
      <c r="G850" t="s">
        <v>74</v>
      </c>
      <c r="H850" t="s">
        <v>74</v>
      </c>
      <c r="I850" t="s">
        <v>15380</v>
      </c>
      <c r="J850" t="s">
        <v>15381</v>
      </c>
      <c r="K850" t="s">
        <v>74</v>
      </c>
      <c r="L850" t="s">
        <v>74</v>
      </c>
      <c r="M850" t="s">
        <v>78</v>
      </c>
      <c r="N850" t="s">
        <v>79</v>
      </c>
      <c r="O850" t="s">
        <v>74</v>
      </c>
      <c r="P850" t="s">
        <v>74</v>
      </c>
      <c r="Q850" t="s">
        <v>74</v>
      </c>
      <c r="R850" t="s">
        <v>74</v>
      </c>
      <c r="S850" t="s">
        <v>74</v>
      </c>
      <c r="T850" t="s">
        <v>15382</v>
      </c>
      <c r="U850" t="s">
        <v>74</v>
      </c>
      <c r="V850" t="s">
        <v>15383</v>
      </c>
      <c r="W850" t="s">
        <v>15384</v>
      </c>
      <c r="X850" t="s">
        <v>3752</v>
      </c>
      <c r="Y850" t="s">
        <v>15385</v>
      </c>
      <c r="Z850" t="s">
        <v>15386</v>
      </c>
      <c r="AA850" t="s">
        <v>74</v>
      </c>
      <c r="AB850" t="s">
        <v>74</v>
      </c>
      <c r="AC850" t="s">
        <v>74</v>
      </c>
      <c r="AD850" t="s">
        <v>74</v>
      </c>
      <c r="AE850" t="s">
        <v>74</v>
      </c>
      <c r="AF850" t="s">
        <v>74</v>
      </c>
      <c r="AG850">
        <v>29</v>
      </c>
      <c r="AH850">
        <v>9</v>
      </c>
      <c r="AI850">
        <v>11</v>
      </c>
      <c r="AJ850">
        <v>0</v>
      </c>
      <c r="AK850">
        <v>7</v>
      </c>
      <c r="AL850" t="s">
        <v>10775</v>
      </c>
      <c r="AM850" t="s">
        <v>10776</v>
      </c>
      <c r="AN850" t="s">
        <v>12340</v>
      </c>
      <c r="AO850" t="s">
        <v>15387</v>
      </c>
      <c r="AP850" t="s">
        <v>74</v>
      </c>
      <c r="AQ850" t="s">
        <v>74</v>
      </c>
      <c r="AR850" t="s">
        <v>15388</v>
      </c>
      <c r="AS850" t="s">
        <v>15389</v>
      </c>
      <c r="AT850" t="s">
        <v>74</v>
      </c>
      <c r="AU850">
        <v>2010</v>
      </c>
      <c r="AV850">
        <v>41</v>
      </c>
      <c r="AW850">
        <v>2</v>
      </c>
      <c r="AX850" t="s">
        <v>74</v>
      </c>
      <c r="AY850" t="s">
        <v>74</v>
      </c>
      <c r="AZ850" t="s">
        <v>74</v>
      </c>
      <c r="BA850" t="s">
        <v>74</v>
      </c>
      <c r="BB850">
        <v>186</v>
      </c>
      <c r="BC850">
        <v>195</v>
      </c>
      <c r="BD850" t="s">
        <v>74</v>
      </c>
      <c r="BE850" t="s">
        <v>15390</v>
      </c>
      <c r="BF850" t="str">
        <f>HYPERLINK("http://dx.doi.org/10.1080/00908321003733147","http://dx.doi.org/10.1080/00908321003733147")</f>
        <v>http://dx.doi.org/10.1080/00908321003733147</v>
      </c>
      <c r="BG850" t="s">
        <v>74</v>
      </c>
      <c r="BH850" t="s">
        <v>74</v>
      </c>
      <c r="BI850">
        <v>10</v>
      </c>
      <c r="BJ850" t="s">
        <v>15391</v>
      </c>
      <c r="BK850" t="s">
        <v>9388</v>
      </c>
      <c r="BL850" t="s">
        <v>12459</v>
      </c>
      <c r="BM850" t="s">
        <v>15392</v>
      </c>
      <c r="BN850" t="s">
        <v>74</v>
      </c>
      <c r="BO850" t="s">
        <v>74</v>
      </c>
      <c r="BP850" t="s">
        <v>74</v>
      </c>
      <c r="BQ850" t="s">
        <v>74</v>
      </c>
      <c r="BR850" t="s">
        <v>105</v>
      </c>
      <c r="BS850" t="s">
        <v>15393</v>
      </c>
      <c r="BT850" t="str">
        <f>HYPERLINK("https%3A%2F%2Fwww.webofscience.com%2Fwos%2Fwoscc%2Ffull-record%2FWOS:000278419700004","View Full Record in Web of Science")</f>
        <v>View Full Record in Web of Science</v>
      </c>
    </row>
    <row r="851" spans="1:72" x14ac:dyDescent="0.15">
      <c r="A851" t="s">
        <v>72</v>
      </c>
      <c r="B851" t="s">
        <v>15394</v>
      </c>
      <c r="C851" t="s">
        <v>74</v>
      </c>
      <c r="D851" t="s">
        <v>74</v>
      </c>
      <c r="E851" t="s">
        <v>74</v>
      </c>
      <c r="F851" t="s">
        <v>15395</v>
      </c>
      <c r="G851" t="s">
        <v>74</v>
      </c>
      <c r="H851" t="s">
        <v>74</v>
      </c>
      <c r="I851" t="s">
        <v>15396</v>
      </c>
      <c r="J851" t="s">
        <v>15397</v>
      </c>
      <c r="K851" t="s">
        <v>74</v>
      </c>
      <c r="L851" t="s">
        <v>74</v>
      </c>
      <c r="M851" t="s">
        <v>78</v>
      </c>
      <c r="N851" t="s">
        <v>79</v>
      </c>
      <c r="O851" t="s">
        <v>74</v>
      </c>
      <c r="P851" t="s">
        <v>74</v>
      </c>
      <c r="Q851" t="s">
        <v>74</v>
      </c>
      <c r="R851" t="s">
        <v>74</v>
      </c>
      <c r="S851" t="s">
        <v>74</v>
      </c>
      <c r="T851" t="s">
        <v>15398</v>
      </c>
      <c r="U851" t="s">
        <v>15399</v>
      </c>
      <c r="V851" t="s">
        <v>15400</v>
      </c>
      <c r="W851" t="s">
        <v>15401</v>
      </c>
      <c r="X851" t="s">
        <v>15402</v>
      </c>
      <c r="Y851" t="s">
        <v>7091</v>
      </c>
      <c r="Z851" t="s">
        <v>15403</v>
      </c>
      <c r="AA851" t="s">
        <v>15404</v>
      </c>
      <c r="AB851" t="s">
        <v>15405</v>
      </c>
      <c r="AC851" t="s">
        <v>15406</v>
      </c>
      <c r="AD851" t="s">
        <v>15407</v>
      </c>
      <c r="AE851" t="s">
        <v>15408</v>
      </c>
      <c r="AF851" t="s">
        <v>74</v>
      </c>
      <c r="AG851">
        <v>25</v>
      </c>
      <c r="AH851">
        <v>4</v>
      </c>
      <c r="AI851">
        <v>5</v>
      </c>
      <c r="AJ851">
        <v>0</v>
      </c>
      <c r="AK851">
        <v>4</v>
      </c>
      <c r="AL851" t="s">
        <v>2285</v>
      </c>
      <c r="AM851" t="s">
        <v>1064</v>
      </c>
      <c r="AN851" t="s">
        <v>2286</v>
      </c>
      <c r="AO851" t="s">
        <v>15409</v>
      </c>
      <c r="AP851" t="s">
        <v>15410</v>
      </c>
      <c r="AQ851" t="s">
        <v>74</v>
      </c>
      <c r="AR851" t="s">
        <v>15411</v>
      </c>
      <c r="AS851" t="s">
        <v>15412</v>
      </c>
      <c r="AT851" t="s">
        <v>74</v>
      </c>
      <c r="AU851">
        <v>2010</v>
      </c>
      <c r="AV851">
        <v>35</v>
      </c>
      <c r="AW851" t="s">
        <v>1854</v>
      </c>
      <c r="AX851" t="s">
        <v>74</v>
      </c>
      <c r="AY851" t="s">
        <v>74</v>
      </c>
      <c r="AZ851" t="s">
        <v>74</v>
      </c>
      <c r="BA851" t="s">
        <v>74</v>
      </c>
      <c r="BB851">
        <v>54</v>
      </c>
      <c r="BC851">
        <v>66</v>
      </c>
      <c r="BD851" t="s">
        <v>74</v>
      </c>
      <c r="BE851" t="s">
        <v>15413</v>
      </c>
      <c r="BF851" t="str">
        <f>HYPERLINK("http://dx.doi.org/10.1016/j.ocemod.2010.06.004","http://dx.doi.org/10.1016/j.ocemod.2010.06.004")</f>
        <v>http://dx.doi.org/10.1016/j.ocemod.2010.06.004</v>
      </c>
      <c r="BG851" t="s">
        <v>74</v>
      </c>
      <c r="BH851" t="s">
        <v>74</v>
      </c>
      <c r="BI851">
        <v>13</v>
      </c>
      <c r="BJ851" t="s">
        <v>5296</v>
      </c>
      <c r="BK851" t="s">
        <v>102</v>
      </c>
      <c r="BL851" t="s">
        <v>5296</v>
      </c>
      <c r="BM851" t="s">
        <v>15414</v>
      </c>
      <c r="BN851" t="s">
        <v>74</v>
      </c>
      <c r="BO851" t="s">
        <v>74</v>
      </c>
      <c r="BP851" t="s">
        <v>74</v>
      </c>
      <c r="BQ851" t="s">
        <v>74</v>
      </c>
      <c r="BR851" t="s">
        <v>105</v>
      </c>
      <c r="BS851" t="s">
        <v>15415</v>
      </c>
      <c r="BT851" t="str">
        <f>HYPERLINK("https%3A%2F%2Fwww.webofscience.com%2Fwos%2Fwoscc%2Ffull-record%2FWOS:000281472700005","View Full Record in Web of Science")</f>
        <v>View Full Record in Web of Science</v>
      </c>
    </row>
    <row r="852" spans="1:72" x14ac:dyDescent="0.15">
      <c r="A852" t="s">
        <v>72</v>
      </c>
      <c r="B852" t="s">
        <v>15416</v>
      </c>
      <c r="C852" t="s">
        <v>74</v>
      </c>
      <c r="D852" t="s">
        <v>74</v>
      </c>
      <c r="E852" t="s">
        <v>74</v>
      </c>
      <c r="F852" t="s">
        <v>15417</v>
      </c>
      <c r="G852" t="s">
        <v>74</v>
      </c>
      <c r="H852" t="s">
        <v>74</v>
      </c>
      <c r="I852" t="s">
        <v>15418</v>
      </c>
      <c r="J852" t="s">
        <v>15397</v>
      </c>
      <c r="K852" t="s">
        <v>74</v>
      </c>
      <c r="L852" t="s">
        <v>74</v>
      </c>
      <c r="M852" t="s">
        <v>78</v>
      </c>
      <c r="N852" t="s">
        <v>79</v>
      </c>
      <c r="O852" t="s">
        <v>74</v>
      </c>
      <c r="P852" t="s">
        <v>74</v>
      </c>
      <c r="Q852" t="s">
        <v>74</v>
      </c>
      <c r="R852" t="s">
        <v>74</v>
      </c>
      <c r="S852" t="s">
        <v>74</v>
      </c>
      <c r="T852" t="s">
        <v>15419</v>
      </c>
      <c r="U852" t="s">
        <v>15420</v>
      </c>
      <c r="V852" t="s">
        <v>15421</v>
      </c>
      <c r="W852" t="s">
        <v>15422</v>
      </c>
      <c r="X852" t="s">
        <v>15423</v>
      </c>
      <c r="Y852" t="s">
        <v>15424</v>
      </c>
      <c r="Z852" t="s">
        <v>15425</v>
      </c>
      <c r="AA852" t="s">
        <v>15426</v>
      </c>
      <c r="AB852" t="s">
        <v>15427</v>
      </c>
      <c r="AC852" t="s">
        <v>15428</v>
      </c>
      <c r="AD852" t="s">
        <v>15429</v>
      </c>
      <c r="AE852" t="s">
        <v>15430</v>
      </c>
      <c r="AF852" t="s">
        <v>74</v>
      </c>
      <c r="AG852">
        <v>42</v>
      </c>
      <c r="AH852">
        <v>32</v>
      </c>
      <c r="AI852">
        <v>36</v>
      </c>
      <c r="AJ852">
        <v>1</v>
      </c>
      <c r="AK852">
        <v>10</v>
      </c>
      <c r="AL852" t="s">
        <v>2285</v>
      </c>
      <c r="AM852" t="s">
        <v>1064</v>
      </c>
      <c r="AN852" t="s">
        <v>2286</v>
      </c>
      <c r="AO852" t="s">
        <v>15409</v>
      </c>
      <c r="AP852" t="s">
        <v>15410</v>
      </c>
      <c r="AQ852" t="s">
        <v>74</v>
      </c>
      <c r="AR852" t="s">
        <v>15411</v>
      </c>
      <c r="AS852" t="s">
        <v>15412</v>
      </c>
      <c r="AT852" t="s">
        <v>74</v>
      </c>
      <c r="AU852">
        <v>2010</v>
      </c>
      <c r="AV852">
        <v>35</v>
      </c>
      <c r="AW852">
        <v>3</v>
      </c>
      <c r="AX852" t="s">
        <v>74</v>
      </c>
      <c r="AY852" t="s">
        <v>74</v>
      </c>
      <c r="AZ852" t="s">
        <v>74</v>
      </c>
      <c r="BA852" t="s">
        <v>74</v>
      </c>
      <c r="BB852">
        <v>146</v>
      </c>
      <c r="BC852">
        <v>160</v>
      </c>
      <c r="BD852" t="s">
        <v>74</v>
      </c>
      <c r="BE852" t="s">
        <v>15431</v>
      </c>
      <c r="BF852" t="str">
        <f>HYPERLINK("http://dx.doi.org/10.1016/j.ocemod.2010.07.001","http://dx.doi.org/10.1016/j.ocemod.2010.07.001")</f>
        <v>http://dx.doi.org/10.1016/j.ocemod.2010.07.001</v>
      </c>
      <c r="BG852" t="s">
        <v>74</v>
      </c>
      <c r="BH852" t="s">
        <v>74</v>
      </c>
      <c r="BI852">
        <v>15</v>
      </c>
      <c r="BJ852" t="s">
        <v>5296</v>
      </c>
      <c r="BK852" t="s">
        <v>102</v>
      </c>
      <c r="BL852" t="s">
        <v>5296</v>
      </c>
      <c r="BM852" t="s">
        <v>15432</v>
      </c>
      <c r="BN852" t="s">
        <v>74</v>
      </c>
      <c r="BO852" t="s">
        <v>555</v>
      </c>
      <c r="BP852" t="s">
        <v>74</v>
      </c>
      <c r="BQ852" t="s">
        <v>74</v>
      </c>
      <c r="BR852" t="s">
        <v>105</v>
      </c>
      <c r="BS852" t="s">
        <v>15433</v>
      </c>
      <c r="BT852" t="str">
        <f>HYPERLINK("https%3A%2F%2Fwww.webofscience.com%2Fwos%2Fwoscc%2Ffull-record%2FWOS:000283455200003","View Full Record in Web of Science")</f>
        <v>View Full Record in Web of Science</v>
      </c>
    </row>
    <row r="853" spans="1:72" x14ac:dyDescent="0.15">
      <c r="A853" t="s">
        <v>72</v>
      </c>
      <c r="B853" t="s">
        <v>15434</v>
      </c>
      <c r="C853" t="s">
        <v>74</v>
      </c>
      <c r="D853" t="s">
        <v>74</v>
      </c>
      <c r="E853" t="s">
        <v>74</v>
      </c>
      <c r="F853" t="s">
        <v>15435</v>
      </c>
      <c r="G853" t="s">
        <v>74</v>
      </c>
      <c r="H853" t="s">
        <v>74</v>
      </c>
      <c r="I853" t="s">
        <v>15436</v>
      </c>
      <c r="J853" t="s">
        <v>15397</v>
      </c>
      <c r="K853" t="s">
        <v>74</v>
      </c>
      <c r="L853" t="s">
        <v>74</v>
      </c>
      <c r="M853" t="s">
        <v>78</v>
      </c>
      <c r="N853" t="s">
        <v>79</v>
      </c>
      <c r="O853" t="s">
        <v>74</v>
      </c>
      <c r="P853" t="s">
        <v>74</v>
      </c>
      <c r="Q853" t="s">
        <v>74</v>
      </c>
      <c r="R853" t="s">
        <v>74</v>
      </c>
      <c r="S853" t="s">
        <v>74</v>
      </c>
      <c r="T853" t="s">
        <v>15437</v>
      </c>
      <c r="U853" t="s">
        <v>15438</v>
      </c>
      <c r="V853" t="s">
        <v>15439</v>
      </c>
      <c r="W853" t="s">
        <v>15440</v>
      </c>
      <c r="X853" t="s">
        <v>15441</v>
      </c>
      <c r="Y853" t="s">
        <v>15442</v>
      </c>
      <c r="Z853" t="s">
        <v>15443</v>
      </c>
      <c r="AA853" t="s">
        <v>74</v>
      </c>
      <c r="AB853" t="s">
        <v>74</v>
      </c>
      <c r="AC853" t="s">
        <v>15444</v>
      </c>
      <c r="AD853" t="s">
        <v>15445</v>
      </c>
      <c r="AE853" t="s">
        <v>15446</v>
      </c>
      <c r="AF853" t="s">
        <v>74</v>
      </c>
      <c r="AG853">
        <v>39</v>
      </c>
      <c r="AH853">
        <v>64</v>
      </c>
      <c r="AI853">
        <v>70</v>
      </c>
      <c r="AJ853">
        <v>3</v>
      </c>
      <c r="AK853">
        <v>25</v>
      </c>
      <c r="AL853" t="s">
        <v>2285</v>
      </c>
      <c r="AM853" t="s">
        <v>1064</v>
      </c>
      <c r="AN853" t="s">
        <v>2286</v>
      </c>
      <c r="AO853" t="s">
        <v>15409</v>
      </c>
      <c r="AP853" t="s">
        <v>15410</v>
      </c>
      <c r="AQ853" t="s">
        <v>74</v>
      </c>
      <c r="AR853" t="s">
        <v>15411</v>
      </c>
      <c r="AS853" t="s">
        <v>15412</v>
      </c>
      <c r="AT853" t="s">
        <v>74</v>
      </c>
      <c r="AU853">
        <v>2010</v>
      </c>
      <c r="AV853">
        <v>34</v>
      </c>
      <c r="AW853" t="s">
        <v>971</v>
      </c>
      <c r="AX853" t="s">
        <v>74</v>
      </c>
      <c r="AY853" t="s">
        <v>74</v>
      </c>
      <c r="AZ853" t="s">
        <v>74</v>
      </c>
      <c r="BA853" t="s">
        <v>74</v>
      </c>
      <c r="BB853">
        <v>137</v>
      </c>
      <c r="BC853">
        <v>149</v>
      </c>
      <c r="BD853" t="s">
        <v>74</v>
      </c>
      <c r="BE853" t="s">
        <v>15447</v>
      </c>
      <c r="BF853" t="str">
        <f>HYPERLINK("http://dx.doi.org/10.1016/j.ocemod.2010.05.004","http://dx.doi.org/10.1016/j.ocemod.2010.05.004")</f>
        <v>http://dx.doi.org/10.1016/j.ocemod.2010.05.004</v>
      </c>
      <c r="BG853" t="s">
        <v>74</v>
      </c>
      <c r="BH853" t="s">
        <v>74</v>
      </c>
      <c r="BI853">
        <v>13</v>
      </c>
      <c r="BJ853" t="s">
        <v>5296</v>
      </c>
      <c r="BK853" t="s">
        <v>102</v>
      </c>
      <c r="BL853" t="s">
        <v>5296</v>
      </c>
      <c r="BM853" t="s">
        <v>15448</v>
      </c>
      <c r="BN853" t="s">
        <v>74</v>
      </c>
      <c r="BO853" t="s">
        <v>74</v>
      </c>
      <c r="BP853" t="s">
        <v>74</v>
      </c>
      <c r="BQ853" t="s">
        <v>74</v>
      </c>
      <c r="BR853" t="s">
        <v>105</v>
      </c>
      <c r="BS853" t="s">
        <v>15449</v>
      </c>
      <c r="BT853" t="str">
        <f>HYPERLINK("https%3A%2F%2Fwww.webofscience.com%2Fwos%2Fwoscc%2Ffull-record%2FWOS:000280578000006","View Full Record in Web of Science")</f>
        <v>View Full Record in Web of Science</v>
      </c>
    </row>
    <row r="854" spans="1:72" x14ac:dyDescent="0.15">
      <c r="A854" t="s">
        <v>72</v>
      </c>
      <c r="B854" t="s">
        <v>15450</v>
      </c>
      <c r="C854" t="s">
        <v>74</v>
      </c>
      <c r="D854" t="s">
        <v>74</v>
      </c>
      <c r="E854" t="s">
        <v>74</v>
      </c>
      <c r="F854" t="s">
        <v>15451</v>
      </c>
      <c r="G854" t="s">
        <v>74</v>
      </c>
      <c r="H854" t="s">
        <v>74</v>
      </c>
      <c r="I854" t="s">
        <v>15452</v>
      </c>
      <c r="J854" t="s">
        <v>15397</v>
      </c>
      <c r="K854" t="s">
        <v>74</v>
      </c>
      <c r="L854" t="s">
        <v>74</v>
      </c>
      <c r="M854" t="s">
        <v>78</v>
      </c>
      <c r="N854" t="s">
        <v>79</v>
      </c>
      <c r="O854" t="s">
        <v>74</v>
      </c>
      <c r="P854" t="s">
        <v>74</v>
      </c>
      <c r="Q854" t="s">
        <v>74</v>
      </c>
      <c r="R854" t="s">
        <v>74</v>
      </c>
      <c r="S854" t="s">
        <v>74</v>
      </c>
      <c r="T854" t="s">
        <v>15453</v>
      </c>
      <c r="U854" t="s">
        <v>15454</v>
      </c>
      <c r="V854" t="s">
        <v>15455</v>
      </c>
      <c r="W854" t="s">
        <v>15456</v>
      </c>
      <c r="X854" t="s">
        <v>15457</v>
      </c>
      <c r="Y854" t="s">
        <v>15458</v>
      </c>
      <c r="Z854" t="s">
        <v>15459</v>
      </c>
      <c r="AA854" t="s">
        <v>74</v>
      </c>
      <c r="AB854" t="s">
        <v>74</v>
      </c>
      <c r="AC854" t="s">
        <v>74</v>
      </c>
      <c r="AD854" t="s">
        <v>74</v>
      </c>
      <c r="AE854" t="s">
        <v>74</v>
      </c>
      <c r="AF854" t="s">
        <v>74</v>
      </c>
      <c r="AG854">
        <v>51</v>
      </c>
      <c r="AH854">
        <v>63</v>
      </c>
      <c r="AI854">
        <v>68</v>
      </c>
      <c r="AJ854">
        <v>0</v>
      </c>
      <c r="AK854">
        <v>17</v>
      </c>
      <c r="AL854" t="s">
        <v>2285</v>
      </c>
      <c r="AM854" t="s">
        <v>1064</v>
      </c>
      <c r="AN854" t="s">
        <v>2286</v>
      </c>
      <c r="AO854" t="s">
        <v>15409</v>
      </c>
      <c r="AP854" t="s">
        <v>15410</v>
      </c>
      <c r="AQ854" t="s">
        <v>74</v>
      </c>
      <c r="AR854" t="s">
        <v>15411</v>
      </c>
      <c r="AS854" t="s">
        <v>15412</v>
      </c>
      <c r="AT854" t="s">
        <v>74</v>
      </c>
      <c r="AU854">
        <v>2010</v>
      </c>
      <c r="AV854">
        <v>34</v>
      </c>
      <c r="AW854" t="s">
        <v>971</v>
      </c>
      <c r="AX854" t="s">
        <v>74</v>
      </c>
      <c r="AY854" t="s">
        <v>74</v>
      </c>
      <c r="AZ854" t="s">
        <v>74</v>
      </c>
      <c r="BA854" t="s">
        <v>74</v>
      </c>
      <c r="BB854">
        <v>150</v>
      </c>
      <c r="BC854">
        <v>165</v>
      </c>
      <c r="BD854" t="s">
        <v>74</v>
      </c>
      <c r="BE854" t="s">
        <v>15460</v>
      </c>
      <c r="BF854" t="str">
        <f>HYPERLINK("http://dx.doi.org/10.1016/j.ocemod.2010.05.005","http://dx.doi.org/10.1016/j.ocemod.2010.05.005")</f>
        <v>http://dx.doi.org/10.1016/j.ocemod.2010.05.005</v>
      </c>
      <c r="BG854" t="s">
        <v>74</v>
      </c>
      <c r="BH854" t="s">
        <v>74</v>
      </c>
      <c r="BI854">
        <v>16</v>
      </c>
      <c r="BJ854" t="s">
        <v>5296</v>
      </c>
      <c r="BK854" t="s">
        <v>102</v>
      </c>
      <c r="BL854" t="s">
        <v>5296</v>
      </c>
      <c r="BM854" t="s">
        <v>15448</v>
      </c>
      <c r="BN854" t="s">
        <v>74</v>
      </c>
      <c r="BO854" t="s">
        <v>74</v>
      </c>
      <c r="BP854" t="s">
        <v>74</v>
      </c>
      <c r="BQ854" t="s">
        <v>74</v>
      </c>
      <c r="BR854" t="s">
        <v>105</v>
      </c>
      <c r="BS854" t="s">
        <v>15461</v>
      </c>
      <c r="BT854" t="str">
        <f>HYPERLINK("https%3A%2F%2Fwww.webofscience.com%2Fwos%2Fwoscc%2Ffull-record%2FWOS:000280578000007","View Full Record in Web of Science")</f>
        <v>View Full Record in Web of Science</v>
      </c>
    </row>
    <row r="855" spans="1:72" x14ac:dyDescent="0.15">
      <c r="A855" t="s">
        <v>72</v>
      </c>
      <c r="B855" t="s">
        <v>15462</v>
      </c>
      <c r="C855" t="s">
        <v>74</v>
      </c>
      <c r="D855" t="s">
        <v>74</v>
      </c>
      <c r="E855" t="s">
        <v>74</v>
      </c>
      <c r="F855" t="s">
        <v>15463</v>
      </c>
      <c r="G855" t="s">
        <v>74</v>
      </c>
      <c r="H855" t="s">
        <v>74</v>
      </c>
      <c r="I855" t="s">
        <v>15464</v>
      </c>
      <c r="J855" t="s">
        <v>15397</v>
      </c>
      <c r="K855" t="s">
        <v>74</v>
      </c>
      <c r="L855" t="s">
        <v>74</v>
      </c>
      <c r="M855" t="s">
        <v>78</v>
      </c>
      <c r="N855" t="s">
        <v>79</v>
      </c>
      <c r="O855" t="s">
        <v>74</v>
      </c>
      <c r="P855" t="s">
        <v>74</v>
      </c>
      <c r="Q855" t="s">
        <v>74</v>
      </c>
      <c r="R855" t="s">
        <v>74</v>
      </c>
      <c r="S855" t="s">
        <v>74</v>
      </c>
      <c r="T855" t="s">
        <v>15465</v>
      </c>
      <c r="U855" t="s">
        <v>15466</v>
      </c>
      <c r="V855" t="s">
        <v>15467</v>
      </c>
      <c r="W855" t="s">
        <v>15468</v>
      </c>
      <c r="X855" t="s">
        <v>15469</v>
      </c>
      <c r="Y855" t="s">
        <v>15470</v>
      </c>
      <c r="Z855" t="s">
        <v>15471</v>
      </c>
      <c r="AA855" t="s">
        <v>15472</v>
      </c>
      <c r="AB855" t="s">
        <v>15473</v>
      </c>
      <c r="AC855" t="s">
        <v>15474</v>
      </c>
      <c r="AD855" t="s">
        <v>15475</v>
      </c>
      <c r="AE855" t="s">
        <v>15476</v>
      </c>
      <c r="AF855" t="s">
        <v>74</v>
      </c>
      <c r="AG855">
        <v>75</v>
      </c>
      <c r="AH855">
        <v>301</v>
      </c>
      <c r="AI855">
        <v>327</v>
      </c>
      <c r="AJ855">
        <v>3</v>
      </c>
      <c r="AK855">
        <v>24</v>
      </c>
      <c r="AL855" t="s">
        <v>2285</v>
      </c>
      <c r="AM855" t="s">
        <v>1064</v>
      </c>
      <c r="AN855" t="s">
        <v>2286</v>
      </c>
      <c r="AO855" t="s">
        <v>15409</v>
      </c>
      <c r="AP855" t="s">
        <v>15410</v>
      </c>
      <c r="AQ855" t="s">
        <v>74</v>
      </c>
      <c r="AR855" t="s">
        <v>15411</v>
      </c>
      <c r="AS855" t="s">
        <v>15412</v>
      </c>
      <c r="AT855" t="s">
        <v>74</v>
      </c>
      <c r="AU855">
        <v>2010</v>
      </c>
      <c r="AV855">
        <v>33</v>
      </c>
      <c r="AW855" t="s">
        <v>1854</v>
      </c>
      <c r="AX855" t="s">
        <v>74</v>
      </c>
      <c r="AY855" t="s">
        <v>74</v>
      </c>
      <c r="AZ855" t="s">
        <v>74</v>
      </c>
      <c r="BA855" t="s">
        <v>74</v>
      </c>
      <c r="BB855">
        <v>129</v>
      </c>
      <c r="BC855">
        <v>144</v>
      </c>
      <c r="BD855" t="s">
        <v>74</v>
      </c>
      <c r="BE855" t="s">
        <v>15477</v>
      </c>
      <c r="BF855" t="str">
        <f>HYPERLINK("http://dx.doi.org/10.1016/j.ocemod.2009.12.008","http://dx.doi.org/10.1016/j.ocemod.2009.12.008")</f>
        <v>http://dx.doi.org/10.1016/j.ocemod.2009.12.008</v>
      </c>
      <c r="BG855" t="s">
        <v>74</v>
      </c>
      <c r="BH855" t="s">
        <v>74</v>
      </c>
      <c r="BI855">
        <v>16</v>
      </c>
      <c r="BJ855" t="s">
        <v>5296</v>
      </c>
      <c r="BK855" t="s">
        <v>102</v>
      </c>
      <c r="BL855" t="s">
        <v>5296</v>
      </c>
      <c r="BM855" t="s">
        <v>15478</v>
      </c>
      <c r="BN855" t="s">
        <v>74</v>
      </c>
      <c r="BO855" t="s">
        <v>555</v>
      </c>
      <c r="BP855" t="s">
        <v>74</v>
      </c>
      <c r="BQ855" t="s">
        <v>74</v>
      </c>
      <c r="BR855" t="s">
        <v>105</v>
      </c>
      <c r="BS855" t="s">
        <v>15479</v>
      </c>
      <c r="BT855" t="str">
        <f>HYPERLINK("https%3A%2F%2Fwww.webofscience.com%2Fwos%2Fwoscc%2Ffull-record%2FWOS:000276986700010","View Full Record in Web of Science")</f>
        <v>View Full Record in Web of Science</v>
      </c>
    </row>
    <row r="856" spans="1:72" x14ac:dyDescent="0.15">
      <c r="A856" t="s">
        <v>72</v>
      </c>
      <c r="B856" t="s">
        <v>15480</v>
      </c>
      <c r="C856" t="s">
        <v>74</v>
      </c>
      <c r="D856" t="s">
        <v>74</v>
      </c>
      <c r="E856" t="s">
        <v>74</v>
      </c>
      <c r="F856" t="s">
        <v>15481</v>
      </c>
      <c r="G856" t="s">
        <v>74</v>
      </c>
      <c r="H856" t="s">
        <v>74</v>
      </c>
      <c r="I856" t="s">
        <v>15482</v>
      </c>
      <c r="J856" t="s">
        <v>15397</v>
      </c>
      <c r="K856" t="s">
        <v>74</v>
      </c>
      <c r="L856" t="s">
        <v>74</v>
      </c>
      <c r="M856" t="s">
        <v>78</v>
      </c>
      <c r="N856" t="s">
        <v>79</v>
      </c>
      <c r="O856" t="s">
        <v>74</v>
      </c>
      <c r="P856" t="s">
        <v>74</v>
      </c>
      <c r="Q856" t="s">
        <v>74</v>
      </c>
      <c r="R856" t="s">
        <v>74</v>
      </c>
      <c r="S856" t="s">
        <v>74</v>
      </c>
      <c r="T856" t="s">
        <v>15483</v>
      </c>
      <c r="U856" t="s">
        <v>15484</v>
      </c>
      <c r="V856" t="s">
        <v>15485</v>
      </c>
      <c r="W856" t="s">
        <v>15486</v>
      </c>
      <c r="X856" t="s">
        <v>15487</v>
      </c>
      <c r="Y856" t="s">
        <v>15488</v>
      </c>
      <c r="Z856" t="s">
        <v>15489</v>
      </c>
      <c r="AA856" t="s">
        <v>15490</v>
      </c>
      <c r="AB856" t="s">
        <v>15491</v>
      </c>
      <c r="AC856" t="s">
        <v>74</v>
      </c>
      <c r="AD856" t="s">
        <v>74</v>
      </c>
      <c r="AE856" t="s">
        <v>74</v>
      </c>
      <c r="AF856" t="s">
        <v>74</v>
      </c>
      <c r="AG856">
        <v>26</v>
      </c>
      <c r="AH856">
        <v>24</v>
      </c>
      <c r="AI856">
        <v>26</v>
      </c>
      <c r="AJ856">
        <v>0</v>
      </c>
      <c r="AK856">
        <v>6</v>
      </c>
      <c r="AL856" t="s">
        <v>2285</v>
      </c>
      <c r="AM856" t="s">
        <v>1064</v>
      </c>
      <c r="AN856" t="s">
        <v>2286</v>
      </c>
      <c r="AO856" t="s">
        <v>15409</v>
      </c>
      <c r="AP856" t="s">
        <v>15410</v>
      </c>
      <c r="AQ856" t="s">
        <v>74</v>
      </c>
      <c r="AR856" t="s">
        <v>15411</v>
      </c>
      <c r="AS856" t="s">
        <v>15412</v>
      </c>
      <c r="AT856" t="s">
        <v>74</v>
      </c>
      <c r="AU856">
        <v>2010</v>
      </c>
      <c r="AV856">
        <v>32</v>
      </c>
      <c r="AW856" t="s">
        <v>971</v>
      </c>
      <c r="AX856" t="s">
        <v>74</v>
      </c>
      <c r="AY856" t="s">
        <v>74</v>
      </c>
      <c r="AZ856" t="s">
        <v>152</v>
      </c>
      <c r="BA856" t="s">
        <v>74</v>
      </c>
      <c r="BB856">
        <v>105</v>
      </c>
      <c r="BC856">
        <v>117</v>
      </c>
      <c r="BD856" t="s">
        <v>74</v>
      </c>
      <c r="BE856" t="s">
        <v>15492</v>
      </c>
      <c r="BF856" t="str">
        <f>HYPERLINK("http://dx.doi.org/10.1016/j.ocemod.2009.10.006","http://dx.doi.org/10.1016/j.ocemod.2009.10.006")</f>
        <v>http://dx.doi.org/10.1016/j.ocemod.2009.10.006</v>
      </c>
      <c r="BG856" t="s">
        <v>74</v>
      </c>
      <c r="BH856" t="s">
        <v>74</v>
      </c>
      <c r="BI856">
        <v>13</v>
      </c>
      <c r="BJ856" t="s">
        <v>5296</v>
      </c>
      <c r="BK856" t="s">
        <v>102</v>
      </c>
      <c r="BL856" t="s">
        <v>5296</v>
      </c>
      <c r="BM856" t="s">
        <v>15493</v>
      </c>
      <c r="BN856" t="s">
        <v>74</v>
      </c>
      <c r="BO856" t="s">
        <v>74</v>
      </c>
      <c r="BP856" t="s">
        <v>74</v>
      </c>
      <c r="BQ856" t="s">
        <v>74</v>
      </c>
      <c r="BR856" t="s">
        <v>105</v>
      </c>
      <c r="BS856" t="s">
        <v>15494</v>
      </c>
      <c r="BT856" t="str">
        <f>HYPERLINK("https%3A%2F%2Fwww.webofscience.com%2Fwos%2Fwoscc%2Ffull-record%2FWOS:000276940500001","View Full Record in Web of Science")</f>
        <v>View Full Record in Web of Science</v>
      </c>
    </row>
    <row r="857" spans="1:72" x14ac:dyDescent="0.15">
      <c r="A857" t="s">
        <v>72</v>
      </c>
      <c r="B857" t="s">
        <v>15495</v>
      </c>
      <c r="C857" t="s">
        <v>74</v>
      </c>
      <c r="D857" t="s">
        <v>74</v>
      </c>
      <c r="E857" t="s">
        <v>74</v>
      </c>
      <c r="F857" t="s">
        <v>15496</v>
      </c>
      <c r="G857" t="s">
        <v>74</v>
      </c>
      <c r="H857" t="s">
        <v>74</v>
      </c>
      <c r="I857" t="s">
        <v>15497</v>
      </c>
      <c r="J857" t="s">
        <v>15498</v>
      </c>
      <c r="K857" t="s">
        <v>74</v>
      </c>
      <c r="L857" t="s">
        <v>74</v>
      </c>
      <c r="M857" t="s">
        <v>78</v>
      </c>
      <c r="N857" t="s">
        <v>79</v>
      </c>
      <c r="O857" t="s">
        <v>74</v>
      </c>
      <c r="P857" t="s">
        <v>74</v>
      </c>
      <c r="Q857" t="s">
        <v>74</v>
      </c>
      <c r="R857" t="s">
        <v>74</v>
      </c>
      <c r="S857" t="s">
        <v>74</v>
      </c>
      <c r="T857" t="s">
        <v>74</v>
      </c>
      <c r="U857" t="s">
        <v>15499</v>
      </c>
      <c r="V857" t="s">
        <v>15500</v>
      </c>
      <c r="W857" t="s">
        <v>15501</v>
      </c>
      <c r="X857" t="s">
        <v>15502</v>
      </c>
      <c r="Y857" t="s">
        <v>15503</v>
      </c>
      <c r="Z857" t="s">
        <v>15504</v>
      </c>
      <c r="AA857" t="s">
        <v>15505</v>
      </c>
      <c r="AB857" t="s">
        <v>15506</v>
      </c>
      <c r="AC857" t="s">
        <v>15507</v>
      </c>
      <c r="AD857" t="s">
        <v>404</v>
      </c>
      <c r="AE857" t="s">
        <v>74</v>
      </c>
      <c r="AF857" t="s">
        <v>74</v>
      </c>
      <c r="AG857">
        <v>29</v>
      </c>
      <c r="AH857">
        <v>18</v>
      </c>
      <c r="AI857">
        <v>18</v>
      </c>
      <c r="AJ857">
        <v>1</v>
      </c>
      <c r="AK857">
        <v>3</v>
      </c>
      <c r="AL857" t="s">
        <v>8999</v>
      </c>
      <c r="AM857" t="s">
        <v>9000</v>
      </c>
      <c r="AN857" t="s">
        <v>9001</v>
      </c>
      <c r="AO857" t="s">
        <v>15508</v>
      </c>
      <c r="AP857" t="s">
        <v>74</v>
      </c>
      <c r="AQ857" t="s">
        <v>74</v>
      </c>
      <c r="AR857" t="s">
        <v>15509</v>
      </c>
      <c r="AS857" t="s">
        <v>15510</v>
      </c>
      <c r="AT857" t="s">
        <v>74</v>
      </c>
      <c r="AU857">
        <v>2010</v>
      </c>
      <c r="AV857">
        <v>6</v>
      </c>
      <c r="AW857">
        <v>1</v>
      </c>
      <c r="AX857" t="s">
        <v>74</v>
      </c>
      <c r="AY857" t="s">
        <v>74</v>
      </c>
      <c r="AZ857" t="s">
        <v>74</v>
      </c>
      <c r="BA857" t="s">
        <v>74</v>
      </c>
      <c r="BB857">
        <v>41</v>
      </c>
      <c r="BC857">
        <v>50</v>
      </c>
      <c r="BD857" t="s">
        <v>74</v>
      </c>
      <c r="BE857" t="s">
        <v>15511</v>
      </c>
      <c r="BF857" t="str">
        <f>HYPERLINK("http://dx.doi.org/10.5194/os-6-41-2010","http://dx.doi.org/10.5194/os-6-41-2010")</f>
        <v>http://dx.doi.org/10.5194/os-6-41-2010</v>
      </c>
      <c r="BG857" t="s">
        <v>74</v>
      </c>
      <c r="BH857" t="s">
        <v>74</v>
      </c>
      <c r="BI857">
        <v>10</v>
      </c>
      <c r="BJ857" t="s">
        <v>5296</v>
      </c>
      <c r="BK857" t="s">
        <v>102</v>
      </c>
      <c r="BL857" t="s">
        <v>5296</v>
      </c>
      <c r="BM857" t="s">
        <v>15512</v>
      </c>
      <c r="BN857" t="s">
        <v>74</v>
      </c>
      <c r="BO857" t="s">
        <v>15513</v>
      </c>
      <c r="BP857" t="s">
        <v>74</v>
      </c>
      <c r="BQ857" t="s">
        <v>74</v>
      </c>
      <c r="BR857" t="s">
        <v>105</v>
      </c>
      <c r="BS857" t="s">
        <v>15514</v>
      </c>
      <c r="BT857" t="str">
        <f>HYPERLINK("https%3A%2F%2Fwww.webofscience.com%2Fwos%2Fwoscc%2Ffull-record%2FWOS:000276175700004","View Full Record in Web of Science")</f>
        <v>View Full Record in Web of Science</v>
      </c>
    </row>
    <row r="858" spans="1:72" x14ac:dyDescent="0.15">
      <c r="A858" t="s">
        <v>72</v>
      </c>
      <c r="B858" t="s">
        <v>15515</v>
      </c>
      <c r="C858" t="s">
        <v>74</v>
      </c>
      <c r="D858" t="s">
        <v>74</v>
      </c>
      <c r="E858" t="s">
        <v>74</v>
      </c>
      <c r="F858" t="s">
        <v>15516</v>
      </c>
      <c r="G858" t="s">
        <v>74</v>
      </c>
      <c r="H858" t="s">
        <v>74</v>
      </c>
      <c r="I858" t="s">
        <v>15517</v>
      </c>
      <c r="J858" t="s">
        <v>15498</v>
      </c>
      <c r="K858" t="s">
        <v>74</v>
      </c>
      <c r="L858" t="s">
        <v>74</v>
      </c>
      <c r="M858" t="s">
        <v>78</v>
      </c>
      <c r="N858" t="s">
        <v>79</v>
      </c>
      <c r="O858" t="s">
        <v>74</v>
      </c>
      <c r="P858" t="s">
        <v>74</v>
      </c>
      <c r="Q858" t="s">
        <v>74</v>
      </c>
      <c r="R858" t="s">
        <v>74</v>
      </c>
      <c r="S858" t="s">
        <v>74</v>
      </c>
      <c r="T858" t="s">
        <v>74</v>
      </c>
      <c r="U858" t="s">
        <v>15518</v>
      </c>
      <c r="V858" t="s">
        <v>15519</v>
      </c>
      <c r="W858" t="s">
        <v>15520</v>
      </c>
      <c r="X858" t="s">
        <v>15521</v>
      </c>
      <c r="Y858" t="s">
        <v>15522</v>
      </c>
      <c r="Z858" t="s">
        <v>15523</v>
      </c>
      <c r="AA858" t="s">
        <v>74</v>
      </c>
      <c r="AB858" t="s">
        <v>74</v>
      </c>
      <c r="AC858" t="s">
        <v>74</v>
      </c>
      <c r="AD858" t="s">
        <v>74</v>
      </c>
      <c r="AE858" t="s">
        <v>74</v>
      </c>
      <c r="AF858" t="s">
        <v>74</v>
      </c>
      <c r="AG858">
        <v>18</v>
      </c>
      <c r="AH858">
        <v>3</v>
      </c>
      <c r="AI858">
        <v>3</v>
      </c>
      <c r="AJ858">
        <v>0</v>
      </c>
      <c r="AK858">
        <v>2</v>
      </c>
      <c r="AL858" t="s">
        <v>8999</v>
      </c>
      <c r="AM858" t="s">
        <v>9000</v>
      </c>
      <c r="AN858" t="s">
        <v>9001</v>
      </c>
      <c r="AO858" t="s">
        <v>15508</v>
      </c>
      <c r="AP858" t="s">
        <v>74</v>
      </c>
      <c r="AQ858" t="s">
        <v>74</v>
      </c>
      <c r="AR858" t="s">
        <v>15509</v>
      </c>
      <c r="AS858" t="s">
        <v>15510</v>
      </c>
      <c r="AT858" t="s">
        <v>74</v>
      </c>
      <c r="AU858">
        <v>2010</v>
      </c>
      <c r="AV858">
        <v>6</v>
      </c>
      <c r="AW858">
        <v>1</v>
      </c>
      <c r="AX858" t="s">
        <v>74</v>
      </c>
      <c r="AY858" t="s">
        <v>74</v>
      </c>
      <c r="AZ858" t="s">
        <v>74</v>
      </c>
      <c r="BA858" t="s">
        <v>74</v>
      </c>
      <c r="BB858">
        <v>211</v>
      </c>
      <c r="BC858">
        <v>217</v>
      </c>
      <c r="BD858" t="s">
        <v>74</v>
      </c>
      <c r="BE858" t="s">
        <v>15524</v>
      </c>
      <c r="BF858" t="str">
        <f>HYPERLINK("http://dx.doi.org/10.5194/os-6-211-2010","http://dx.doi.org/10.5194/os-6-211-2010")</f>
        <v>http://dx.doi.org/10.5194/os-6-211-2010</v>
      </c>
      <c r="BG858" t="s">
        <v>74</v>
      </c>
      <c r="BH858" t="s">
        <v>74</v>
      </c>
      <c r="BI858">
        <v>7</v>
      </c>
      <c r="BJ858" t="s">
        <v>5296</v>
      </c>
      <c r="BK858" t="s">
        <v>102</v>
      </c>
      <c r="BL858" t="s">
        <v>5296</v>
      </c>
      <c r="BM858" t="s">
        <v>15512</v>
      </c>
      <c r="BN858" t="s">
        <v>74</v>
      </c>
      <c r="BO858" t="s">
        <v>8695</v>
      </c>
      <c r="BP858" t="s">
        <v>74</v>
      </c>
      <c r="BQ858" t="s">
        <v>74</v>
      </c>
      <c r="BR858" t="s">
        <v>105</v>
      </c>
      <c r="BS858" t="s">
        <v>15525</v>
      </c>
      <c r="BT858" t="str">
        <f>HYPERLINK("https%3A%2F%2Fwww.webofscience.com%2Fwos%2Fwoscc%2Ffull-record%2FWOS:000276175700014","View Full Record in Web of Science")</f>
        <v>View Full Record in Web of Science</v>
      </c>
    </row>
    <row r="859" spans="1:72" x14ac:dyDescent="0.15">
      <c r="A859" t="s">
        <v>72</v>
      </c>
      <c r="B859" t="s">
        <v>15526</v>
      </c>
      <c r="C859" t="s">
        <v>74</v>
      </c>
      <c r="D859" t="s">
        <v>74</v>
      </c>
      <c r="E859" t="s">
        <v>74</v>
      </c>
      <c r="F859" t="s">
        <v>15527</v>
      </c>
      <c r="G859" t="s">
        <v>74</v>
      </c>
      <c r="H859" t="s">
        <v>74</v>
      </c>
      <c r="I859" t="s">
        <v>15528</v>
      </c>
      <c r="J859" t="s">
        <v>15498</v>
      </c>
      <c r="K859" t="s">
        <v>74</v>
      </c>
      <c r="L859" t="s">
        <v>74</v>
      </c>
      <c r="M859" t="s">
        <v>78</v>
      </c>
      <c r="N859" t="s">
        <v>79</v>
      </c>
      <c r="O859" t="s">
        <v>74</v>
      </c>
      <c r="P859" t="s">
        <v>74</v>
      </c>
      <c r="Q859" t="s">
        <v>74</v>
      </c>
      <c r="R859" t="s">
        <v>74</v>
      </c>
      <c r="S859" t="s">
        <v>74</v>
      </c>
      <c r="T859" t="s">
        <v>74</v>
      </c>
      <c r="U859" t="s">
        <v>15529</v>
      </c>
      <c r="V859" t="s">
        <v>15530</v>
      </c>
      <c r="W859" t="s">
        <v>15531</v>
      </c>
      <c r="X859" t="s">
        <v>15532</v>
      </c>
      <c r="Y859" t="s">
        <v>15533</v>
      </c>
      <c r="Z859" t="s">
        <v>15534</v>
      </c>
      <c r="AA859" t="s">
        <v>15535</v>
      </c>
      <c r="AB859" t="s">
        <v>74</v>
      </c>
      <c r="AC859" t="s">
        <v>15536</v>
      </c>
      <c r="AD859" t="s">
        <v>15537</v>
      </c>
      <c r="AE859" t="s">
        <v>15538</v>
      </c>
      <c r="AF859" t="s">
        <v>74</v>
      </c>
      <c r="AG859">
        <v>48</v>
      </c>
      <c r="AH859">
        <v>131</v>
      </c>
      <c r="AI859">
        <v>140</v>
      </c>
      <c r="AJ859">
        <v>1</v>
      </c>
      <c r="AK859">
        <v>26</v>
      </c>
      <c r="AL859" t="s">
        <v>8999</v>
      </c>
      <c r="AM859" t="s">
        <v>9000</v>
      </c>
      <c r="AN859" t="s">
        <v>9001</v>
      </c>
      <c r="AO859" t="s">
        <v>15508</v>
      </c>
      <c r="AP859" t="s">
        <v>74</v>
      </c>
      <c r="AQ859" t="s">
        <v>74</v>
      </c>
      <c r="AR859" t="s">
        <v>15509</v>
      </c>
      <c r="AS859" t="s">
        <v>15510</v>
      </c>
      <c r="AT859" t="s">
        <v>74</v>
      </c>
      <c r="AU859">
        <v>2010</v>
      </c>
      <c r="AV859">
        <v>6</v>
      </c>
      <c r="AW859">
        <v>1</v>
      </c>
      <c r="AX859" t="s">
        <v>74</v>
      </c>
      <c r="AY859" t="s">
        <v>74</v>
      </c>
      <c r="AZ859" t="s">
        <v>74</v>
      </c>
      <c r="BA859" t="s">
        <v>74</v>
      </c>
      <c r="BB859">
        <v>219</v>
      </c>
      <c r="BC859">
        <v>234</v>
      </c>
      <c r="BD859" t="s">
        <v>74</v>
      </c>
      <c r="BE859" t="s">
        <v>15539</v>
      </c>
      <c r="BF859" t="str">
        <f>HYPERLINK("http://dx.doi.org/10.5194/os-6-219-2010","http://dx.doi.org/10.5194/os-6-219-2010")</f>
        <v>http://dx.doi.org/10.5194/os-6-219-2010</v>
      </c>
      <c r="BG859" t="s">
        <v>74</v>
      </c>
      <c r="BH859" t="s">
        <v>74</v>
      </c>
      <c r="BI859">
        <v>16</v>
      </c>
      <c r="BJ859" t="s">
        <v>5296</v>
      </c>
      <c r="BK859" t="s">
        <v>102</v>
      </c>
      <c r="BL859" t="s">
        <v>5296</v>
      </c>
      <c r="BM859" t="s">
        <v>15512</v>
      </c>
      <c r="BN859" t="s">
        <v>74</v>
      </c>
      <c r="BO859" t="s">
        <v>5253</v>
      </c>
      <c r="BP859" t="s">
        <v>74</v>
      </c>
      <c r="BQ859" t="s">
        <v>74</v>
      </c>
      <c r="BR859" t="s">
        <v>105</v>
      </c>
      <c r="BS859" t="s">
        <v>15540</v>
      </c>
      <c r="BT859" t="str">
        <f>HYPERLINK("https%3A%2F%2Fwww.webofscience.com%2Fwos%2Fwoscc%2Ffull-record%2FWOS:000276175700015","View Full Record in Web of Science")</f>
        <v>View Full Record in Web of Science</v>
      </c>
    </row>
    <row r="860" spans="1:72" x14ac:dyDescent="0.15">
      <c r="A860" t="s">
        <v>72</v>
      </c>
      <c r="B860" t="s">
        <v>15541</v>
      </c>
      <c r="C860" t="s">
        <v>74</v>
      </c>
      <c r="D860" t="s">
        <v>74</v>
      </c>
      <c r="E860" t="s">
        <v>74</v>
      </c>
      <c r="F860" t="s">
        <v>15542</v>
      </c>
      <c r="G860" t="s">
        <v>74</v>
      </c>
      <c r="H860" t="s">
        <v>74</v>
      </c>
      <c r="I860" t="s">
        <v>15543</v>
      </c>
      <c r="J860" t="s">
        <v>15498</v>
      </c>
      <c r="K860" t="s">
        <v>74</v>
      </c>
      <c r="L860" t="s">
        <v>74</v>
      </c>
      <c r="M860" t="s">
        <v>78</v>
      </c>
      <c r="N860" t="s">
        <v>79</v>
      </c>
      <c r="O860" t="s">
        <v>74</v>
      </c>
      <c r="P860" t="s">
        <v>74</v>
      </c>
      <c r="Q860" t="s">
        <v>74</v>
      </c>
      <c r="R860" t="s">
        <v>74</v>
      </c>
      <c r="S860" t="s">
        <v>74</v>
      </c>
      <c r="T860" t="s">
        <v>74</v>
      </c>
      <c r="U860" t="s">
        <v>15544</v>
      </c>
      <c r="V860" t="s">
        <v>15545</v>
      </c>
      <c r="W860" t="s">
        <v>15546</v>
      </c>
      <c r="X860" t="s">
        <v>1161</v>
      </c>
      <c r="Y860" t="s">
        <v>15547</v>
      </c>
      <c r="Z860" t="s">
        <v>15548</v>
      </c>
      <c r="AA860" t="s">
        <v>74</v>
      </c>
      <c r="AB860" t="s">
        <v>15549</v>
      </c>
      <c r="AC860" t="s">
        <v>15550</v>
      </c>
      <c r="AD860" t="s">
        <v>15551</v>
      </c>
      <c r="AE860" t="s">
        <v>15552</v>
      </c>
      <c r="AF860" t="s">
        <v>74</v>
      </c>
      <c r="AG860">
        <v>56</v>
      </c>
      <c r="AH860">
        <v>46</v>
      </c>
      <c r="AI860">
        <v>50</v>
      </c>
      <c r="AJ860">
        <v>0</v>
      </c>
      <c r="AK860">
        <v>23</v>
      </c>
      <c r="AL860" t="s">
        <v>8999</v>
      </c>
      <c r="AM860" t="s">
        <v>9000</v>
      </c>
      <c r="AN860" t="s">
        <v>9001</v>
      </c>
      <c r="AO860" t="s">
        <v>15508</v>
      </c>
      <c r="AP860" t="s">
        <v>74</v>
      </c>
      <c r="AQ860" t="s">
        <v>74</v>
      </c>
      <c r="AR860" t="s">
        <v>15509</v>
      </c>
      <c r="AS860" t="s">
        <v>15510</v>
      </c>
      <c r="AT860" t="s">
        <v>74</v>
      </c>
      <c r="AU860">
        <v>2010</v>
      </c>
      <c r="AV860">
        <v>6</v>
      </c>
      <c r="AW860">
        <v>2</v>
      </c>
      <c r="AX860" t="s">
        <v>74</v>
      </c>
      <c r="AY860" t="s">
        <v>74</v>
      </c>
      <c r="AZ860" t="s">
        <v>74</v>
      </c>
      <c r="BA860" t="s">
        <v>74</v>
      </c>
      <c r="BB860">
        <v>513</v>
      </c>
      <c r="BC860">
        <v>524</v>
      </c>
      <c r="BD860" t="s">
        <v>74</v>
      </c>
      <c r="BE860" t="s">
        <v>15553</v>
      </c>
      <c r="BF860" t="str">
        <f>HYPERLINK("http://dx.doi.org/10.5194/os-6-513-2010","http://dx.doi.org/10.5194/os-6-513-2010")</f>
        <v>http://dx.doi.org/10.5194/os-6-513-2010</v>
      </c>
      <c r="BG860" t="s">
        <v>74</v>
      </c>
      <c r="BH860" t="s">
        <v>74</v>
      </c>
      <c r="BI860">
        <v>12</v>
      </c>
      <c r="BJ860" t="s">
        <v>5296</v>
      </c>
      <c r="BK860" t="s">
        <v>102</v>
      </c>
      <c r="BL860" t="s">
        <v>5296</v>
      </c>
      <c r="BM860" t="s">
        <v>15554</v>
      </c>
      <c r="BN860" t="s">
        <v>74</v>
      </c>
      <c r="BO860" t="s">
        <v>5253</v>
      </c>
      <c r="BP860" t="s">
        <v>74</v>
      </c>
      <c r="BQ860" t="s">
        <v>74</v>
      </c>
      <c r="BR860" t="s">
        <v>105</v>
      </c>
      <c r="BS860" t="s">
        <v>15555</v>
      </c>
      <c r="BT860" t="str">
        <f>HYPERLINK("https%3A%2F%2Fwww.webofscience.com%2Fwos%2Fwoscc%2Ffull-record%2FWOS:000279390000007","View Full Record in Web of Science")</f>
        <v>View Full Record in Web of Science</v>
      </c>
    </row>
    <row r="861" spans="1:72" x14ac:dyDescent="0.15">
      <c r="A861" t="s">
        <v>8563</v>
      </c>
      <c r="B861" t="s">
        <v>15556</v>
      </c>
      <c r="C861" t="s">
        <v>15556</v>
      </c>
      <c r="D861" t="s">
        <v>74</v>
      </c>
      <c r="E861" t="s">
        <v>74</v>
      </c>
      <c r="F861" t="s">
        <v>15557</v>
      </c>
      <c r="G861" t="s">
        <v>15556</v>
      </c>
      <c r="H861" t="s">
        <v>74</v>
      </c>
      <c r="I861" t="s">
        <v>15558</v>
      </c>
      <c r="J861" t="s">
        <v>15559</v>
      </c>
      <c r="K861" t="s">
        <v>74</v>
      </c>
      <c r="L861" t="s">
        <v>74</v>
      </c>
      <c r="M861" t="s">
        <v>78</v>
      </c>
      <c r="N861" t="s">
        <v>8859</v>
      </c>
      <c r="O861" t="s">
        <v>74</v>
      </c>
      <c r="P861" t="s">
        <v>74</v>
      </c>
      <c r="Q861" t="s">
        <v>74</v>
      </c>
      <c r="R861" t="s">
        <v>74</v>
      </c>
      <c r="S861" t="s">
        <v>74</v>
      </c>
      <c r="T861" t="s">
        <v>74</v>
      </c>
      <c r="U861" t="s">
        <v>15560</v>
      </c>
      <c r="V861" t="s">
        <v>74</v>
      </c>
      <c r="W861" t="s">
        <v>15561</v>
      </c>
      <c r="X861" t="s">
        <v>15562</v>
      </c>
      <c r="Y861" t="s">
        <v>15563</v>
      </c>
      <c r="Z861" t="s">
        <v>74</v>
      </c>
      <c r="AA861" t="s">
        <v>15564</v>
      </c>
      <c r="AB861" t="s">
        <v>74</v>
      </c>
      <c r="AC861" t="s">
        <v>74</v>
      </c>
      <c r="AD861" t="s">
        <v>74</v>
      </c>
      <c r="AE861" t="s">
        <v>74</v>
      </c>
      <c r="AF861" t="s">
        <v>74</v>
      </c>
      <c r="AG861">
        <v>20</v>
      </c>
      <c r="AH861">
        <v>2</v>
      </c>
      <c r="AI861">
        <v>2</v>
      </c>
      <c r="AJ861">
        <v>0</v>
      </c>
      <c r="AK861">
        <v>0</v>
      </c>
      <c r="AL861" t="s">
        <v>11496</v>
      </c>
      <c r="AM861" t="s">
        <v>11497</v>
      </c>
      <c r="AN861" t="s">
        <v>11498</v>
      </c>
      <c r="AO861" t="s">
        <v>74</v>
      </c>
      <c r="AP861" t="s">
        <v>74</v>
      </c>
      <c r="AQ861" t="s">
        <v>15565</v>
      </c>
      <c r="AR861" t="s">
        <v>74</v>
      </c>
      <c r="AS861" t="s">
        <v>74</v>
      </c>
      <c r="AT861" t="s">
        <v>74</v>
      </c>
      <c r="AU861">
        <v>2010</v>
      </c>
      <c r="AV861" t="s">
        <v>74</v>
      </c>
      <c r="AW861" t="s">
        <v>74</v>
      </c>
      <c r="AX861" t="s">
        <v>74</v>
      </c>
      <c r="AY861" t="s">
        <v>74</v>
      </c>
      <c r="AZ861" t="s">
        <v>74</v>
      </c>
      <c r="BA861" t="s">
        <v>74</v>
      </c>
      <c r="BB861">
        <v>83</v>
      </c>
      <c r="BC861">
        <v>93</v>
      </c>
      <c r="BD861" t="s">
        <v>74</v>
      </c>
      <c r="BE861" t="s">
        <v>74</v>
      </c>
      <c r="BF861" t="s">
        <v>74</v>
      </c>
      <c r="BG861" t="s">
        <v>74</v>
      </c>
      <c r="BH861" t="s">
        <v>74</v>
      </c>
      <c r="BI861">
        <v>11</v>
      </c>
      <c r="BJ861" t="s">
        <v>7136</v>
      </c>
      <c r="BK861" t="s">
        <v>8579</v>
      </c>
      <c r="BL861" t="s">
        <v>7136</v>
      </c>
      <c r="BM861" t="s">
        <v>15566</v>
      </c>
      <c r="BN861" t="s">
        <v>74</v>
      </c>
      <c r="BO861" t="s">
        <v>74</v>
      </c>
      <c r="BP861" t="s">
        <v>74</v>
      </c>
      <c r="BQ861" t="s">
        <v>74</v>
      </c>
      <c r="BR861" t="s">
        <v>105</v>
      </c>
      <c r="BS861" t="s">
        <v>15567</v>
      </c>
      <c r="BT861" t="str">
        <f>HYPERLINK("https%3A%2F%2Fwww.webofscience.com%2Fwos%2Fwoscc%2Ffull-record%2FWOS:000361893800011","View Full Record in Web of Science")</f>
        <v>View Full Record in Web of Science</v>
      </c>
    </row>
    <row r="862" spans="1:72" x14ac:dyDescent="0.15">
      <c r="A862" t="s">
        <v>72</v>
      </c>
      <c r="B862" t="s">
        <v>15568</v>
      </c>
      <c r="C862" t="s">
        <v>74</v>
      </c>
      <c r="D862" t="s">
        <v>74</v>
      </c>
      <c r="E862" t="s">
        <v>74</v>
      </c>
      <c r="F862" t="s">
        <v>15569</v>
      </c>
      <c r="G862" t="s">
        <v>74</v>
      </c>
      <c r="H862" t="s">
        <v>74</v>
      </c>
      <c r="I862" t="s">
        <v>15570</v>
      </c>
      <c r="J862" t="s">
        <v>15571</v>
      </c>
      <c r="K862" t="s">
        <v>74</v>
      </c>
      <c r="L862" t="s">
        <v>74</v>
      </c>
      <c r="M862" t="s">
        <v>78</v>
      </c>
      <c r="N862" t="s">
        <v>79</v>
      </c>
      <c r="O862" t="s">
        <v>74</v>
      </c>
      <c r="P862" t="s">
        <v>74</v>
      </c>
      <c r="Q862" t="s">
        <v>74</v>
      </c>
      <c r="R862" t="s">
        <v>74</v>
      </c>
      <c r="S862" t="s">
        <v>74</v>
      </c>
      <c r="T862" t="s">
        <v>74</v>
      </c>
      <c r="U862" t="s">
        <v>15572</v>
      </c>
      <c r="V862" t="s">
        <v>15573</v>
      </c>
      <c r="W862" t="s">
        <v>15574</v>
      </c>
      <c r="X862" t="s">
        <v>15575</v>
      </c>
      <c r="Y862" t="s">
        <v>15576</v>
      </c>
      <c r="Z862" t="s">
        <v>15577</v>
      </c>
      <c r="AA862" t="s">
        <v>15578</v>
      </c>
      <c r="AB862" t="s">
        <v>15579</v>
      </c>
      <c r="AC862" t="s">
        <v>74</v>
      </c>
      <c r="AD862" t="s">
        <v>74</v>
      </c>
      <c r="AE862" t="s">
        <v>74</v>
      </c>
      <c r="AF862" t="s">
        <v>74</v>
      </c>
      <c r="AG862">
        <v>33</v>
      </c>
      <c r="AH862">
        <v>9</v>
      </c>
      <c r="AI862">
        <v>9</v>
      </c>
      <c r="AJ862">
        <v>0</v>
      </c>
      <c r="AK862">
        <v>9</v>
      </c>
      <c r="AL862" t="s">
        <v>15580</v>
      </c>
      <c r="AM862" t="s">
        <v>1896</v>
      </c>
      <c r="AN862" t="s">
        <v>15581</v>
      </c>
      <c r="AO862" t="s">
        <v>15582</v>
      </c>
      <c r="AP862" t="s">
        <v>15583</v>
      </c>
      <c r="AQ862" t="s">
        <v>74</v>
      </c>
      <c r="AR862" t="s">
        <v>15584</v>
      </c>
      <c r="AS862" t="s">
        <v>15585</v>
      </c>
      <c r="AT862" t="s">
        <v>74</v>
      </c>
      <c r="AU862">
        <v>2010</v>
      </c>
      <c r="AV862">
        <v>8</v>
      </c>
      <c r="AW862">
        <v>23</v>
      </c>
      <c r="AX862" t="s">
        <v>74</v>
      </c>
      <c r="AY862" t="s">
        <v>74</v>
      </c>
      <c r="AZ862" t="s">
        <v>74</v>
      </c>
      <c r="BA862" t="s">
        <v>74</v>
      </c>
      <c r="BB862">
        <v>5404</v>
      </c>
      <c r="BC862">
        <v>5410</v>
      </c>
      <c r="BD862" t="s">
        <v>74</v>
      </c>
      <c r="BE862" t="s">
        <v>15586</v>
      </c>
      <c r="BF862" t="str">
        <f>HYPERLINK("http://dx.doi.org/10.1039/c0ob00516a","http://dx.doi.org/10.1039/c0ob00516a")</f>
        <v>http://dx.doi.org/10.1039/c0ob00516a</v>
      </c>
      <c r="BG862" t="s">
        <v>74</v>
      </c>
      <c r="BH862" t="s">
        <v>74</v>
      </c>
      <c r="BI862">
        <v>7</v>
      </c>
      <c r="BJ862" t="s">
        <v>5596</v>
      </c>
      <c r="BK862" t="s">
        <v>2027</v>
      </c>
      <c r="BL862" t="s">
        <v>2921</v>
      </c>
      <c r="BM862" t="s">
        <v>15587</v>
      </c>
      <c r="BN862">
        <v>20890499</v>
      </c>
      <c r="BO862" t="s">
        <v>74</v>
      </c>
      <c r="BP862" t="s">
        <v>74</v>
      </c>
      <c r="BQ862" t="s">
        <v>74</v>
      </c>
      <c r="BR862" t="s">
        <v>105</v>
      </c>
      <c r="BS862" t="s">
        <v>15588</v>
      </c>
      <c r="BT862" t="str">
        <f>HYPERLINK("https%3A%2F%2Fwww.webofscience.com%2Fwos%2Fwoscc%2Ffull-record%2FWOS:000284065000019","View Full Record in Web of Science")</f>
        <v>View Full Record in Web of Science</v>
      </c>
    </row>
    <row r="863" spans="1:72" x14ac:dyDescent="0.15">
      <c r="A863" t="s">
        <v>72</v>
      </c>
      <c r="B863" t="s">
        <v>15589</v>
      </c>
      <c r="C863" t="s">
        <v>74</v>
      </c>
      <c r="D863" t="s">
        <v>74</v>
      </c>
      <c r="E863" t="s">
        <v>74</v>
      </c>
      <c r="F863" t="s">
        <v>15590</v>
      </c>
      <c r="G863" t="s">
        <v>74</v>
      </c>
      <c r="H863" t="s">
        <v>74</v>
      </c>
      <c r="I863" t="s">
        <v>15591</v>
      </c>
      <c r="J863" t="s">
        <v>15592</v>
      </c>
      <c r="K863" t="s">
        <v>74</v>
      </c>
      <c r="L863" t="s">
        <v>74</v>
      </c>
      <c r="M863" t="s">
        <v>78</v>
      </c>
      <c r="N863" t="s">
        <v>79</v>
      </c>
      <c r="O863" t="s">
        <v>74</v>
      </c>
      <c r="P863" t="s">
        <v>74</v>
      </c>
      <c r="Q863" t="s">
        <v>74</v>
      </c>
      <c r="R863" t="s">
        <v>74</v>
      </c>
      <c r="S863" t="s">
        <v>74</v>
      </c>
      <c r="T863" t="s">
        <v>15593</v>
      </c>
      <c r="U863" t="s">
        <v>15594</v>
      </c>
      <c r="V863" t="s">
        <v>15595</v>
      </c>
      <c r="W863" t="s">
        <v>15596</v>
      </c>
      <c r="X863" t="s">
        <v>15597</v>
      </c>
      <c r="Y863" t="s">
        <v>15598</v>
      </c>
      <c r="Z863" t="s">
        <v>74</v>
      </c>
      <c r="AA863" t="s">
        <v>15599</v>
      </c>
      <c r="AB863" t="s">
        <v>15600</v>
      </c>
      <c r="AC863" t="s">
        <v>15601</v>
      </c>
      <c r="AD863" t="s">
        <v>15602</v>
      </c>
      <c r="AE863" t="s">
        <v>15603</v>
      </c>
      <c r="AF863" t="s">
        <v>74</v>
      </c>
      <c r="AG863">
        <v>62</v>
      </c>
      <c r="AH863">
        <v>64</v>
      </c>
      <c r="AI863">
        <v>74</v>
      </c>
      <c r="AJ863">
        <v>4</v>
      </c>
      <c r="AK863">
        <v>101</v>
      </c>
      <c r="AL863" t="s">
        <v>587</v>
      </c>
      <c r="AM863" t="s">
        <v>225</v>
      </c>
      <c r="AN863" t="s">
        <v>588</v>
      </c>
      <c r="AO863" t="s">
        <v>15604</v>
      </c>
      <c r="AP863" t="s">
        <v>15605</v>
      </c>
      <c r="AQ863" t="s">
        <v>74</v>
      </c>
      <c r="AR863" t="s">
        <v>15592</v>
      </c>
      <c r="AS863" t="s">
        <v>15606</v>
      </c>
      <c r="AT863" t="s">
        <v>8958</v>
      </c>
      <c r="AU863">
        <v>2010</v>
      </c>
      <c r="AV863">
        <v>44</v>
      </c>
      <c r="AW863">
        <v>1</v>
      </c>
      <c r="AX863" t="s">
        <v>74</v>
      </c>
      <c r="AY863" t="s">
        <v>74</v>
      </c>
      <c r="AZ863" t="s">
        <v>74</v>
      </c>
      <c r="BA863" t="s">
        <v>74</v>
      </c>
      <c r="BB863">
        <v>20</v>
      </c>
      <c r="BC863">
        <v>29</v>
      </c>
      <c r="BD863" t="s">
        <v>74</v>
      </c>
      <c r="BE863" t="s">
        <v>15607</v>
      </c>
      <c r="BF863" t="str">
        <f>HYPERLINK("http://dx.doi.org/10.1017/S003060530999069X","http://dx.doi.org/10.1017/S003060530999069X")</f>
        <v>http://dx.doi.org/10.1017/S003060530999069X</v>
      </c>
      <c r="BG863" t="s">
        <v>74</v>
      </c>
      <c r="BH863" t="s">
        <v>74</v>
      </c>
      <c r="BI863">
        <v>10</v>
      </c>
      <c r="BJ863" t="s">
        <v>843</v>
      </c>
      <c r="BK863" t="s">
        <v>102</v>
      </c>
      <c r="BL863" t="s">
        <v>844</v>
      </c>
      <c r="BM863" t="s">
        <v>15608</v>
      </c>
      <c r="BN863" t="s">
        <v>74</v>
      </c>
      <c r="BO863" t="s">
        <v>104</v>
      </c>
      <c r="BP863" t="s">
        <v>74</v>
      </c>
      <c r="BQ863" t="s">
        <v>74</v>
      </c>
      <c r="BR863" t="s">
        <v>105</v>
      </c>
      <c r="BS863" t="s">
        <v>15609</v>
      </c>
      <c r="BT863" t="str">
        <f>HYPERLINK("https%3A%2F%2Fwww.webofscience.com%2Fwos%2Fwoscc%2Ffull-record%2FWOS:000274770200007","View Full Record in Web of Science")</f>
        <v>View Full Record in Web of Science</v>
      </c>
    </row>
    <row r="864" spans="1:72" x14ac:dyDescent="0.15">
      <c r="A864" t="s">
        <v>8257</v>
      </c>
      <c r="B864" t="s">
        <v>15610</v>
      </c>
      <c r="C864" t="s">
        <v>74</v>
      </c>
      <c r="D864" t="s">
        <v>74</v>
      </c>
      <c r="E864" t="s">
        <v>8259</v>
      </c>
      <c r="F864" t="s">
        <v>15611</v>
      </c>
      <c r="G864" t="s">
        <v>74</v>
      </c>
      <c r="H864" t="s">
        <v>74</v>
      </c>
      <c r="I864" t="s">
        <v>15612</v>
      </c>
      <c r="J864" t="s">
        <v>15613</v>
      </c>
      <c r="K864" t="s">
        <v>8263</v>
      </c>
      <c r="L864" t="s">
        <v>74</v>
      </c>
      <c r="M864" t="s">
        <v>78</v>
      </c>
      <c r="N864" t="s">
        <v>8264</v>
      </c>
      <c r="O864" t="s">
        <v>15614</v>
      </c>
      <c r="P864" t="s">
        <v>15615</v>
      </c>
      <c r="Q864" t="s">
        <v>15616</v>
      </c>
      <c r="R864" t="s">
        <v>74</v>
      </c>
      <c r="S864" t="s">
        <v>74</v>
      </c>
      <c r="T864" t="s">
        <v>74</v>
      </c>
      <c r="U864" t="s">
        <v>15617</v>
      </c>
      <c r="V864" t="s">
        <v>15618</v>
      </c>
      <c r="W864" t="s">
        <v>15619</v>
      </c>
      <c r="X864" t="s">
        <v>4583</v>
      </c>
      <c r="Y864" t="s">
        <v>15620</v>
      </c>
      <c r="Z864" t="s">
        <v>15621</v>
      </c>
      <c r="AA864" t="s">
        <v>15622</v>
      </c>
      <c r="AB864" t="s">
        <v>15623</v>
      </c>
      <c r="AC864" t="s">
        <v>74</v>
      </c>
      <c r="AD864" t="s">
        <v>74</v>
      </c>
      <c r="AE864" t="s">
        <v>74</v>
      </c>
      <c r="AF864" t="s">
        <v>74</v>
      </c>
      <c r="AG864">
        <v>18</v>
      </c>
      <c r="AH864">
        <v>2</v>
      </c>
      <c r="AI864">
        <v>2</v>
      </c>
      <c r="AJ864">
        <v>0</v>
      </c>
      <c r="AK864">
        <v>4</v>
      </c>
      <c r="AL864" t="s">
        <v>4825</v>
      </c>
      <c r="AM864" t="s">
        <v>4826</v>
      </c>
      <c r="AN864" t="s">
        <v>8275</v>
      </c>
      <c r="AO864" t="s">
        <v>8276</v>
      </c>
      <c r="AP864" t="s">
        <v>74</v>
      </c>
      <c r="AQ864" t="s">
        <v>74</v>
      </c>
      <c r="AR864" t="s">
        <v>8277</v>
      </c>
      <c r="AS864" t="s">
        <v>8278</v>
      </c>
      <c r="AT864" t="s">
        <v>74</v>
      </c>
      <c r="AU864">
        <v>2010</v>
      </c>
      <c r="AV864">
        <v>9</v>
      </c>
      <c r="AW864" t="s">
        <v>74</v>
      </c>
      <c r="AX864" t="s">
        <v>74</v>
      </c>
      <c r="AY864" t="s">
        <v>74</v>
      </c>
      <c r="AZ864" t="s">
        <v>74</v>
      </c>
      <c r="BA864" t="s">
        <v>74</v>
      </c>
      <c r="BB864" t="s">
        <v>74</v>
      </c>
      <c r="BC864" t="s">
        <v>74</v>
      </c>
      <c r="BD864">
        <v>12003</v>
      </c>
      <c r="BE864" t="s">
        <v>15624</v>
      </c>
      <c r="BF864" t="str">
        <f>HYPERLINK("http://dx.doi.org/10.1088/1755-1315/9/1/012003","http://dx.doi.org/10.1088/1755-1315/9/1/012003")</f>
        <v>http://dx.doi.org/10.1088/1755-1315/9/1/012003</v>
      </c>
      <c r="BG864" t="s">
        <v>74</v>
      </c>
      <c r="BH864" t="s">
        <v>74</v>
      </c>
      <c r="BI864">
        <v>8</v>
      </c>
      <c r="BJ864" t="s">
        <v>820</v>
      </c>
      <c r="BK864" t="s">
        <v>8281</v>
      </c>
      <c r="BL864" t="s">
        <v>821</v>
      </c>
      <c r="BM864" t="s">
        <v>15625</v>
      </c>
      <c r="BN864" t="s">
        <v>74</v>
      </c>
      <c r="BO864" t="s">
        <v>104</v>
      </c>
      <c r="BP864" t="s">
        <v>74</v>
      </c>
      <c r="BQ864" t="s">
        <v>74</v>
      </c>
      <c r="BR864" t="s">
        <v>105</v>
      </c>
      <c r="BS864" t="s">
        <v>15626</v>
      </c>
      <c r="BT864" t="str">
        <f>HYPERLINK("https%3A%2F%2Fwww.webofscience.com%2Fwos%2Fwoscc%2Ffull-record%2FWOS:000327134700003","View Full Record in Web of Science")</f>
        <v>View Full Record in Web of Science</v>
      </c>
    </row>
    <row r="865" spans="1:72" x14ac:dyDescent="0.15">
      <c r="A865" t="s">
        <v>8257</v>
      </c>
      <c r="B865" t="s">
        <v>15627</v>
      </c>
      <c r="C865" t="s">
        <v>74</v>
      </c>
      <c r="D865" t="s">
        <v>74</v>
      </c>
      <c r="E865" t="s">
        <v>8259</v>
      </c>
      <c r="F865" t="s">
        <v>15628</v>
      </c>
      <c r="G865" t="s">
        <v>74</v>
      </c>
      <c r="H865" t="s">
        <v>74</v>
      </c>
      <c r="I865" t="s">
        <v>15629</v>
      </c>
      <c r="J865" t="s">
        <v>15613</v>
      </c>
      <c r="K865" t="s">
        <v>8263</v>
      </c>
      <c r="L865" t="s">
        <v>74</v>
      </c>
      <c r="M865" t="s">
        <v>78</v>
      </c>
      <c r="N865" t="s">
        <v>8264</v>
      </c>
      <c r="O865" t="s">
        <v>15614</v>
      </c>
      <c r="P865" t="s">
        <v>15615</v>
      </c>
      <c r="Q865" t="s">
        <v>15616</v>
      </c>
      <c r="R865" t="s">
        <v>74</v>
      </c>
      <c r="S865" t="s">
        <v>74</v>
      </c>
      <c r="T865" t="s">
        <v>74</v>
      </c>
      <c r="U865" t="s">
        <v>15630</v>
      </c>
      <c r="V865" t="s">
        <v>15631</v>
      </c>
      <c r="W865" t="s">
        <v>15632</v>
      </c>
      <c r="X865" t="s">
        <v>12170</v>
      </c>
      <c r="Y865" t="s">
        <v>15633</v>
      </c>
      <c r="Z865" t="s">
        <v>15634</v>
      </c>
      <c r="AA865" t="s">
        <v>15635</v>
      </c>
      <c r="AB865" t="s">
        <v>15636</v>
      </c>
      <c r="AC865" t="s">
        <v>74</v>
      </c>
      <c r="AD865" t="s">
        <v>74</v>
      </c>
      <c r="AE865" t="s">
        <v>74</v>
      </c>
      <c r="AF865" t="s">
        <v>74</v>
      </c>
      <c r="AG865">
        <v>27</v>
      </c>
      <c r="AH865">
        <v>0</v>
      </c>
      <c r="AI865">
        <v>0</v>
      </c>
      <c r="AJ865">
        <v>0</v>
      </c>
      <c r="AK865">
        <v>1</v>
      </c>
      <c r="AL865" t="s">
        <v>4825</v>
      </c>
      <c r="AM865" t="s">
        <v>4826</v>
      </c>
      <c r="AN865" t="s">
        <v>8275</v>
      </c>
      <c r="AO865" t="s">
        <v>8276</v>
      </c>
      <c r="AP865" t="s">
        <v>74</v>
      </c>
      <c r="AQ865" t="s">
        <v>74</v>
      </c>
      <c r="AR865" t="s">
        <v>8277</v>
      </c>
      <c r="AS865" t="s">
        <v>8278</v>
      </c>
      <c r="AT865" t="s">
        <v>74</v>
      </c>
      <c r="AU865">
        <v>2010</v>
      </c>
      <c r="AV865">
        <v>9</v>
      </c>
      <c r="AW865" t="s">
        <v>74</v>
      </c>
      <c r="AX865" t="s">
        <v>74</v>
      </c>
      <c r="AY865" t="s">
        <v>74</v>
      </c>
      <c r="AZ865" t="s">
        <v>74</v>
      </c>
      <c r="BA865" t="s">
        <v>74</v>
      </c>
      <c r="BB865" t="s">
        <v>74</v>
      </c>
      <c r="BC865" t="s">
        <v>74</v>
      </c>
      <c r="BD865">
        <v>12006</v>
      </c>
      <c r="BE865" t="s">
        <v>15637</v>
      </c>
      <c r="BF865" t="str">
        <f>HYPERLINK("http://dx.doi.org/10.1088/1755-1315/9/1/012006","http://dx.doi.org/10.1088/1755-1315/9/1/012006")</f>
        <v>http://dx.doi.org/10.1088/1755-1315/9/1/012006</v>
      </c>
      <c r="BG865" t="s">
        <v>74</v>
      </c>
      <c r="BH865" t="s">
        <v>74</v>
      </c>
      <c r="BI865">
        <v>8</v>
      </c>
      <c r="BJ865" t="s">
        <v>820</v>
      </c>
      <c r="BK865" t="s">
        <v>8281</v>
      </c>
      <c r="BL865" t="s">
        <v>821</v>
      </c>
      <c r="BM865" t="s">
        <v>15625</v>
      </c>
      <c r="BN865" t="s">
        <v>74</v>
      </c>
      <c r="BO865" t="s">
        <v>104</v>
      </c>
      <c r="BP865" t="s">
        <v>74</v>
      </c>
      <c r="BQ865" t="s">
        <v>74</v>
      </c>
      <c r="BR865" t="s">
        <v>105</v>
      </c>
      <c r="BS865" t="s">
        <v>15638</v>
      </c>
      <c r="BT865" t="str">
        <f>HYPERLINK("https%3A%2F%2Fwww.webofscience.com%2Fwos%2Fwoscc%2Ffull-record%2FWOS:000327134700006","View Full Record in Web of Science")</f>
        <v>View Full Record in Web of Science</v>
      </c>
    </row>
    <row r="866" spans="1:72" x14ac:dyDescent="0.15">
      <c r="A866" t="s">
        <v>8257</v>
      </c>
      <c r="B866" t="s">
        <v>15639</v>
      </c>
      <c r="C866" t="s">
        <v>74</v>
      </c>
      <c r="D866" t="s">
        <v>15640</v>
      </c>
      <c r="E866" t="s">
        <v>74</v>
      </c>
      <c r="F866" t="s">
        <v>15641</v>
      </c>
      <c r="G866" t="s">
        <v>74</v>
      </c>
      <c r="H866" t="s">
        <v>74</v>
      </c>
      <c r="I866" t="s">
        <v>15642</v>
      </c>
      <c r="J866" t="s">
        <v>15643</v>
      </c>
      <c r="K866" t="s">
        <v>9681</v>
      </c>
      <c r="L866" t="s">
        <v>74</v>
      </c>
      <c r="M866" t="s">
        <v>78</v>
      </c>
      <c r="N866" t="s">
        <v>8264</v>
      </c>
      <c r="O866" t="s">
        <v>15644</v>
      </c>
      <c r="P866" t="s">
        <v>15645</v>
      </c>
      <c r="Q866" t="s">
        <v>15646</v>
      </c>
      <c r="R866" t="s">
        <v>74</v>
      </c>
      <c r="S866" t="s">
        <v>74</v>
      </c>
      <c r="T866" t="s">
        <v>74</v>
      </c>
      <c r="U866" t="s">
        <v>74</v>
      </c>
      <c r="V866" t="s">
        <v>15647</v>
      </c>
      <c r="W866" t="s">
        <v>15648</v>
      </c>
      <c r="X866" t="s">
        <v>15649</v>
      </c>
      <c r="Y866" t="s">
        <v>15650</v>
      </c>
      <c r="Z866" t="s">
        <v>74</v>
      </c>
      <c r="AA866" t="s">
        <v>74</v>
      </c>
      <c r="AB866" t="s">
        <v>74</v>
      </c>
      <c r="AC866" t="s">
        <v>74</v>
      </c>
      <c r="AD866" t="s">
        <v>74</v>
      </c>
      <c r="AE866" t="s">
        <v>74</v>
      </c>
      <c r="AF866" t="s">
        <v>74</v>
      </c>
      <c r="AG866">
        <v>4</v>
      </c>
      <c r="AH866">
        <v>0</v>
      </c>
      <c r="AI866">
        <v>0</v>
      </c>
      <c r="AJ866">
        <v>0</v>
      </c>
      <c r="AK866">
        <v>0</v>
      </c>
      <c r="AL866" t="s">
        <v>9691</v>
      </c>
      <c r="AM866" t="s">
        <v>382</v>
      </c>
      <c r="AN866" t="s">
        <v>9692</v>
      </c>
      <c r="AO866" t="s">
        <v>74</v>
      </c>
      <c r="AP866" t="s">
        <v>74</v>
      </c>
      <c r="AQ866" t="s">
        <v>15651</v>
      </c>
      <c r="AR866" t="s">
        <v>9694</v>
      </c>
      <c r="AS866" t="s">
        <v>74</v>
      </c>
      <c r="AT866" t="s">
        <v>74</v>
      </c>
      <c r="AU866">
        <v>2010</v>
      </c>
      <c r="AV866">
        <v>430</v>
      </c>
      <c r="AW866" t="s">
        <v>74</v>
      </c>
      <c r="AX866" t="s">
        <v>74</v>
      </c>
      <c r="AY866" t="s">
        <v>74</v>
      </c>
      <c r="AZ866" t="s">
        <v>74</v>
      </c>
      <c r="BA866" t="s">
        <v>74</v>
      </c>
      <c r="BB866">
        <v>418</v>
      </c>
      <c r="BC866">
        <v>419</v>
      </c>
      <c r="BD866" t="s">
        <v>74</v>
      </c>
      <c r="BE866" t="s">
        <v>74</v>
      </c>
      <c r="BF866" t="s">
        <v>74</v>
      </c>
      <c r="BG866" t="s">
        <v>74</v>
      </c>
      <c r="BH866" t="s">
        <v>74</v>
      </c>
      <c r="BI866">
        <v>2</v>
      </c>
      <c r="BJ866" t="s">
        <v>478</v>
      </c>
      <c r="BK866" t="s">
        <v>8281</v>
      </c>
      <c r="BL866" t="s">
        <v>478</v>
      </c>
      <c r="BM866" t="s">
        <v>15652</v>
      </c>
      <c r="BN866" t="s">
        <v>74</v>
      </c>
      <c r="BO866" t="s">
        <v>74</v>
      </c>
      <c r="BP866" t="s">
        <v>74</v>
      </c>
      <c r="BQ866" t="s">
        <v>74</v>
      </c>
      <c r="BR866" t="s">
        <v>105</v>
      </c>
      <c r="BS866" t="s">
        <v>15653</v>
      </c>
      <c r="BT866" t="str">
        <f>HYPERLINK("https%3A%2F%2Fwww.webofscience.com%2Fwos%2Fwoscc%2Ffull-record%2FWOS:000287836800064","View Full Record in Web of Science")</f>
        <v>View Full Record in Web of Science</v>
      </c>
    </row>
    <row r="867" spans="1:72" x14ac:dyDescent="0.15">
      <c r="A867" t="s">
        <v>72</v>
      </c>
      <c r="B867" t="s">
        <v>15654</v>
      </c>
      <c r="C867" t="s">
        <v>74</v>
      </c>
      <c r="D867" t="s">
        <v>74</v>
      </c>
      <c r="E867" t="s">
        <v>74</v>
      </c>
      <c r="F867" t="s">
        <v>15655</v>
      </c>
      <c r="G867" t="s">
        <v>74</v>
      </c>
      <c r="H867" t="s">
        <v>74</v>
      </c>
      <c r="I867" t="s">
        <v>15656</v>
      </c>
      <c r="J867" t="s">
        <v>15657</v>
      </c>
      <c r="K867" t="s">
        <v>74</v>
      </c>
      <c r="L867" t="s">
        <v>74</v>
      </c>
      <c r="M867" t="s">
        <v>78</v>
      </c>
      <c r="N867" t="s">
        <v>79</v>
      </c>
      <c r="O867" t="s">
        <v>74</v>
      </c>
      <c r="P867" t="s">
        <v>74</v>
      </c>
      <c r="Q867" t="s">
        <v>74</v>
      </c>
      <c r="R867" t="s">
        <v>74</v>
      </c>
      <c r="S867" t="s">
        <v>74</v>
      </c>
      <c r="T867" t="s">
        <v>74</v>
      </c>
      <c r="U867" t="s">
        <v>15658</v>
      </c>
      <c r="V867" t="s">
        <v>15659</v>
      </c>
      <c r="W867" t="s">
        <v>15660</v>
      </c>
      <c r="X867" t="s">
        <v>15661</v>
      </c>
      <c r="Y867" t="s">
        <v>15662</v>
      </c>
      <c r="Z867" t="s">
        <v>7618</v>
      </c>
      <c r="AA867" t="s">
        <v>15663</v>
      </c>
      <c r="AB867" t="s">
        <v>15664</v>
      </c>
      <c r="AC867" t="s">
        <v>15665</v>
      </c>
      <c r="AD867" t="s">
        <v>15666</v>
      </c>
      <c r="AE867" t="s">
        <v>15667</v>
      </c>
      <c r="AF867" t="s">
        <v>74</v>
      </c>
      <c r="AG867">
        <v>46</v>
      </c>
      <c r="AH867">
        <v>70</v>
      </c>
      <c r="AI867">
        <v>73</v>
      </c>
      <c r="AJ867">
        <v>0</v>
      </c>
      <c r="AK867">
        <v>16</v>
      </c>
      <c r="AL867" t="s">
        <v>15668</v>
      </c>
      <c r="AM867" t="s">
        <v>1876</v>
      </c>
      <c r="AN867" t="s">
        <v>15669</v>
      </c>
      <c r="AO867" t="s">
        <v>15670</v>
      </c>
      <c r="AP867" t="s">
        <v>74</v>
      </c>
      <c r="AQ867" t="s">
        <v>74</v>
      </c>
      <c r="AR867" t="s">
        <v>15657</v>
      </c>
      <c r="AS867" t="s">
        <v>15671</v>
      </c>
      <c r="AT867" t="s">
        <v>8958</v>
      </c>
      <c r="AU867">
        <v>2010</v>
      </c>
      <c r="AV867">
        <v>49</v>
      </c>
      <c r="AW867">
        <v>1</v>
      </c>
      <c r="AX867" t="s">
        <v>74</v>
      </c>
      <c r="AY867" t="s">
        <v>74</v>
      </c>
      <c r="AZ867" t="s">
        <v>74</v>
      </c>
      <c r="BA867" t="s">
        <v>74</v>
      </c>
      <c r="BB867">
        <v>22</v>
      </c>
      <c r="BC867">
        <v>41</v>
      </c>
      <c r="BD867" t="s">
        <v>74</v>
      </c>
      <c r="BE867" t="s">
        <v>15672</v>
      </c>
      <c r="BF867" t="str">
        <f>HYPERLINK("http://dx.doi.org/10.2216/09-27.1","http://dx.doi.org/10.2216/09-27.1")</f>
        <v>http://dx.doi.org/10.2216/09-27.1</v>
      </c>
      <c r="BG867" t="s">
        <v>74</v>
      </c>
      <c r="BH867" t="s">
        <v>74</v>
      </c>
      <c r="BI867">
        <v>20</v>
      </c>
      <c r="BJ867" t="s">
        <v>2070</v>
      </c>
      <c r="BK867" t="s">
        <v>102</v>
      </c>
      <c r="BL867" t="s">
        <v>2070</v>
      </c>
      <c r="BM867" t="s">
        <v>15673</v>
      </c>
      <c r="BN867" t="s">
        <v>74</v>
      </c>
      <c r="BO867" t="s">
        <v>326</v>
      </c>
      <c r="BP867" t="s">
        <v>74</v>
      </c>
      <c r="BQ867" t="s">
        <v>74</v>
      </c>
      <c r="BR867" t="s">
        <v>105</v>
      </c>
      <c r="BS867" t="s">
        <v>15674</v>
      </c>
      <c r="BT867" t="str">
        <f>HYPERLINK("https%3A%2F%2Fwww.webofscience.com%2Fwos%2Fwoscc%2Ffull-record%2FWOS:000273516300002","View Full Record in Web of Science")</f>
        <v>View Full Record in Web of Science</v>
      </c>
    </row>
    <row r="868" spans="1:72" x14ac:dyDescent="0.15">
      <c r="A868" t="s">
        <v>72</v>
      </c>
      <c r="B868" t="s">
        <v>15675</v>
      </c>
      <c r="C868" t="s">
        <v>74</v>
      </c>
      <c r="D868" t="s">
        <v>74</v>
      </c>
      <c r="E868" t="s">
        <v>74</v>
      </c>
      <c r="F868" t="s">
        <v>15676</v>
      </c>
      <c r="G868" t="s">
        <v>74</v>
      </c>
      <c r="H868" t="s">
        <v>74</v>
      </c>
      <c r="I868" t="s">
        <v>15677</v>
      </c>
      <c r="J868" t="s">
        <v>15678</v>
      </c>
      <c r="K868" t="s">
        <v>74</v>
      </c>
      <c r="L868" t="s">
        <v>74</v>
      </c>
      <c r="M868" t="s">
        <v>78</v>
      </c>
      <c r="N868" t="s">
        <v>79</v>
      </c>
      <c r="O868" t="s">
        <v>74</v>
      </c>
      <c r="P868" t="s">
        <v>74</v>
      </c>
      <c r="Q868" t="s">
        <v>74</v>
      </c>
      <c r="R868" t="s">
        <v>74</v>
      </c>
      <c r="S868" t="s">
        <v>74</v>
      </c>
      <c r="T868" t="s">
        <v>74</v>
      </c>
      <c r="U868" t="s">
        <v>15679</v>
      </c>
      <c r="V868" t="s">
        <v>15680</v>
      </c>
      <c r="W868" t="s">
        <v>15681</v>
      </c>
      <c r="X868" t="s">
        <v>15682</v>
      </c>
      <c r="Y868" t="s">
        <v>15683</v>
      </c>
      <c r="Z868" t="s">
        <v>15684</v>
      </c>
      <c r="AA868" t="s">
        <v>74</v>
      </c>
      <c r="AB868" t="s">
        <v>15685</v>
      </c>
      <c r="AC868" t="s">
        <v>15686</v>
      </c>
      <c r="AD868" t="s">
        <v>4729</v>
      </c>
      <c r="AE868" t="s">
        <v>74</v>
      </c>
      <c r="AF868" t="s">
        <v>74</v>
      </c>
      <c r="AG868">
        <v>44</v>
      </c>
      <c r="AH868">
        <v>4</v>
      </c>
      <c r="AI868">
        <v>4</v>
      </c>
      <c r="AJ868">
        <v>0</v>
      </c>
      <c r="AK868">
        <v>3</v>
      </c>
      <c r="AL868" t="s">
        <v>15687</v>
      </c>
      <c r="AM868" t="s">
        <v>15688</v>
      </c>
      <c r="AN868" t="s">
        <v>15689</v>
      </c>
      <c r="AO868" t="s">
        <v>15690</v>
      </c>
      <c r="AP868" t="s">
        <v>15691</v>
      </c>
      <c r="AQ868" t="s">
        <v>74</v>
      </c>
      <c r="AR868" t="s">
        <v>15692</v>
      </c>
      <c r="AS868" t="s">
        <v>15693</v>
      </c>
      <c r="AT868" t="s">
        <v>8958</v>
      </c>
      <c r="AU868">
        <v>2010</v>
      </c>
      <c r="AV868">
        <v>81</v>
      </c>
      <c r="AW868">
        <v>1</v>
      </c>
      <c r="AX868">
        <v>2</v>
      </c>
      <c r="AY868" t="s">
        <v>74</v>
      </c>
      <c r="AZ868" t="s">
        <v>74</v>
      </c>
      <c r="BA868" t="s">
        <v>74</v>
      </c>
      <c r="BB868" t="s">
        <v>74</v>
      </c>
      <c r="BC868" t="s">
        <v>74</v>
      </c>
      <c r="BD868">
        <v>16107</v>
      </c>
      <c r="BE868" t="s">
        <v>15694</v>
      </c>
      <c r="BF868" t="str">
        <f>HYPERLINK("http://dx.doi.org/10.1103/PhysRevE.81.016107","http://dx.doi.org/10.1103/PhysRevE.81.016107")</f>
        <v>http://dx.doi.org/10.1103/PhysRevE.81.016107</v>
      </c>
      <c r="BG868" t="s">
        <v>74</v>
      </c>
      <c r="BH868" t="s">
        <v>74</v>
      </c>
      <c r="BI868">
        <v>9</v>
      </c>
      <c r="BJ868" t="s">
        <v>15695</v>
      </c>
      <c r="BK868" t="s">
        <v>102</v>
      </c>
      <c r="BL868" t="s">
        <v>4834</v>
      </c>
      <c r="BM868" t="s">
        <v>15696</v>
      </c>
      <c r="BN868">
        <v>20365432</v>
      </c>
      <c r="BO868" t="s">
        <v>74</v>
      </c>
      <c r="BP868" t="s">
        <v>74</v>
      </c>
      <c r="BQ868" t="s">
        <v>74</v>
      </c>
      <c r="BR868" t="s">
        <v>105</v>
      </c>
      <c r="BS868" t="s">
        <v>15697</v>
      </c>
      <c r="BT868" t="str">
        <f>HYPERLINK("https%3A%2F%2Fwww.webofscience.com%2Fwos%2Fwoscc%2Ffull-record%2FWOS:000274003500012","View Full Record in Web of Science")</f>
        <v>View Full Record in Web of Science</v>
      </c>
    </row>
    <row r="869" spans="1:72" x14ac:dyDescent="0.15">
      <c r="A869" t="s">
        <v>72</v>
      </c>
      <c r="B869" t="s">
        <v>15698</v>
      </c>
      <c r="C869" t="s">
        <v>74</v>
      </c>
      <c r="D869" t="s">
        <v>74</v>
      </c>
      <c r="E869" t="s">
        <v>74</v>
      </c>
      <c r="F869" t="s">
        <v>15699</v>
      </c>
      <c r="G869" t="s">
        <v>74</v>
      </c>
      <c r="H869" t="s">
        <v>74</v>
      </c>
      <c r="I869" t="s">
        <v>15700</v>
      </c>
      <c r="J869" t="s">
        <v>15701</v>
      </c>
      <c r="K869" t="s">
        <v>74</v>
      </c>
      <c r="L869" t="s">
        <v>74</v>
      </c>
      <c r="M869" t="s">
        <v>78</v>
      </c>
      <c r="N869" t="s">
        <v>79</v>
      </c>
      <c r="O869" t="s">
        <v>74</v>
      </c>
      <c r="P869" t="s">
        <v>74</v>
      </c>
      <c r="Q869" t="s">
        <v>74</v>
      </c>
      <c r="R869" t="s">
        <v>74</v>
      </c>
      <c r="S869" t="s">
        <v>74</v>
      </c>
      <c r="T869" t="s">
        <v>15702</v>
      </c>
      <c r="U869" t="s">
        <v>15703</v>
      </c>
      <c r="V869" t="s">
        <v>15704</v>
      </c>
      <c r="W869" t="s">
        <v>15705</v>
      </c>
      <c r="X869" t="s">
        <v>3790</v>
      </c>
      <c r="Y869" t="s">
        <v>15706</v>
      </c>
      <c r="Z869" t="s">
        <v>15707</v>
      </c>
      <c r="AA869" t="s">
        <v>74</v>
      </c>
      <c r="AB869" t="s">
        <v>15708</v>
      </c>
      <c r="AC869" t="s">
        <v>15709</v>
      </c>
      <c r="AD869" t="s">
        <v>15710</v>
      </c>
      <c r="AE869" t="s">
        <v>15711</v>
      </c>
      <c r="AF869" t="s">
        <v>74</v>
      </c>
      <c r="AG869">
        <v>34</v>
      </c>
      <c r="AH869">
        <v>21</v>
      </c>
      <c r="AI869">
        <v>22</v>
      </c>
      <c r="AJ869">
        <v>0</v>
      </c>
      <c r="AK869">
        <v>18</v>
      </c>
      <c r="AL869" t="s">
        <v>1063</v>
      </c>
      <c r="AM869" t="s">
        <v>1064</v>
      </c>
      <c r="AN869" t="s">
        <v>1065</v>
      </c>
      <c r="AO869" t="s">
        <v>15712</v>
      </c>
      <c r="AP869" t="s">
        <v>15713</v>
      </c>
      <c r="AQ869" t="s">
        <v>74</v>
      </c>
      <c r="AR869" t="s">
        <v>15714</v>
      </c>
      <c r="AS869" t="s">
        <v>15715</v>
      </c>
      <c r="AT869" t="s">
        <v>74</v>
      </c>
      <c r="AU869">
        <v>2010</v>
      </c>
      <c r="AV869">
        <v>35</v>
      </c>
      <c r="AW869" t="s">
        <v>15716</v>
      </c>
      <c r="AX869" t="s">
        <v>74</v>
      </c>
      <c r="AY869" t="s">
        <v>74</v>
      </c>
      <c r="AZ869" t="s">
        <v>74</v>
      </c>
      <c r="BA869" t="s">
        <v>74</v>
      </c>
      <c r="BB869">
        <v>329</v>
      </c>
      <c r="BC869">
        <v>340</v>
      </c>
      <c r="BD869" t="s">
        <v>74</v>
      </c>
      <c r="BE869" t="s">
        <v>15717</v>
      </c>
      <c r="BF869" t="str">
        <f>HYPERLINK("http://dx.doi.org/10.1016/j.pce.2009.09.001","http://dx.doi.org/10.1016/j.pce.2009.09.001")</f>
        <v>http://dx.doi.org/10.1016/j.pce.2009.09.001</v>
      </c>
      <c r="BG869" t="s">
        <v>74</v>
      </c>
      <c r="BH869" t="s">
        <v>74</v>
      </c>
      <c r="BI869">
        <v>12</v>
      </c>
      <c r="BJ869" t="s">
        <v>15718</v>
      </c>
      <c r="BK869" t="s">
        <v>102</v>
      </c>
      <c r="BL869" t="s">
        <v>15719</v>
      </c>
      <c r="BM869" t="s">
        <v>15720</v>
      </c>
      <c r="BN869" t="s">
        <v>74</v>
      </c>
      <c r="BO869" t="s">
        <v>74</v>
      </c>
      <c r="BP869" t="s">
        <v>74</v>
      </c>
      <c r="BQ869" t="s">
        <v>74</v>
      </c>
      <c r="BR869" t="s">
        <v>105</v>
      </c>
      <c r="BS869" t="s">
        <v>15721</v>
      </c>
      <c r="BT869" t="str">
        <f>HYPERLINK("https%3A%2F%2Fwww.webofscience.com%2Fwos%2Fwoscc%2Ffull-record%2FWOS:000280819200004","View Full Record in Web of Science")</f>
        <v>View Full Record in Web of Science</v>
      </c>
    </row>
    <row r="870" spans="1:72" x14ac:dyDescent="0.15">
      <c r="A870" t="s">
        <v>72</v>
      </c>
      <c r="B870" t="s">
        <v>15722</v>
      </c>
      <c r="C870" t="s">
        <v>74</v>
      </c>
      <c r="D870" t="s">
        <v>74</v>
      </c>
      <c r="E870" t="s">
        <v>74</v>
      </c>
      <c r="F870" t="s">
        <v>15723</v>
      </c>
      <c r="G870" t="s">
        <v>74</v>
      </c>
      <c r="H870" t="s">
        <v>74</v>
      </c>
      <c r="I870" t="s">
        <v>15724</v>
      </c>
      <c r="J870" t="s">
        <v>4862</v>
      </c>
      <c r="K870" t="s">
        <v>74</v>
      </c>
      <c r="L870" t="s">
        <v>74</v>
      </c>
      <c r="M870" t="s">
        <v>78</v>
      </c>
      <c r="N870" t="s">
        <v>79</v>
      </c>
      <c r="O870" t="s">
        <v>74</v>
      </c>
      <c r="P870" t="s">
        <v>74</v>
      </c>
      <c r="Q870" t="s">
        <v>74</v>
      </c>
      <c r="R870" t="s">
        <v>74</v>
      </c>
      <c r="S870" t="s">
        <v>74</v>
      </c>
      <c r="T870" t="s">
        <v>74</v>
      </c>
      <c r="U870" t="s">
        <v>15725</v>
      </c>
      <c r="V870" t="s">
        <v>15726</v>
      </c>
      <c r="W870" t="s">
        <v>15727</v>
      </c>
      <c r="X870" t="s">
        <v>15728</v>
      </c>
      <c r="Y870" t="s">
        <v>15729</v>
      </c>
      <c r="Z870" t="s">
        <v>15730</v>
      </c>
      <c r="AA870" t="s">
        <v>15731</v>
      </c>
      <c r="AB870" t="s">
        <v>15732</v>
      </c>
      <c r="AC870" t="s">
        <v>15733</v>
      </c>
      <c r="AD870" t="s">
        <v>15734</v>
      </c>
      <c r="AE870" t="s">
        <v>15735</v>
      </c>
      <c r="AF870" t="s">
        <v>74</v>
      </c>
      <c r="AG870">
        <v>46</v>
      </c>
      <c r="AH870">
        <v>3</v>
      </c>
      <c r="AI870">
        <v>3</v>
      </c>
      <c r="AJ870">
        <v>0</v>
      </c>
      <c r="AK870">
        <v>9</v>
      </c>
      <c r="AL870" t="s">
        <v>2828</v>
      </c>
      <c r="AM870" t="s">
        <v>2829</v>
      </c>
      <c r="AN870" t="s">
        <v>2830</v>
      </c>
      <c r="AO870" t="s">
        <v>4874</v>
      </c>
      <c r="AP870" t="s">
        <v>15736</v>
      </c>
      <c r="AQ870" t="s">
        <v>74</v>
      </c>
      <c r="AR870" t="s">
        <v>4875</v>
      </c>
      <c r="AS870" t="s">
        <v>4876</v>
      </c>
      <c r="AT870" t="s">
        <v>15737</v>
      </c>
      <c r="AU870">
        <v>2010</v>
      </c>
      <c r="AV870">
        <v>83</v>
      </c>
      <c r="AW870">
        <v>1</v>
      </c>
      <c r="AX870" t="s">
        <v>74</v>
      </c>
      <c r="AY870" t="s">
        <v>74</v>
      </c>
      <c r="AZ870" t="s">
        <v>74</v>
      </c>
      <c r="BA870" t="s">
        <v>74</v>
      </c>
      <c r="BB870">
        <v>33</v>
      </c>
      <c r="BC870">
        <v>42</v>
      </c>
      <c r="BD870" t="s">
        <v>74</v>
      </c>
      <c r="BE870" t="s">
        <v>15738</v>
      </c>
      <c r="BF870" t="str">
        <f>HYPERLINK("http://dx.doi.org/10.1086/648469","http://dx.doi.org/10.1086/648469")</f>
        <v>http://dx.doi.org/10.1086/648469</v>
      </c>
      <c r="BG870" t="s">
        <v>74</v>
      </c>
      <c r="BH870" t="s">
        <v>74</v>
      </c>
      <c r="BI870">
        <v>10</v>
      </c>
      <c r="BJ870" t="s">
        <v>4347</v>
      </c>
      <c r="BK870" t="s">
        <v>102</v>
      </c>
      <c r="BL870" t="s">
        <v>4347</v>
      </c>
      <c r="BM870" t="s">
        <v>15739</v>
      </c>
      <c r="BN870">
        <v>19938979</v>
      </c>
      <c r="BO870" t="s">
        <v>74</v>
      </c>
      <c r="BP870" t="s">
        <v>74</v>
      </c>
      <c r="BQ870" t="s">
        <v>74</v>
      </c>
      <c r="BR870" t="s">
        <v>105</v>
      </c>
      <c r="BS870" t="s">
        <v>15740</v>
      </c>
      <c r="BT870" t="str">
        <f>HYPERLINK("https%3A%2F%2Fwww.webofscience.com%2Fwos%2Fwoscc%2Ffull-record%2FWOS:000272845800003","View Full Record in Web of Science")</f>
        <v>View Full Record in Web of Science</v>
      </c>
    </row>
    <row r="871" spans="1:72" x14ac:dyDescent="0.15">
      <c r="A871" t="s">
        <v>72</v>
      </c>
      <c r="B871" t="s">
        <v>15741</v>
      </c>
      <c r="C871" t="s">
        <v>74</v>
      </c>
      <c r="D871" t="s">
        <v>74</v>
      </c>
      <c r="E871" t="s">
        <v>74</v>
      </c>
      <c r="F871" t="s">
        <v>15742</v>
      </c>
      <c r="G871" t="s">
        <v>74</v>
      </c>
      <c r="H871" t="s">
        <v>74</v>
      </c>
      <c r="I871" t="s">
        <v>15743</v>
      </c>
      <c r="J871" t="s">
        <v>15744</v>
      </c>
      <c r="K871" t="s">
        <v>74</v>
      </c>
      <c r="L871" t="s">
        <v>74</v>
      </c>
      <c r="M871" t="s">
        <v>78</v>
      </c>
      <c r="N871" t="s">
        <v>79</v>
      </c>
      <c r="O871" t="s">
        <v>74</v>
      </c>
      <c r="P871" t="s">
        <v>74</v>
      </c>
      <c r="Q871" t="s">
        <v>74</v>
      </c>
      <c r="R871" t="s">
        <v>74</v>
      </c>
      <c r="S871" t="s">
        <v>74</v>
      </c>
      <c r="T871" t="s">
        <v>15745</v>
      </c>
      <c r="U871" t="s">
        <v>15746</v>
      </c>
      <c r="V871" t="s">
        <v>15747</v>
      </c>
      <c r="W871" t="s">
        <v>15748</v>
      </c>
      <c r="X871" t="s">
        <v>15749</v>
      </c>
      <c r="Y871" t="s">
        <v>15750</v>
      </c>
      <c r="Z871" t="s">
        <v>7618</v>
      </c>
      <c r="AA871" t="s">
        <v>15751</v>
      </c>
      <c r="AB871" t="s">
        <v>15752</v>
      </c>
      <c r="AC871" t="s">
        <v>15753</v>
      </c>
      <c r="AD871" t="s">
        <v>15754</v>
      </c>
      <c r="AE871" t="s">
        <v>15755</v>
      </c>
      <c r="AF871" t="s">
        <v>74</v>
      </c>
      <c r="AG871">
        <v>31</v>
      </c>
      <c r="AH871">
        <v>44</v>
      </c>
      <c r="AI871">
        <v>51</v>
      </c>
      <c r="AJ871">
        <v>0</v>
      </c>
      <c r="AK871">
        <v>15</v>
      </c>
      <c r="AL871" t="s">
        <v>15756</v>
      </c>
      <c r="AM871" t="s">
        <v>15757</v>
      </c>
      <c r="AN871" t="s">
        <v>15758</v>
      </c>
      <c r="AO871" t="s">
        <v>15759</v>
      </c>
      <c r="AP871" t="s">
        <v>15760</v>
      </c>
      <c r="AQ871" t="s">
        <v>74</v>
      </c>
      <c r="AR871" t="s">
        <v>15761</v>
      </c>
      <c r="AS871" t="s">
        <v>15762</v>
      </c>
      <c r="AT871" t="s">
        <v>74</v>
      </c>
      <c r="AU871">
        <v>2010</v>
      </c>
      <c r="AV871">
        <v>143</v>
      </c>
      <c r="AW871">
        <v>3</v>
      </c>
      <c r="AX871" t="s">
        <v>74</v>
      </c>
      <c r="AY871" t="s">
        <v>74</v>
      </c>
      <c r="AZ871" t="s">
        <v>74</v>
      </c>
      <c r="BA871" t="s">
        <v>74</v>
      </c>
      <c r="BB871">
        <v>318</v>
      </c>
      <c r="BC871">
        <v>333</v>
      </c>
      <c r="BD871" t="s">
        <v>74</v>
      </c>
      <c r="BE871" t="s">
        <v>15763</v>
      </c>
      <c r="BF871" t="str">
        <f>HYPERLINK("http://dx.doi.org/10.5091/plecevo.2010.402","http://dx.doi.org/10.5091/plecevo.2010.402")</f>
        <v>http://dx.doi.org/10.5091/plecevo.2010.402</v>
      </c>
      <c r="BG871" t="s">
        <v>74</v>
      </c>
      <c r="BH871" t="s">
        <v>74</v>
      </c>
      <c r="BI871">
        <v>16</v>
      </c>
      <c r="BJ871" t="s">
        <v>890</v>
      </c>
      <c r="BK871" t="s">
        <v>102</v>
      </c>
      <c r="BL871" t="s">
        <v>890</v>
      </c>
      <c r="BM871" t="s">
        <v>15764</v>
      </c>
      <c r="BN871" t="s">
        <v>74</v>
      </c>
      <c r="BO871" t="s">
        <v>3271</v>
      </c>
      <c r="BP871" t="s">
        <v>74</v>
      </c>
      <c r="BQ871" t="s">
        <v>74</v>
      </c>
      <c r="BR871" t="s">
        <v>105</v>
      </c>
      <c r="BS871" t="s">
        <v>15765</v>
      </c>
      <c r="BT871" t="str">
        <f>HYPERLINK("https%3A%2F%2Fwww.webofscience.com%2Fwos%2Fwoscc%2Ffull-record%2FWOS:000286649400008","View Full Record in Web of Science")</f>
        <v>View Full Record in Web of Science</v>
      </c>
    </row>
    <row r="872" spans="1:72" x14ac:dyDescent="0.15">
      <c r="A872" t="s">
        <v>72</v>
      </c>
      <c r="B872" t="s">
        <v>15766</v>
      </c>
      <c r="C872" t="s">
        <v>74</v>
      </c>
      <c r="D872" t="s">
        <v>74</v>
      </c>
      <c r="E872" t="s">
        <v>74</v>
      </c>
      <c r="F872" t="s">
        <v>15767</v>
      </c>
      <c r="G872" t="s">
        <v>74</v>
      </c>
      <c r="H872" t="s">
        <v>74</v>
      </c>
      <c r="I872" t="s">
        <v>15768</v>
      </c>
      <c r="J872" t="s">
        <v>15769</v>
      </c>
      <c r="K872" t="s">
        <v>74</v>
      </c>
      <c r="L872" t="s">
        <v>74</v>
      </c>
      <c r="M872" t="s">
        <v>78</v>
      </c>
      <c r="N872" t="s">
        <v>79</v>
      </c>
      <c r="O872" t="s">
        <v>74</v>
      </c>
      <c r="P872" t="s">
        <v>74</v>
      </c>
      <c r="Q872" t="s">
        <v>74</v>
      </c>
      <c r="R872" t="s">
        <v>74</v>
      </c>
      <c r="S872" t="s">
        <v>74</v>
      </c>
      <c r="T872" t="s">
        <v>15770</v>
      </c>
      <c r="U872" t="s">
        <v>74</v>
      </c>
      <c r="V872" t="s">
        <v>15771</v>
      </c>
      <c r="W872" t="s">
        <v>15772</v>
      </c>
      <c r="X872" t="s">
        <v>15773</v>
      </c>
      <c r="Y872" t="s">
        <v>15774</v>
      </c>
      <c r="Z872" t="s">
        <v>15775</v>
      </c>
      <c r="AA872" t="s">
        <v>15776</v>
      </c>
      <c r="AB872" t="s">
        <v>15777</v>
      </c>
      <c r="AC872" t="s">
        <v>15778</v>
      </c>
      <c r="AD872" t="s">
        <v>9804</v>
      </c>
      <c r="AE872" t="s">
        <v>15779</v>
      </c>
      <c r="AF872" t="s">
        <v>74</v>
      </c>
      <c r="AG872">
        <v>12</v>
      </c>
      <c r="AH872">
        <v>3</v>
      </c>
      <c r="AI872">
        <v>3</v>
      </c>
      <c r="AJ872">
        <v>0</v>
      </c>
      <c r="AK872">
        <v>1</v>
      </c>
      <c r="AL872" t="s">
        <v>10775</v>
      </c>
      <c r="AM872" t="s">
        <v>10776</v>
      </c>
      <c r="AN872" t="s">
        <v>10777</v>
      </c>
      <c r="AO872" t="s">
        <v>15780</v>
      </c>
      <c r="AP872" t="s">
        <v>15781</v>
      </c>
      <c r="AQ872" t="s">
        <v>74</v>
      </c>
      <c r="AR872" t="s">
        <v>15782</v>
      </c>
      <c r="AS872" t="s">
        <v>15783</v>
      </c>
      <c r="AT872" t="s">
        <v>74</v>
      </c>
      <c r="AU872">
        <v>2010</v>
      </c>
      <c r="AV872">
        <v>5</v>
      </c>
      <c r="AW872">
        <v>3</v>
      </c>
      <c r="AX872" t="s">
        <v>74</v>
      </c>
      <c r="AY872" t="s">
        <v>74</v>
      </c>
      <c r="AZ872" t="s">
        <v>74</v>
      </c>
      <c r="BA872" t="s">
        <v>74</v>
      </c>
      <c r="BB872">
        <v>293</v>
      </c>
      <c r="BC872">
        <v>295</v>
      </c>
      <c r="BD872" t="s">
        <v>74</v>
      </c>
      <c r="BE872" t="s">
        <v>15784</v>
      </c>
      <c r="BF872" t="str">
        <f>HYPERLINK("http://dx.doi.org/10.4161/psb.5.3.10736","http://dx.doi.org/10.4161/psb.5.3.10736")</f>
        <v>http://dx.doi.org/10.4161/psb.5.3.10736</v>
      </c>
      <c r="BG872" t="s">
        <v>74</v>
      </c>
      <c r="BH872" t="s">
        <v>74</v>
      </c>
      <c r="BI872">
        <v>3</v>
      </c>
      <c r="BJ872" t="s">
        <v>15785</v>
      </c>
      <c r="BK872" t="s">
        <v>1408</v>
      </c>
      <c r="BL872" t="s">
        <v>15785</v>
      </c>
      <c r="BM872" t="s">
        <v>15786</v>
      </c>
      <c r="BN872">
        <v>20081351</v>
      </c>
      <c r="BO872" t="s">
        <v>260</v>
      </c>
      <c r="BP872" t="s">
        <v>74</v>
      </c>
      <c r="BQ872" t="s">
        <v>74</v>
      </c>
      <c r="BR872" t="s">
        <v>105</v>
      </c>
      <c r="BS872" t="s">
        <v>15787</v>
      </c>
      <c r="BT872" t="str">
        <f>HYPERLINK("https%3A%2F%2Fwww.webofscience.com%2Fwos%2Fwoscc%2Ffull-record%2FWOS:000213946700021","View Full Record in Web of Science")</f>
        <v>View Full Record in Web of Science</v>
      </c>
    </row>
    <row r="873" spans="1:72" x14ac:dyDescent="0.15">
      <c r="A873" t="s">
        <v>72</v>
      </c>
      <c r="B873" t="s">
        <v>15788</v>
      </c>
      <c r="C873" t="s">
        <v>74</v>
      </c>
      <c r="D873" t="s">
        <v>74</v>
      </c>
      <c r="E873" t="s">
        <v>74</v>
      </c>
      <c r="F873" t="s">
        <v>15789</v>
      </c>
      <c r="G873" t="s">
        <v>74</v>
      </c>
      <c r="H873" t="s">
        <v>74</v>
      </c>
      <c r="I873" t="s">
        <v>15790</v>
      </c>
      <c r="J873" t="s">
        <v>15791</v>
      </c>
      <c r="K873" t="s">
        <v>74</v>
      </c>
      <c r="L873" t="s">
        <v>74</v>
      </c>
      <c r="M873" t="s">
        <v>78</v>
      </c>
      <c r="N873" t="s">
        <v>79</v>
      </c>
      <c r="O873" t="s">
        <v>74</v>
      </c>
      <c r="P873" t="s">
        <v>74</v>
      </c>
      <c r="Q873" t="s">
        <v>74</v>
      </c>
      <c r="R873" t="s">
        <v>74</v>
      </c>
      <c r="S873" t="s">
        <v>74</v>
      </c>
      <c r="T873" t="s">
        <v>15792</v>
      </c>
      <c r="U873" t="s">
        <v>15793</v>
      </c>
      <c r="V873" t="s">
        <v>15794</v>
      </c>
      <c r="W873" t="s">
        <v>15795</v>
      </c>
      <c r="X873" t="s">
        <v>15796</v>
      </c>
      <c r="Y873" t="s">
        <v>15797</v>
      </c>
      <c r="Z873" t="s">
        <v>15798</v>
      </c>
      <c r="AA873" t="s">
        <v>15799</v>
      </c>
      <c r="AB873" t="s">
        <v>15800</v>
      </c>
      <c r="AC873" t="s">
        <v>15801</v>
      </c>
      <c r="AD873" t="s">
        <v>15802</v>
      </c>
      <c r="AE873" t="s">
        <v>15803</v>
      </c>
      <c r="AF873" t="s">
        <v>74</v>
      </c>
      <c r="AG873">
        <v>58</v>
      </c>
      <c r="AH873">
        <v>49</v>
      </c>
      <c r="AI873">
        <v>58</v>
      </c>
      <c r="AJ873">
        <v>2</v>
      </c>
      <c r="AK873">
        <v>24</v>
      </c>
      <c r="AL873" t="s">
        <v>813</v>
      </c>
      <c r="AM873" t="s">
        <v>225</v>
      </c>
      <c r="AN873" t="s">
        <v>2228</v>
      </c>
      <c r="AO873" t="s">
        <v>15804</v>
      </c>
      <c r="AP873" t="s">
        <v>15805</v>
      </c>
      <c r="AQ873" t="s">
        <v>74</v>
      </c>
      <c r="AR873" t="s">
        <v>15791</v>
      </c>
      <c r="AS873" t="s">
        <v>15806</v>
      </c>
      <c r="AT873" t="s">
        <v>8958</v>
      </c>
      <c r="AU873">
        <v>2010</v>
      </c>
      <c r="AV873">
        <v>231</v>
      </c>
      <c r="AW873">
        <v>2</v>
      </c>
      <c r="AX873" t="s">
        <v>74</v>
      </c>
      <c r="AY873" t="s">
        <v>74</v>
      </c>
      <c r="AZ873" t="s">
        <v>74</v>
      </c>
      <c r="BA873" t="s">
        <v>74</v>
      </c>
      <c r="BB873">
        <v>349</v>
      </c>
      <c r="BC873">
        <v>360</v>
      </c>
      <c r="BD873" t="s">
        <v>74</v>
      </c>
      <c r="BE873" t="s">
        <v>15807</v>
      </c>
      <c r="BF873" t="str">
        <f>HYPERLINK("http://dx.doi.org/10.1007/s00425-009-1044-x","http://dx.doi.org/10.1007/s00425-009-1044-x")</f>
        <v>http://dx.doi.org/10.1007/s00425-009-1044-x</v>
      </c>
      <c r="BG873" t="s">
        <v>74</v>
      </c>
      <c r="BH873" t="s">
        <v>74</v>
      </c>
      <c r="BI873">
        <v>12</v>
      </c>
      <c r="BJ873" t="s">
        <v>890</v>
      </c>
      <c r="BK873" t="s">
        <v>102</v>
      </c>
      <c r="BL873" t="s">
        <v>890</v>
      </c>
      <c r="BM873" t="s">
        <v>15808</v>
      </c>
      <c r="BN873">
        <v>19924439</v>
      </c>
      <c r="BO873" t="s">
        <v>74</v>
      </c>
      <c r="BP873" t="s">
        <v>74</v>
      </c>
      <c r="BQ873" t="s">
        <v>74</v>
      </c>
      <c r="BR873" t="s">
        <v>105</v>
      </c>
      <c r="BS873" t="s">
        <v>15809</v>
      </c>
      <c r="BT873" t="str">
        <f>HYPERLINK("https%3A%2F%2Fwww.webofscience.com%2Fwos%2Fwoscc%2Ffull-record%2FWOS:000273175900012","View Full Record in Web of Science")</f>
        <v>View Full Record in Web of Science</v>
      </c>
    </row>
    <row r="874" spans="1:72" x14ac:dyDescent="0.15">
      <c r="A874" t="s">
        <v>72</v>
      </c>
      <c r="B874" t="s">
        <v>15810</v>
      </c>
      <c r="C874" t="s">
        <v>74</v>
      </c>
      <c r="D874" t="s">
        <v>74</v>
      </c>
      <c r="E874" t="s">
        <v>74</v>
      </c>
      <c r="F874" t="s">
        <v>15811</v>
      </c>
      <c r="G874" t="s">
        <v>74</v>
      </c>
      <c r="H874" t="s">
        <v>74</v>
      </c>
      <c r="I874" t="s">
        <v>15812</v>
      </c>
      <c r="J874" t="s">
        <v>2634</v>
      </c>
      <c r="K874" t="s">
        <v>74</v>
      </c>
      <c r="L874" t="s">
        <v>74</v>
      </c>
      <c r="M874" t="s">
        <v>78</v>
      </c>
      <c r="N874" t="s">
        <v>79</v>
      </c>
      <c r="O874" t="s">
        <v>74</v>
      </c>
      <c r="P874" t="s">
        <v>74</v>
      </c>
      <c r="Q874" t="s">
        <v>74</v>
      </c>
      <c r="R874" t="s">
        <v>74</v>
      </c>
      <c r="S874" t="s">
        <v>74</v>
      </c>
      <c r="T874" t="s">
        <v>15813</v>
      </c>
      <c r="U874" t="s">
        <v>15814</v>
      </c>
      <c r="V874" t="s">
        <v>15815</v>
      </c>
      <c r="W874" t="s">
        <v>15816</v>
      </c>
      <c r="X874" t="s">
        <v>15817</v>
      </c>
      <c r="Y874" t="s">
        <v>15818</v>
      </c>
      <c r="Z874" t="s">
        <v>15819</v>
      </c>
      <c r="AA874" t="s">
        <v>15820</v>
      </c>
      <c r="AB874" t="s">
        <v>15821</v>
      </c>
      <c r="AC874" t="s">
        <v>15822</v>
      </c>
      <c r="AD874" t="s">
        <v>4729</v>
      </c>
      <c r="AE874" t="s">
        <v>74</v>
      </c>
      <c r="AF874" t="s">
        <v>74</v>
      </c>
      <c r="AG874">
        <v>84</v>
      </c>
      <c r="AH874">
        <v>68</v>
      </c>
      <c r="AI874">
        <v>73</v>
      </c>
      <c r="AJ874">
        <v>0</v>
      </c>
      <c r="AK874">
        <v>25</v>
      </c>
      <c r="AL874" t="s">
        <v>813</v>
      </c>
      <c r="AM874" t="s">
        <v>225</v>
      </c>
      <c r="AN874" t="s">
        <v>2228</v>
      </c>
      <c r="AO874" t="s">
        <v>2646</v>
      </c>
      <c r="AP874" t="s">
        <v>74</v>
      </c>
      <c r="AQ874" t="s">
        <v>74</v>
      </c>
      <c r="AR874" t="s">
        <v>2648</v>
      </c>
      <c r="AS874" t="s">
        <v>2649</v>
      </c>
      <c r="AT874" t="s">
        <v>8958</v>
      </c>
      <c r="AU874">
        <v>2010</v>
      </c>
      <c r="AV874">
        <v>33</v>
      </c>
      <c r="AW874">
        <v>1</v>
      </c>
      <c r="AX874" t="s">
        <v>74</v>
      </c>
      <c r="AY874" t="s">
        <v>74</v>
      </c>
      <c r="AZ874" t="s">
        <v>74</v>
      </c>
      <c r="BA874" t="s">
        <v>74</v>
      </c>
      <c r="BB874">
        <v>13</v>
      </c>
      <c r="BC874">
        <v>29</v>
      </c>
      <c r="BD874" t="s">
        <v>74</v>
      </c>
      <c r="BE874" t="s">
        <v>15823</v>
      </c>
      <c r="BF874" t="str">
        <f>HYPERLINK("http://dx.doi.org/10.1007/s00300-009-0681-7","http://dx.doi.org/10.1007/s00300-009-0681-7")</f>
        <v>http://dx.doi.org/10.1007/s00300-009-0681-7</v>
      </c>
      <c r="BG874" t="s">
        <v>74</v>
      </c>
      <c r="BH874" t="s">
        <v>74</v>
      </c>
      <c r="BI874">
        <v>17</v>
      </c>
      <c r="BJ874" t="s">
        <v>843</v>
      </c>
      <c r="BK874" t="s">
        <v>102</v>
      </c>
      <c r="BL874" t="s">
        <v>844</v>
      </c>
      <c r="BM874" t="s">
        <v>15824</v>
      </c>
      <c r="BN874" t="s">
        <v>74</v>
      </c>
      <c r="BO874" t="s">
        <v>74</v>
      </c>
      <c r="BP874" t="s">
        <v>74</v>
      </c>
      <c r="BQ874" t="s">
        <v>74</v>
      </c>
      <c r="BR874" t="s">
        <v>105</v>
      </c>
      <c r="BS874" t="s">
        <v>15825</v>
      </c>
      <c r="BT874" t="str">
        <f>HYPERLINK("https%3A%2F%2Fwww.webofscience.com%2Fwos%2Fwoscc%2Ffull-record%2FWOS:000271988300002","View Full Record in Web of Science")</f>
        <v>View Full Record in Web of Science</v>
      </c>
    </row>
    <row r="875" spans="1:72" x14ac:dyDescent="0.15">
      <c r="A875" t="s">
        <v>72</v>
      </c>
      <c r="B875" t="s">
        <v>15826</v>
      </c>
      <c r="C875" t="s">
        <v>74</v>
      </c>
      <c r="D875" t="s">
        <v>74</v>
      </c>
      <c r="E875" t="s">
        <v>74</v>
      </c>
      <c r="F875" t="s">
        <v>15827</v>
      </c>
      <c r="G875" t="s">
        <v>74</v>
      </c>
      <c r="H875" t="s">
        <v>74</v>
      </c>
      <c r="I875" t="s">
        <v>15828</v>
      </c>
      <c r="J875" t="s">
        <v>2634</v>
      </c>
      <c r="K875" t="s">
        <v>74</v>
      </c>
      <c r="L875" t="s">
        <v>74</v>
      </c>
      <c r="M875" t="s">
        <v>78</v>
      </c>
      <c r="N875" t="s">
        <v>79</v>
      </c>
      <c r="O875" t="s">
        <v>74</v>
      </c>
      <c r="P875" t="s">
        <v>74</v>
      </c>
      <c r="Q875" t="s">
        <v>74</v>
      </c>
      <c r="R875" t="s">
        <v>74</v>
      </c>
      <c r="S875" t="s">
        <v>74</v>
      </c>
      <c r="T875" t="s">
        <v>15829</v>
      </c>
      <c r="U875" t="s">
        <v>15830</v>
      </c>
      <c r="V875" t="s">
        <v>15831</v>
      </c>
      <c r="W875" t="s">
        <v>15832</v>
      </c>
      <c r="X875" t="s">
        <v>15833</v>
      </c>
      <c r="Y875" t="s">
        <v>15834</v>
      </c>
      <c r="Z875" t="s">
        <v>15835</v>
      </c>
      <c r="AA875" t="s">
        <v>15836</v>
      </c>
      <c r="AB875" t="s">
        <v>15837</v>
      </c>
      <c r="AC875" t="s">
        <v>15838</v>
      </c>
      <c r="AD875" t="s">
        <v>15839</v>
      </c>
      <c r="AE875" t="s">
        <v>15840</v>
      </c>
      <c r="AF875" t="s">
        <v>74</v>
      </c>
      <c r="AG875">
        <v>62</v>
      </c>
      <c r="AH875">
        <v>45</v>
      </c>
      <c r="AI875">
        <v>48</v>
      </c>
      <c r="AJ875">
        <v>0</v>
      </c>
      <c r="AK875">
        <v>5</v>
      </c>
      <c r="AL875" t="s">
        <v>813</v>
      </c>
      <c r="AM875" t="s">
        <v>225</v>
      </c>
      <c r="AN875" t="s">
        <v>2228</v>
      </c>
      <c r="AO875" t="s">
        <v>2646</v>
      </c>
      <c r="AP875" t="s">
        <v>2647</v>
      </c>
      <c r="AQ875" t="s">
        <v>74</v>
      </c>
      <c r="AR875" t="s">
        <v>2648</v>
      </c>
      <c r="AS875" t="s">
        <v>2649</v>
      </c>
      <c r="AT875" t="s">
        <v>8958</v>
      </c>
      <c r="AU875">
        <v>2010</v>
      </c>
      <c r="AV875">
        <v>33</v>
      </c>
      <c r="AW875">
        <v>1</v>
      </c>
      <c r="AX875" t="s">
        <v>74</v>
      </c>
      <c r="AY875" t="s">
        <v>74</v>
      </c>
      <c r="AZ875" t="s">
        <v>74</v>
      </c>
      <c r="BA875" t="s">
        <v>74</v>
      </c>
      <c r="BB875">
        <v>41</v>
      </c>
      <c r="BC875">
        <v>57</v>
      </c>
      <c r="BD875" t="s">
        <v>74</v>
      </c>
      <c r="BE875" t="s">
        <v>15841</v>
      </c>
      <c r="BF875" t="str">
        <f>HYPERLINK("http://dx.doi.org/10.1007/s00300-009-0683-5","http://dx.doi.org/10.1007/s00300-009-0683-5")</f>
        <v>http://dx.doi.org/10.1007/s00300-009-0683-5</v>
      </c>
      <c r="BG875" t="s">
        <v>74</v>
      </c>
      <c r="BH875" t="s">
        <v>74</v>
      </c>
      <c r="BI875">
        <v>17</v>
      </c>
      <c r="BJ875" t="s">
        <v>843</v>
      </c>
      <c r="BK875" t="s">
        <v>102</v>
      </c>
      <c r="BL875" t="s">
        <v>844</v>
      </c>
      <c r="BM875" t="s">
        <v>15824</v>
      </c>
      <c r="BN875" t="s">
        <v>74</v>
      </c>
      <c r="BO875" t="s">
        <v>74</v>
      </c>
      <c r="BP875" t="s">
        <v>74</v>
      </c>
      <c r="BQ875" t="s">
        <v>74</v>
      </c>
      <c r="BR875" t="s">
        <v>105</v>
      </c>
      <c r="BS875" t="s">
        <v>15842</v>
      </c>
      <c r="BT875" t="str">
        <f>HYPERLINK("https%3A%2F%2Fwww.webofscience.com%2Fwos%2Fwoscc%2Ffull-record%2FWOS:000271988300004","View Full Record in Web of Science")</f>
        <v>View Full Record in Web of Science</v>
      </c>
    </row>
    <row r="876" spans="1:72" x14ac:dyDescent="0.15">
      <c r="A876" t="s">
        <v>72</v>
      </c>
      <c r="B876" t="s">
        <v>15843</v>
      </c>
      <c r="C876" t="s">
        <v>74</v>
      </c>
      <c r="D876" t="s">
        <v>74</v>
      </c>
      <c r="E876" t="s">
        <v>74</v>
      </c>
      <c r="F876" t="s">
        <v>15844</v>
      </c>
      <c r="G876" t="s">
        <v>74</v>
      </c>
      <c r="H876" t="s">
        <v>74</v>
      </c>
      <c r="I876" t="s">
        <v>15845</v>
      </c>
      <c r="J876" t="s">
        <v>2634</v>
      </c>
      <c r="K876" t="s">
        <v>74</v>
      </c>
      <c r="L876" t="s">
        <v>74</v>
      </c>
      <c r="M876" t="s">
        <v>78</v>
      </c>
      <c r="N876" t="s">
        <v>79</v>
      </c>
      <c r="O876" t="s">
        <v>74</v>
      </c>
      <c r="P876" t="s">
        <v>74</v>
      </c>
      <c r="Q876" t="s">
        <v>74</v>
      </c>
      <c r="R876" t="s">
        <v>74</v>
      </c>
      <c r="S876" t="s">
        <v>74</v>
      </c>
      <c r="T876" t="s">
        <v>15846</v>
      </c>
      <c r="U876" t="s">
        <v>15847</v>
      </c>
      <c r="V876" t="s">
        <v>15848</v>
      </c>
      <c r="W876" t="s">
        <v>655</v>
      </c>
      <c r="X876" t="s">
        <v>656</v>
      </c>
      <c r="Y876" t="s">
        <v>15849</v>
      </c>
      <c r="Z876" t="s">
        <v>15850</v>
      </c>
      <c r="AA876" t="s">
        <v>15851</v>
      </c>
      <c r="AB876" t="s">
        <v>15852</v>
      </c>
      <c r="AC876" t="s">
        <v>15853</v>
      </c>
      <c r="AD876" t="s">
        <v>1972</v>
      </c>
      <c r="AE876" t="s">
        <v>74</v>
      </c>
      <c r="AF876" t="s">
        <v>74</v>
      </c>
      <c r="AG876">
        <v>63</v>
      </c>
      <c r="AH876">
        <v>19</v>
      </c>
      <c r="AI876">
        <v>19</v>
      </c>
      <c r="AJ876">
        <v>0</v>
      </c>
      <c r="AK876">
        <v>3</v>
      </c>
      <c r="AL876" t="s">
        <v>813</v>
      </c>
      <c r="AM876" t="s">
        <v>225</v>
      </c>
      <c r="AN876" t="s">
        <v>2228</v>
      </c>
      <c r="AO876" t="s">
        <v>2646</v>
      </c>
      <c r="AP876" t="s">
        <v>2647</v>
      </c>
      <c r="AQ876" t="s">
        <v>74</v>
      </c>
      <c r="AR876" t="s">
        <v>2648</v>
      </c>
      <c r="AS876" t="s">
        <v>2649</v>
      </c>
      <c r="AT876" t="s">
        <v>8958</v>
      </c>
      <c r="AU876">
        <v>2010</v>
      </c>
      <c r="AV876">
        <v>33</v>
      </c>
      <c r="AW876">
        <v>1</v>
      </c>
      <c r="AX876" t="s">
        <v>74</v>
      </c>
      <c r="AY876" t="s">
        <v>74</v>
      </c>
      <c r="AZ876" t="s">
        <v>74</v>
      </c>
      <c r="BA876" t="s">
        <v>74</v>
      </c>
      <c r="BB876">
        <v>59</v>
      </c>
      <c r="BC876">
        <v>70</v>
      </c>
      <c r="BD876" t="s">
        <v>74</v>
      </c>
      <c r="BE876" t="s">
        <v>15854</v>
      </c>
      <c r="BF876" t="str">
        <f>HYPERLINK("http://dx.doi.org/10.1007/s00300-009-0684-4","http://dx.doi.org/10.1007/s00300-009-0684-4")</f>
        <v>http://dx.doi.org/10.1007/s00300-009-0684-4</v>
      </c>
      <c r="BG876" t="s">
        <v>74</v>
      </c>
      <c r="BH876" t="s">
        <v>74</v>
      </c>
      <c r="BI876">
        <v>12</v>
      </c>
      <c r="BJ876" t="s">
        <v>843</v>
      </c>
      <c r="BK876" t="s">
        <v>102</v>
      </c>
      <c r="BL876" t="s">
        <v>844</v>
      </c>
      <c r="BM876" t="s">
        <v>15824</v>
      </c>
      <c r="BN876" t="s">
        <v>74</v>
      </c>
      <c r="BO876" t="s">
        <v>74</v>
      </c>
      <c r="BP876" t="s">
        <v>74</v>
      </c>
      <c r="BQ876" t="s">
        <v>74</v>
      </c>
      <c r="BR876" t="s">
        <v>105</v>
      </c>
      <c r="BS876" t="s">
        <v>15855</v>
      </c>
      <c r="BT876" t="str">
        <f>HYPERLINK("https%3A%2F%2Fwww.webofscience.com%2Fwos%2Fwoscc%2Ffull-record%2FWOS:000271988300005","View Full Record in Web of Science")</f>
        <v>View Full Record in Web of Science</v>
      </c>
    </row>
    <row r="877" spans="1:72" x14ac:dyDescent="0.15">
      <c r="A877" t="s">
        <v>72</v>
      </c>
      <c r="B877" t="s">
        <v>15856</v>
      </c>
      <c r="C877" t="s">
        <v>74</v>
      </c>
      <c r="D877" t="s">
        <v>74</v>
      </c>
      <c r="E877" t="s">
        <v>74</v>
      </c>
      <c r="F877" t="s">
        <v>15857</v>
      </c>
      <c r="G877" t="s">
        <v>74</v>
      </c>
      <c r="H877" t="s">
        <v>74</v>
      </c>
      <c r="I877" t="s">
        <v>15858</v>
      </c>
      <c r="J877" t="s">
        <v>2634</v>
      </c>
      <c r="K877" t="s">
        <v>74</v>
      </c>
      <c r="L877" t="s">
        <v>74</v>
      </c>
      <c r="M877" t="s">
        <v>78</v>
      </c>
      <c r="N877" t="s">
        <v>79</v>
      </c>
      <c r="O877" t="s">
        <v>74</v>
      </c>
      <c r="P877" t="s">
        <v>74</v>
      </c>
      <c r="Q877" t="s">
        <v>74</v>
      </c>
      <c r="R877" t="s">
        <v>74</v>
      </c>
      <c r="S877" t="s">
        <v>74</v>
      </c>
      <c r="T877" t="s">
        <v>15859</v>
      </c>
      <c r="U877" t="s">
        <v>15860</v>
      </c>
      <c r="V877" t="s">
        <v>15861</v>
      </c>
      <c r="W877" t="s">
        <v>15862</v>
      </c>
      <c r="X877" t="s">
        <v>15863</v>
      </c>
      <c r="Y877" t="s">
        <v>15864</v>
      </c>
      <c r="Z877" t="s">
        <v>15865</v>
      </c>
      <c r="AA877" t="s">
        <v>15866</v>
      </c>
      <c r="AB877" t="s">
        <v>15867</v>
      </c>
      <c r="AC877" t="s">
        <v>15868</v>
      </c>
      <c r="AD877" t="s">
        <v>15868</v>
      </c>
      <c r="AE877" t="s">
        <v>15869</v>
      </c>
      <c r="AF877" t="s">
        <v>74</v>
      </c>
      <c r="AG877">
        <v>64</v>
      </c>
      <c r="AH877">
        <v>74</v>
      </c>
      <c r="AI877">
        <v>83</v>
      </c>
      <c r="AJ877">
        <v>3</v>
      </c>
      <c r="AK877">
        <v>51</v>
      </c>
      <c r="AL877" t="s">
        <v>813</v>
      </c>
      <c r="AM877" t="s">
        <v>225</v>
      </c>
      <c r="AN877" t="s">
        <v>907</v>
      </c>
      <c r="AO877" t="s">
        <v>2646</v>
      </c>
      <c r="AP877" t="s">
        <v>2647</v>
      </c>
      <c r="AQ877" t="s">
        <v>74</v>
      </c>
      <c r="AR877" t="s">
        <v>2648</v>
      </c>
      <c r="AS877" t="s">
        <v>2649</v>
      </c>
      <c r="AT877" t="s">
        <v>8958</v>
      </c>
      <c r="AU877">
        <v>2010</v>
      </c>
      <c r="AV877">
        <v>33</v>
      </c>
      <c r="AW877">
        <v>1</v>
      </c>
      <c r="AX877" t="s">
        <v>74</v>
      </c>
      <c r="AY877" t="s">
        <v>74</v>
      </c>
      <c r="AZ877" t="s">
        <v>74</v>
      </c>
      <c r="BA877" t="s">
        <v>74</v>
      </c>
      <c r="BB877">
        <v>71</v>
      </c>
      <c r="BC877">
        <v>83</v>
      </c>
      <c r="BD877" t="s">
        <v>74</v>
      </c>
      <c r="BE877" t="s">
        <v>15870</v>
      </c>
      <c r="BF877" t="str">
        <f>HYPERLINK("http://dx.doi.org/10.1007/s00300-009-0686-2","http://dx.doi.org/10.1007/s00300-009-0686-2")</f>
        <v>http://dx.doi.org/10.1007/s00300-009-0686-2</v>
      </c>
      <c r="BG877" t="s">
        <v>74</v>
      </c>
      <c r="BH877" t="s">
        <v>74</v>
      </c>
      <c r="BI877">
        <v>13</v>
      </c>
      <c r="BJ877" t="s">
        <v>843</v>
      </c>
      <c r="BK877" t="s">
        <v>102</v>
      </c>
      <c r="BL877" t="s">
        <v>844</v>
      </c>
      <c r="BM877" t="s">
        <v>15824</v>
      </c>
      <c r="BN877" t="s">
        <v>74</v>
      </c>
      <c r="BO877" t="s">
        <v>555</v>
      </c>
      <c r="BP877" t="s">
        <v>74</v>
      </c>
      <c r="BQ877" t="s">
        <v>74</v>
      </c>
      <c r="BR877" t="s">
        <v>105</v>
      </c>
      <c r="BS877" t="s">
        <v>15871</v>
      </c>
      <c r="BT877" t="str">
        <f>HYPERLINK("https%3A%2F%2Fwww.webofscience.com%2Fwos%2Fwoscc%2Ffull-record%2FWOS:000271988300006","View Full Record in Web of Science")</f>
        <v>View Full Record in Web of Science</v>
      </c>
    </row>
    <row r="878" spans="1:72" x14ac:dyDescent="0.15">
      <c r="A878" t="s">
        <v>72</v>
      </c>
      <c r="B878" t="s">
        <v>15872</v>
      </c>
      <c r="C878" t="s">
        <v>74</v>
      </c>
      <c r="D878" t="s">
        <v>74</v>
      </c>
      <c r="E878" t="s">
        <v>74</v>
      </c>
      <c r="F878" t="s">
        <v>15873</v>
      </c>
      <c r="G878" t="s">
        <v>74</v>
      </c>
      <c r="H878" t="s">
        <v>74</v>
      </c>
      <c r="I878" t="s">
        <v>15874</v>
      </c>
      <c r="J878" t="s">
        <v>2634</v>
      </c>
      <c r="K878" t="s">
        <v>74</v>
      </c>
      <c r="L878" t="s">
        <v>74</v>
      </c>
      <c r="M878" t="s">
        <v>78</v>
      </c>
      <c r="N878" t="s">
        <v>79</v>
      </c>
      <c r="O878" t="s">
        <v>74</v>
      </c>
      <c r="P878" t="s">
        <v>74</v>
      </c>
      <c r="Q878" t="s">
        <v>74</v>
      </c>
      <c r="R878" t="s">
        <v>74</v>
      </c>
      <c r="S878" t="s">
        <v>74</v>
      </c>
      <c r="T878" t="s">
        <v>15875</v>
      </c>
      <c r="U878" t="s">
        <v>15876</v>
      </c>
      <c r="V878" t="s">
        <v>15877</v>
      </c>
      <c r="W878" t="s">
        <v>15878</v>
      </c>
      <c r="X878" t="s">
        <v>15879</v>
      </c>
      <c r="Y878" t="s">
        <v>15880</v>
      </c>
      <c r="Z878" t="s">
        <v>15881</v>
      </c>
      <c r="AA878" t="s">
        <v>74</v>
      </c>
      <c r="AB878" t="s">
        <v>74</v>
      </c>
      <c r="AC878" t="s">
        <v>15882</v>
      </c>
      <c r="AD878" t="s">
        <v>15882</v>
      </c>
      <c r="AE878" t="s">
        <v>15883</v>
      </c>
      <c r="AF878" t="s">
        <v>74</v>
      </c>
      <c r="AG878">
        <v>60</v>
      </c>
      <c r="AH878">
        <v>18</v>
      </c>
      <c r="AI878">
        <v>20</v>
      </c>
      <c r="AJ878">
        <v>1</v>
      </c>
      <c r="AK878">
        <v>17</v>
      </c>
      <c r="AL878" t="s">
        <v>813</v>
      </c>
      <c r="AM878" t="s">
        <v>225</v>
      </c>
      <c r="AN878" t="s">
        <v>2228</v>
      </c>
      <c r="AO878" t="s">
        <v>2646</v>
      </c>
      <c r="AP878" t="s">
        <v>2647</v>
      </c>
      <c r="AQ878" t="s">
        <v>74</v>
      </c>
      <c r="AR878" t="s">
        <v>2648</v>
      </c>
      <c r="AS878" t="s">
        <v>2649</v>
      </c>
      <c r="AT878" t="s">
        <v>8958</v>
      </c>
      <c r="AU878">
        <v>2010</v>
      </c>
      <c r="AV878">
        <v>33</v>
      </c>
      <c r="AW878">
        <v>1</v>
      </c>
      <c r="AX878" t="s">
        <v>74</v>
      </c>
      <c r="AY878" t="s">
        <v>74</v>
      </c>
      <c r="AZ878" t="s">
        <v>74</v>
      </c>
      <c r="BA878" t="s">
        <v>74</v>
      </c>
      <c r="BB878">
        <v>85</v>
      </c>
      <c r="BC878">
        <v>100</v>
      </c>
      <c r="BD878" t="s">
        <v>74</v>
      </c>
      <c r="BE878" t="s">
        <v>15884</v>
      </c>
      <c r="BF878" t="str">
        <f>HYPERLINK("http://dx.doi.org/10.1007/s00300-009-0687-1","http://dx.doi.org/10.1007/s00300-009-0687-1")</f>
        <v>http://dx.doi.org/10.1007/s00300-009-0687-1</v>
      </c>
      <c r="BG878" t="s">
        <v>74</v>
      </c>
      <c r="BH878" t="s">
        <v>74</v>
      </c>
      <c r="BI878">
        <v>16</v>
      </c>
      <c r="BJ878" t="s">
        <v>843</v>
      </c>
      <c r="BK878" t="s">
        <v>102</v>
      </c>
      <c r="BL878" t="s">
        <v>844</v>
      </c>
      <c r="BM878" t="s">
        <v>15824</v>
      </c>
      <c r="BN878" t="s">
        <v>74</v>
      </c>
      <c r="BO878" t="s">
        <v>74</v>
      </c>
      <c r="BP878" t="s">
        <v>74</v>
      </c>
      <c r="BQ878" t="s">
        <v>74</v>
      </c>
      <c r="BR878" t="s">
        <v>105</v>
      </c>
      <c r="BS878" t="s">
        <v>15885</v>
      </c>
      <c r="BT878" t="str">
        <f>HYPERLINK("https%3A%2F%2Fwww.webofscience.com%2Fwos%2Fwoscc%2Ffull-record%2FWOS:000271988300007","View Full Record in Web of Science")</f>
        <v>View Full Record in Web of Science</v>
      </c>
    </row>
    <row r="879" spans="1:72" x14ac:dyDescent="0.15">
      <c r="A879" t="s">
        <v>72</v>
      </c>
      <c r="B879" t="s">
        <v>15886</v>
      </c>
      <c r="C879" t="s">
        <v>74</v>
      </c>
      <c r="D879" t="s">
        <v>74</v>
      </c>
      <c r="E879" t="s">
        <v>74</v>
      </c>
      <c r="F879" t="s">
        <v>15887</v>
      </c>
      <c r="G879" t="s">
        <v>74</v>
      </c>
      <c r="H879" t="s">
        <v>74</v>
      </c>
      <c r="I879" t="s">
        <v>15888</v>
      </c>
      <c r="J879" t="s">
        <v>2634</v>
      </c>
      <c r="K879" t="s">
        <v>74</v>
      </c>
      <c r="L879" t="s">
        <v>74</v>
      </c>
      <c r="M879" t="s">
        <v>78</v>
      </c>
      <c r="N879" t="s">
        <v>79</v>
      </c>
      <c r="O879" t="s">
        <v>74</v>
      </c>
      <c r="P879" t="s">
        <v>74</v>
      </c>
      <c r="Q879" t="s">
        <v>74</v>
      </c>
      <c r="R879" t="s">
        <v>74</v>
      </c>
      <c r="S879" t="s">
        <v>74</v>
      </c>
      <c r="T879" t="s">
        <v>15889</v>
      </c>
      <c r="U879" t="s">
        <v>15890</v>
      </c>
      <c r="V879" t="s">
        <v>15891</v>
      </c>
      <c r="W879" t="s">
        <v>15892</v>
      </c>
      <c r="X879" t="s">
        <v>15893</v>
      </c>
      <c r="Y879" t="s">
        <v>15894</v>
      </c>
      <c r="Z879" t="s">
        <v>15895</v>
      </c>
      <c r="AA879" t="s">
        <v>15896</v>
      </c>
      <c r="AB879" t="s">
        <v>15897</v>
      </c>
      <c r="AC879" t="s">
        <v>15898</v>
      </c>
      <c r="AD879" t="s">
        <v>15898</v>
      </c>
      <c r="AE879" t="s">
        <v>15899</v>
      </c>
      <c r="AF879" t="s">
        <v>74</v>
      </c>
      <c r="AG879">
        <v>45</v>
      </c>
      <c r="AH879">
        <v>50</v>
      </c>
      <c r="AI879">
        <v>58</v>
      </c>
      <c r="AJ879">
        <v>0</v>
      </c>
      <c r="AK879">
        <v>29</v>
      </c>
      <c r="AL879" t="s">
        <v>813</v>
      </c>
      <c r="AM879" t="s">
        <v>225</v>
      </c>
      <c r="AN879" t="s">
        <v>2228</v>
      </c>
      <c r="AO879" t="s">
        <v>2646</v>
      </c>
      <c r="AP879" t="s">
        <v>74</v>
      </c>
      <c r="AQ879" t="s">
        <v>74</v>
      </c>
      <c r="AR879" t="s">
        <v>2648</v>
      </c>
      <c r="AS879" t="s">
        <v>2649</v>
      </c>
      <c r="AT879" t="s">
        <v>8958</v>
      </c>
      <c r="AU879">
        <v>2010</v>
      </c>
      <c r="AV879">
        <v>33</v>
      </c>
      <c r="AW879">
        <v>1</v>
      </c>
      <c r="AX879" t="s">
        <v>74</v>
      </c>
      <c r="AY879" t="s">
        <v>74</v>
      </c>
      <c r="AZ879" t="s">
        <v>74</v>
      </c>
      <c r="BA879" t="s">
        <v>74</v>
      </c>
      <c r="BB879">
        <v>101</v>
      </c>
      <c r="BC879">
        <v>113</v>
      </c>
      <c r="BD879" t="s">
        <v>74</v>
      </c>
      <c r="BE879" t="s">
        <v>15900</v>
      </c>
      <c r="BF879" t="str">
        <f>HYPERLINK("http://dx.doi.org/10.1007/s00300-009-0688-0","http://dx.doi.org/10.1007/s00300-009-0688-0")</f>
        <v>http://dx.doi.org/10.1007/s00300-009-0688-0</v>
      </c>
      <c r="BG879" t="s">
        <v>74</v>
      </c>
      <c r="BH879" t="s">
        <v>74</v>
      </c>
      <c r="BI879">
        <v>13</v>
      </c>
      <c r="BJ879" t="s">
        <v>843</v>
      </c>
      <c r="BK879" t="s">
        <v>102</v>
      </c>
      <c r="BL879" t="s">
        <v>844</v>
      </c>
      <c r="BM879" t="s">
        <v>15824</v>
      </c>
      <c r="BN879" t="s">
        <v>74</v>
      </c>
      <c r="BO879" t="s">
        <v>555</v>
      </c>
      <c r="BP879" t="s">
        <v>74</v>
      </c>
      <c r="BQ879" t="s">
        <v>74</v>
      </c>
      <c r="BR879" t="s">
        <v>105</v>
      </c>
      <c r="BS879" t="s">
        <v>15901</v>
      </c>
      <c r="BT879" t="str">
        <f>HYPERLINK("https%3A%2F%2Fwww.webofscience.com%2Fwos%2Fwoscc%2Ffull-record%2FWOS:000271988300008","View Full Record in Web of Science")</f>
        <v>View Full Record in Web of Science</v>
      </c>
    </row>
    <row r="880" spans="1:72" x14ac:dyDescent="0.15">
      <c r="A880" t="s">
        <v>72</v>
      </c>
      <c r="B880" t="s">
        <v>9407</v>
      </c>
      <c r="C880" t="s">
        <v>74</v>
      </c>
      <c r="D880" t="s">
        <v>74</v>
      </c>
      <c r="E880" t="s">
        <v>74</v>
      </c>
      <c r="F880" t="s">
        <v>9408</v>
      </c>
      <c r="G880" t="s">
        <v>74</v>
      </c>
      <c r="H880" t="s">
        <v>74</v>
      </c>
      <c r="I880" t="s">
        <v>15902</v>
      </c>
      <c r="J880" t="s">
        <v>15903</v>
      </c>
      <c r="K880" t="s">
        <v>74</v>
      </c>
      <c r="L880" t="s">
        <v>74</v>
      </c>
      <c r="M880" t="s">
        <v>78</v>
      </c>
      <c r="N880" t="s">
        <v>79</v>
      </c>
      <c r="O880" t="s">
        <v>74</v>
      </c>
      <c r="P880" t="s">
        <v>74</v>
      </c>
      <c r="Q880" t="s">
        <v>74</v>
      </c>
      <c r="R880" t="s">
        <v>74</v>
      </c>
      <c r="S880" t="s">
        <v>74</v>
      </c>
      <c r="T880" t="s">
        <v>74</v>
      </c>
      <c r="U880" t="s">
        <v>15904</v>
      </c>
      <c r="V880" t="s">
        <v>15905</v>
      </c>
      <c r="W880" t="s">
        <v>15906</v>
      </c>
      <c r="X880" t="s">
        <v>15907</v>
      </c>
      <c r="Y880" t="s">
        <v>15908</v>
      </c>
      <c r="Z880" t="s">
        <v>9412</v>
      </c>
      <c r="AA880" t="s">
        <v>9413</v>
      </c>
      <c r="AB880" t="s">
        <v>494</v>
      </c>
      <c r="AC880" t="s">
        <v>15909</v>
      </c>
      <c r="AD880" t="s">
        <v>15910</v>
      </c>
      <c r="AE880" t="s">
        <v>15911</v>
      </c>
      <c r="AF880" t="s">
        <v>74</v>
      </c>
      <c r="AG880">
        <v>23</v>
      </c>
      <c r="AH880">
        <v>12</v>
      </c>
      <c r="AI880">
        <v>12</v>
      </c>
      <c r="AJ880">
        <v>0</v>
      </c>
      <c r="AK880">
        <v>0</v>
      </c>
      <c r="AL880" t="s">
        <v>10775</v>
      </c>
      <c r="AM880" t="s">
        <v>10776</v>
      </c>
      <c r="AN880" t="s">
        <v>10777</v>
      </c>
      <c r="AO880" t="s">
        <v>15912</v>
      </c>
      <c r="AP880" t="s">
        <v>15913</v>
      </c>
      <c r="AQ880" t="s">
        <v>74</v>
      </c>
      <c r="AR880" t="s">
        <v>15914</v>
      </c>
      <c r="AS880" t="s">
        <v>15915</v>
      </c>
      <c r="AT880" t="s">
        <v>74</v>
      </c>
      <c r="AU880">
        <v>2010</v>
      </c>
      <c r="AV880">
        <v>33</v>
      </c>
      <c r="AW880" t="s">
        <v>1854</v>
      </c>
      <c r="AX880" t="s">
        <v>74</v>
      </c>
      <c r="AY880" t="s">
        <v>74</v>
      </c>
      <c r="AZ880" t="s">
        <v>74</v>
      </c>
      <c r="BA880" t="s">
        <v>74</v>
      </c>
      <c r="BB880">
        <v>63</v>
      </c>
      <c r="BC880">
        <v>79</v>
      </c>
      <c r="BD880" t="s">
        <v>74</v>
      </c>
      <c r="BE880" t="s">
        <v>15916</v>
      </c>
      <c r="BF880" t="str">
        <f>HYPERLINK("http://dx.doi.org/10.1080/1088937X.2010.498683","http://dx.doi.org/10.1080/1088937X.2010.498683")</f>
        <v>http://dx.doi.org/10.1080/1088937X.2010.498683</v>
      </c>
      <c r="BG880" t="s">
        <v>74</v>
      </c>
      <c r="BH880" t="s">
        <v>74</v>
      </c>
      <c r="BI880">
        <v>17</v>
      </c>
      <c r="BJ880" t="s">
        <v>13601</v>
      </c>
      <c r="BK880" t="s">
        <v>1408</v>
      </c>
      <c r="BL880" t="s">
        <v>13602</v>
      </c>
      <c r="BM880" t="s">
        <v>15917</v>
      </c>
      <c r="BN880" t="s">
        <v>74</v>
      </c>
      <c r="BO880" t="s">
        <v>74</v>
      </c>
      <c r="BP880" t="s">
        <v>74</v>
      </c>
      <c r="BQ880" t="s">
        <v>74</v>
      </c>
      <c r="BR880" t="s">
        <v>105</v>
      </c>
      <c r="BS880" t="s">
        <v>15918</v>
      </c>
      <c r="BT880" t="str">
        <f>HYPERLINK("https%3A%2F%2Fwww.webofscience.com%2Fwos%2Fwoscc%2Ffull-record%2FWOS:000211104700004","View Full Record in Web of Science")</f>
        <v>View Full Record in Web of Science</v>
      </c>
    </row>
    <row r="881" spans="1:72" x14ac:dyDescent="0.15">
      <c r="A881" t="s">
        <v>72</v>
      </c>
      <c r="B881" t="s">
        <v>15919</v>
      </c>
      <c r="C881" t="s">
        <v>74</v>
      </c>
      <c r="D881" t="s">
        <v>74</v>
      </c>
      <c r="E881" t="s">
        <v>74</v>
      </c>
      <c r="F881" t="s">
        <v>15920</v>
      </c>
      <c r="G881" t="s">
        <v>74</v>
      </c>
      <c r="H881" t="s">
        <v>74</v>
      </c>
      <c r="I881" t="s">
        <v>15921</v>
      </c>
      <c r="J881" t="s">
        <v>15903</v>
      </c>
      <c r="K881" t="s">
        <v>74</v>
      </c>
      <c r="L881" t="s">
        <v>74</v>
      </c>
      <c r="M881" t="s">
        <v>78</v>
      </c>
      <c r="N881" t="s">
        <v>5181</v>
      </c>
      <c r="O881" t="s">
        <v>74</v>
      </c>
      <c r="P881" t="s">
        <v>74</v>
      </c>
      <c r="Q881" t="s">
        <v>74</v>
      </c>
      <c r="R881" t="s">
        <v>74</v>
      </c>
      <c r="S881" t="s">
        <v>74</v>
      </c>
      <c r="T881" t="s">
        <v>74</v>
      </c>
      <c r="U881" t="s">
        <v>74</v>
      </c>
      <c r="V881" t="s">
        <v>74</v>
      </c>
      <c r="W881" t="s">
        <v>15922</v>
      </c>
      <c r="X881" t="s">
        <v>374</v>
      </c>
      <c r="Y881" t="s">
        <v>15923</v>
      </c>
      <c r="Z881" t="s">
        <v>15924</v>
      </c>
      <c r="AA881" t="s">
        <v>74</v>
      </c>
      <c r="AB881" t="s">
        <v>74</v>
      </c>
      <c r="AC881" t="s">
        <v>74</v>
      </c>
      <c r="AD881" t="s">
        <v>74</v>
      </c>
      <c r="AE881" t="s">
        <v>74</v>
      </c>
      <c r="AF881" t="s">
        <v>74</v>
      </c>
      <c r="AG881">
        <v>2</v>
      </c>
      <c r="AH881">
        <v>0</v>
      </c>
      <c r="AI881">
        <v>0</v>
      </c>
      <c r="AJ881">
        <v>0</v>
      </c>
      <c r="AK881">
        <v>0</v>
      </c>
      <c r="AL881" t="s">
        <v>10775</v>
      </c>
      <c r="AM881" t="s">
        <v>10776</v>
      </c>
      <c r="AN881" t="s">
        <v>10777</v>
      </c>
      <c r="AO881" t="s">
        <v>15912</v>
      </c>
      <c r="AP881" t="s">
        <v>15913</v>
      </c>
      <c r="AQ881" t="s">
        <v>74</v>
      </c>
      <c r="AR881" t="s">
        <v>15914</v>
      </c>
      <c r="AS881" t="s">
        <v>15915</v>
      </c>
      <c r="AT881" t="s">
        <v>74</v>
      </c>
      <c r="AU881">
        <v>2010</v>
      </c>
      <c r="AV881">
        <v>33</v>
      </c>
      <c r="AW881" t="s">
        <v>1854</v>
      </c>
      <c r="AX881" t="s">
        <v>74</v>
      </c>
      <c r="AY881" t="s">
        <v>74</v>
      </c>
      <c r="AZ881" t="s">
        <v>74</v>
      </c>
      <c r="BA881" t="s">
        <v>74</v>
      </c>
      <c r="BB881">
        <v>83</v>
      </c>
      <c r="BC881">
        <v>85</v>
      </c>
      <c r="BD881" t="s">
        <v>74</v>
      </c>
      <c r="BE881" t="s">
        <v>15925</v>
      </c>
      <c r="BF881" t="str">
        <f>HYPERLINK("http://dx.doi.org/10.1080/1088937X.2010.496948","http://dx.doi.org/10.1080/1088937X.2010.496948")</f>
        <v>http://dx.doi.org/10.1080/1088937X.2010.496948</v>
      </c>
      <c r="BG881" t="s">
        <v>74</v>
      </c>
      <c r="BH881" t="s">
        <v>74</v>
      </c>
      <c r="BI881">
        <v>3</v>
      </c>
      <c r="BJ881" t="s">
        <v>13601</v>
      </c>
      <c r="BK881" t="s">
        <v>1408</v>
      </c>
      <c r="BL881" t="s">
        <v>13602</v>
      </c>
      <c r="BM881" t="s">
        <v>15917</v>
      </c>
      <c r="BN881" t="s">
        <v>74</v>
      </c>
      <c r="BO881" t="s">
        <v>74</v>
      </c>
      <c r="BP881" t="s">
        <v>74</v>
      </c>
      <c r="BQ881" t="s">
        <v>74</v>
      </c>
      <c r="BR881" t="s">
        <v>105</v>
      </c>
      <c r="BS881" t="s">
        <v>15926</v>
      </c>
      <c r="BT881" t="str">
        <f>HYPERLINK("https%3A%2F%2Fwww.webofscience.com%2Fwos%2Fwoscc%2Ffull-record%2FWOS:000211104700006","View Full Record in Web of Science")</f>
        <v>View Full Record in Web of Science</v>
      </c>
    </row>
    <row r="882" spans="1:72" x14ac:dyDescent="0.15">
      <c r="A882" t="s">
        <v>8563</v>
      </c>
      <c r="B882" t="s">
        <v>15927</v>
      </c>
      <c r="C882" t="s">
        <v>74</v>
      </c>
      <c r="D882" t="s">
        <v>15928</v>
      </c>
      <c r="E882" t="s">
        <v>74</v>
      </c>
      <c r="F882" t="s">
        <v>15929</v>
      </c>
      <c r="G882" t="s">
        <v>74</v>
      </c>
      <c r="H882" t="s">
        <v>74</v>
      </c>
      <c r="I882" t="s">
        <v>15930</v>
      </c>
      <c r="J882" t="s">
        <v>15931</v>
      </c>
      <c r="K882" t="s">
        <v>74</v>
      </c>
      <c r="L882" t="s">
        <v>74</v>
      </c>
      <c r="M882" t="s">
        <v>78</v>
      </c>
      <c r="N882" t="s">
        <v>8859</v>
      </c>
      <c r="O882" t="s">
        <v>74</v>
      </c>
      <c r="P882" t="s">
        <v>74</v>
      </c>
      <c r="Q882" t="s">
        <v>74</v>
      </c>
      <c r="R882" t="s">
        <v>74</v>
      </c>
      <c r="S882" t="s">
        <v>74</v>
      </c>
      <c r="T882" t="s">
        <v>74</v>
      </c>
      <c r="U882" t="s">
        <v>15932</v>
      </c>
      <c r="V882" t="s">
        <v>74</v>
      </c>
      <c r="W882" t="s">
        <v>15933</v>
      </c>
      <c r="X882" t="s">
        <v>15934</v>
      </c>
      <c r="Y882" t="s">
        <v>15935</v>
      </c>
      <c r="Z882" t="s">
        <v>74</v>
      </c>
      <c r="AA882" t="s">
        <v>15936</v>
      </c>
      <c r="AB882" t="s">
        <v>74</v>
      </c>
      <c r="AC882" t="s">
        <v>74</v>
      </c>
      <c r="AD882" t="s">
        <v>74</v>
      </c>
      <c r="AE882" t="s">
        <v>74</v>
      </c>
      <c r="AF882" t="s">
        <v>74</v>
      </c>
      <c r="AG882">
        <v>112</v>
      </c>
      <c r="AH882">
        <v>9</v>
      </c>
      <c r="AI882">
        <v>10</v>
      </c>
      <c r="AJ882">
        <v>0</v>
      </c>
      <c r="AK882">
        <v>5</v>
      </c>
      <c r="AL882" t="s">
        <v>11496</v>
      </c>
      <c r="AM882" t="s">
        <v>11497</v>
      </c>
      <c r="AN882" t="s">
        <v>11498</v>
      </c>
      <c r="AO882" t="s">
        <v>74</v>
      </c>
      <c r="AP882" t="s">
        <v>74</v>
      </c>
      <c r="AQ882" t="s">
        <v>15937</v>
      </c>
      <c r="AR882" t="s">
        <v>74</v>
      </c>
      <c r="AS882" t="s">
        <v>74</v>
      </c>
      <c r="AT882" t="s">
        <v>74</v>
      </c>
      <c r="AU882">
        <v>2010</v>
      </c>
      <c r="AV882" t="s">
        <v>74</v>
      </c>
      <c r="AW882" t="s">
        <v>74</v>
      </c>
      <c r="AX882" t="s">
        <v>74</v>
      </c>
      <c r="AY882" t="s">
        <v>74</v>
      </c>
      <c r="AZ882" t="s">
        <v>74</v>
      </c>
      <c r="BA882" t="s">
        <v>74</v>
      </c>
      <c r="BB882">
        <v>1</v>
      </c>
      <c r="BC882">
        <v>29</v>
      </c>
      <c r="BD882" t="s">
        <v>74</v>
      </c>
      <c r="BE882" t="s">
        <v>74</v>
      </c>
      <c r="BF882" t="s">
        <v>74</v>
      </c>
      <c r="BG882" t="s">
        <v>74</v>
      </c>
      <c r="BH882" t="s">
        <v>74</v>
      </c>
      <c r="BI882">
        <v>29</v>
      </c>
      <c r="BJ882" t="s">
        <v>6846</v>
      </c>
      <c r="BK882" t="s">
        <v>8579</v>
      </c>
      <c r="BL882" t="s">
        <v>6847</v>
      </c>
      <c r="BM882" t="s">
        <v>15938</v>
      </c>
      <c r="BN882" t="s">
        <v>74</v>
      </c>
      <c r="BO882" t="s">
        <v>74</v>
      </c>
      <c r="BP882" t="s">
        <v>74</v>
      </c>
      <c r="BQ882" t="s">
        <v>74</v>
      </c>
      <c r="BR882" t="s">
        <v>105</v>
      </c>
      <c r="BS882" t="s">
        <v>15939</v>
      </c>
      <c r="BT882" t="str">
        <f>HYPERLINK("https%3A%2F%2Fwww.webofscience.com%2Fwos%2Fwoscc%2Ffull-record%2FWOS:000356624900002","View Full Record in Web of Science")</f>
        <v>View Full Record in Web of Science</v>
      </c>
    </row>
    <row r="883" spans="1:72" x14ac:dyDescent="0.15">
      <c r="A883" t="s">
        <v>8563</v>
      </c>
      <c r="B883" t="s">
        <v>15940</v>
      </c>
      <c r="C883" t="s">
        <v>74</v>
      </c>
      <c r="D883" t="s">
        <v>15928</v>
      </c>
      <c r="E883" t="s">
        <v>74</v>
      </c>
      <c r="F883" t="s">
        <v>15941</v>
      </c>
      <c r="G883" t="s">
        <v>74</v>
      </c>
      <c r="H883" t="s">
        <v>74</v>
      </c>
      <c r="I883" t="s">
        <v>15942</v>
      </c>
      <c r="J883" t="s">
        <v>15931</v>
      </c>
      <c r="K883" t="s">
        <v>74</v>
      </c>
      <c r="L883" t="s">
        <v>74</v>
      </c>
      <c r="M883" t="s">
        <v>78</v>
      </c>
      <c r="N883" t="s">
        <v>8859</v>
      </c>
      <c r="O883" t="s">
        <v>74</v>
      </c>
      <c r="P883" t="s">
        <v>74</v>
      </c>
      <c r="Q883" t="s">
        <v>74</v>
      </c>
      <c r="R883" t="s">
        <v>74</v>
      </c>
      <c r="S883" t="s">
        <v>74</v>
      </c>
      <c r="T883" t="s">
        <v>74</v>
      </c>
      <c r="U883" t="s">
        <v>15943</v>
      </c>
      <c r="V883" t="s">
        <v>74</v>
      </c>
      <c r="W883" t="s">
        <v>15944</v>
      </c>
      <c r="X883" t="s">
        <v>15945</v>
      </c>
      <c r="Y883" t="s">
        <v>15946</v>
      </c>
      <c r="Z883" t="s">
        <v>74</v>
      </c>
      <c r="AA883" t="s">
        <v>15947</v>
      </c>
      <c r="AB883" t="s">
        <v>15948</v>
      </c>
      <c r="AC883" t="s">
        <v>74</v>
      </c>
      <c r="AD883" t="s">
        <v>74</v>
      </c>
      <c r="AE883" t="s">
        <v>74</v>
      </c>
      <c r="AF883" t="s">
        <v>74</v>
      </c>
      <c r="AG883">
        <v>59</v>
      </c>
      <c r="AH883">
        <v>4</v>
      </c>
      <c r="AI883">
        <v>4</v>
      </c>
      <c r="AJ883">
        <v>0</v>
      </c>
      <c r="AK883">
        <v>1</v>
      </c>
      <c r="AL883" t="s">
        <v>11496</v>
      </c>
      <c r="AM883" t="s">
        <v>11497</v>
      </c>
      <c r="AN883" t="s">
        <v>11498</v>
      </c>
      <c r="AO883" t="s">
        <v>74</v>
      </c>
      <c r="AP883" t="s">
        <v>74</v>
      </c>
      <c r="AQ883" t="s">
        <v>15937</v>
      </c>
      <c r="AR883" t="s">
        <v>74</v>
      </c>
      <c r="AS883" t="s">
        <v>74</v>
      </c>
      <c r="AT883" t="s">
        <v>74</v>
      </c>
      <c r="AU883">
        <v>2010</v>
      </c>
      <c r="AV883" t="s">
        <v>74</v>
      </c>
      <c r="AW883" t="s">
        <v>74</v>
      </c>
      <c r="AX883" t="s">
        <v>74</v>
      </c>
      <c r="AY883" t="s">
        <v>74</v>
      </c>
      <c r="AZ883" t="s">
        <v>74</v>
      </c>
      <c r="BA883" t="s">
        <v>74</v>
      </c>
      <c r="BB883">
        <v>31</v>
      </c>
      <c r="BC883">
        <v>59</v>
      </c>
      <c r="BD883" t="s">
        <v>74</v>
      </c>
      <c r="BE883" t="s">
        <v>74</v>
      </c>
      <c r="BF883" t="s">
        <v>74</v>
      </c>
      <c r="BG883" t="s">
        <v>74</v>
      </c>
      <c r="BH883" t="s">
        <v>74</v>
      </c>
      <c r="BI883">
        <v>29</v>
      </c>
      <c r="BJ883" t="s">
        <v>6846</v>
      </c>
      <c r="BK883" t="s">
        <v>8579</v>
      </c>
      <c r="BL883" t="s">
        <v>6847</v>
      </c>
      <c r="BM883" t="s">
        <v>15938</v>
      </c>
      <c r="BN883" t="s">
        <v>74</v>
      </c>
      <c r="BO883" t="s">
        <v>74</v>
      </c>
      <c r="BP883" t="s">
        <v>74</v>
      </c>
      <c r="BQ883" t="s">
        <v>74</v>
      </c>
      <c r="BR883" t="s">
        <v>105</v>
      </c>
      <c r="BS883" t="s">
        <v>15949</v>
      </c>
      <c r="BT883" t="str">
        <f>HYPERLINK("https%3A%2F%2Fwww.webofscience.com%2Fwos%2Fwoscc%2Ffull-record%2FWOS:000356624900003","View Full Record in Web of Science")</f>
        <v>View Full Record in Web of Science</v>
      </c>
    </row>
    <row r="884" spans="1:72" x14ac:dyDescent="0.15">
      <c r="A884" t="s">
        <v>8563</v>
      </c>
      <c r="B884" t="s">
        <v>15950</v>
      </c>
      <c r="C884" t="s">
        <v>74</v>
      </c>
      <c r="D884" t="s">
        <v>15928</v>
      </c>
      <c r="E884" t="s">
        <v>74</v>
      </c>
      <c r="F884" t="s">
        <v>15951</v>
      </c>
      <c r="G884" t="s">
        <v>74</v>
      </c>
      <c r="H884" t="s">
        <v>74</v>
      </c>
      <c r="I884" t="s">
        <v>15952</v>
      </c>
      <c r="J884" t="s">
        <v>15931</v>
      </c>
      <c r="K884" t="s">
        <v>74</v>
      </c>
      <c r="L884" t="s">
        <v>74</v>
      </c>
      <c r="M884" t="s">
        <v>78</v>
      </c>
      <c r="N884" t="s">
        <v>8859</v>
      </c>
      <c r="O884" t="s">
        <v>74</v>
      </c>
      <c r="P884" t="s">
        <v>74</v>
      </c>
      <c r="Q884" t="s">
        <v>74</v>
      </c>
      <c r="R884" t="s">
        <v>74</v>
      </c>
      <c r="S884" t="s">
        <v>74</v>
      </c>
      <c r="T884" t="s">
        <v>74</v>
      </c>
      <c r="U884" t="s">
        <v>15953</v>
      </c>
      <c r="V884" t="s">
        <v>74</v>
      </c>
      <c r="W884" t="s">
        <v>15954</v>
      </c>
      <c r="X884" t="s">
        <v>15955</v>
      </c>
      <c r="Y884" t="s">
        <v>15956</v>
      </c>
      <c r="Z884" t="s">
        <v>74</v>
      </c>
      <c r="AA884" t="s">
        <v>8244</v>
      </c>
      <c r="AB884" t="s">
        <v>74</v>
      </c>
      <c r="AC884" t="s">
        <v>74</v>
      </c>
      <c r="AD884" t="s">
        <v>74</v>
      </c>
      <c r="AE884" t="s">
        <v>74</v>
      </c>
      <c r="AF884" t="s">
        <v>74</v>
      </c>
      <c r="AG884">
        <v>87</v>
      </c>
      <c r="AH884">
        <v>5</v>
      </c>
      <c r="AI884">
        <v>5</v>
      </c>
      <c r="AJ884">
        <v>1</v>
      </c>
      <c r="AK884">
        <v>2</v>
      </c>
      <c r="AL884" t="s">
        <v>11496</v>
      </c>
      <c r="AM884" t="s">
        <v>11497</v>
      </c>
      <c r="AN884" t="s">
        <v>11498</v>
      </c>
      <c r="AO884" t="s">
        <v>74</v>
      </c>
      <c r="AP884" t="s">
        <v>74</v>
      </c>
      <c r="AQ884" t="s">
        <v>15937</v>
      </c>
      <c r="AR884" t="s">
        <v>74</v>
      </c>
      <c r="AS884" t="s">
        <v>74</v>
      </c>
      <c r="AT884" t="s">
        <v>74</v>
      </c>
      <c r="AU884">
        <v>2010</v>
      </c>
      <c r="AV884" t="s">
        <v>74</v>
      </c>
      <c r="AW884" t="s">
        <v>74</v>
      </c>
      <c r="AX884" t="s">
        <v>74</v>
      </c>
      <c r="AY884" t="s">
        <v>74</v>
      </c>
      <c r="AZ884" t="s">
        <v>74</v>
      </c>
      <c r="BA884" t="s">
        <v>74</v>
      </c>
      <c r="BB884">
        <v>95</v>
      </c>
      <c r="BC884">
        <v>113</v>
      </c>
      <c r="BD884" t="s">
        <v>74</v>
      </c>
      <c r="BE884" t="s">
        <v>74</v>
      </c>
      <c r="BF884" t="s">
        <v>74</v>
      </c>
      <c r="BG884" t="s">
        <v>74</v>
      </c>
      <c r="BH884" t="s">
        <v>74</v>
      </c>
      <c r="BI884">
        <v>19</v>
      </c>
      <c r="BJ884" t="s">
        <v>6846</v>
      </c>
      <c r="BK884" t="s">
        <v>8579</v>
      </c>
      <c r="BL884" t="s">
        <v>6847</v>
      </c>
      <c r="BM884" t="s">
        <v>15938</v>
      </c>
      <c r="BN884" t="s">
        <v>74</v>
      </c>
      <c r="BO884" t="s">
        <v>74</v>
      </c>
      <c r="BP884" t="s">
        <v>74</v>
      </c>
      <c r="BQ884" t="s">
        <v>74</v>
      </c>
      <c r="BR884" t="s">
        <v>105</v>
      </c>
      <c r="BS884" t="s">
        <v>15957</v>
      </c>
      <c r="BT884" t="str">
        <f>HYPERLINK("https%3A%2F%2Fwww.webofscience.com%2Fwos%2Fwoscc%2Ffull-record%2FWOS:000356624900005","View Full Record in Web of Science")</f>
        <v>View Full Record in Web of Science</v>
      </c>
    </row>
    <row r="885" spans="1:72" x14ac:dyDescent="0.15">
      <c r="A885" t="s">
        <v>8563</v>
      </c>
      <c r="B885" t="s">
        <v>15958</v>
      </c>
      <c r="C885" t="s">
        <v>74</v>
      </c>
      <c r="D885" t="s">
        <v>15928</v>
      </c>
      <c r="E885" t="s">
        <v>74</v>
      </c>
      <c r="F885" t="s">
        <v>15959</v>
      </c>
      <c r="G885" t="s">
        <v>74</v>
      </c>
      <c r="H885" t="s">
        <v>74</v>
      </c>
      <c r="I885" t="s">
        <v>15960</v>
      </c>
      <c r="J885" t="s">
        <v>15931</v>
      </c>
      <c r="K885" t="s">
        <v>74</v>
      </c>
      <c r="L885" t="s">
        <v>74</v>
      </c>
      <c r="M885" t="s">
        <v>78</v>
      </c>
      <c r="N885" t="s">
        <v>8859</v>
      </c>
      <c r="O885" t="s">
        <v>74</v>
      </c>
      <c r="P885" t="s">
        <v>74</v>
      </c>
      <c r="Q885" t="s">
        <v>74</v>
      </c>
      <c r="R885" t="s">
        <v>74</v>
      </c>
      <c r="S885" t="s">
        <v>74</v>
      </c>
      <c r="T885" t="s">
        <v>74</v>
      </c>
      <c r="U885" t="s">
        <v>15961</v>
      </c>
      <c r="V885" t="s">
        <v>74</v>
      </c>
      <c r="W885" t="s">
        <v>15962</v>
      </c>
      <c r="X885" t="s">
        <v>15963</v>
      </c>
      <c r="Y885" t="s">
        <v>15964</v>
      </c>
      <c r="Z885" t="s">
        <v>74</v>
      </c>
      <c r="AA885" t="s">
        <v>74</v>
      </c>
      <c r="AB885" t="s">
        <v>15965</v>
      </c>
      <c r="AC885" t="s">
        <v>74</v>
      </c>
      <c r="AD885" t="s">
        <v>74</v>
      </c>
      <c r="AE885" t="s">
        <v>74</v>
      </c>
      <c r="AF885" t="s">
        <v>74</v>
      </c>
      <c r="AG885">
        <v>78</v>
      </c>
      <c r="AH885">
        <v>11</v>
      </c>
      <c r="AI885">
        <v>11</v>
      </c>
      <c r="AJ885">
        <v>0</v>
      </c>
      <c r="AK885">
        <v>3</v>
      </c>
      <c r="AL885" t="s">
        <v>11496</v>
      </c>
      <c r="AM885" t="s">
        <v>11497</v>
      </c>
      <c r="AN885" t="s">
        <v>11498</v>
      </c>
      <c r="AO885" t="s">
        <v>74</v>
      </c>
      <c r="AP885" t="s">
        <v>74</v>
      </c>
      <c r="AQ885" t="s">
        <v>15937</v>
      </c>
      <c r="AR885" t="s">
        <v>74</v>
      </c>
      <c r="AS885" t="s">
        <v>74</v>
      </c>
      <c r="AT885" t="s">
        <v>74</v>
      </c>
      <c r="AU885">
        <v>2010</v>
      </c>
      <c r="AV885" t="s">
        <v>74</v>
      </c>
      <c r="AW885" t="s">
        <v>74</v>
      </c>
      <c r="AX885" t="s">
        <v>74</v>
      </c>
      <c r="AY885" t="s">
        <v>74</v>
      </c>
      <c r="AZ885" t="s">
        <v>74</v>
      </c>
      <c r="BA885" t="s">
        <v>74</v>
      </c>
      <c r="BB885">
        <v>157</v>
      </c>
      <c r="BC885">
        <v>177</v>
      </c>
      <c r="BD885" t="s">
        <v>74</v>
      </c>
      <c r="BE885" t="s">
        <v>74</v>
      </c>
      <c r="BF885" t="s">
        <v>74</v>
      </c>
      <c r="BG885" t="s">
        <v>74</v>
      </c>
      <c r="BH885" t="s">
        <v>74</v>
      </c>
      <c r="BI885">
        <v>21</v>
      </c>
      <c r="BJ885" t="s">
        <v>6846</v>
      </c>
      <c r="BK885" t="s">
        <v>8579</v>
      </c>
      <c r="BL885" t="s">
        <v>6847</v>
      </c>
      <c r="BM885" t="s">
        <v>15938</v>
      </c>
      <c r="BN885" t="s">
        <v>74</v>
      </c>
      <c r="BO885" t="s">
        <v>74</v>
      </c>
      <c r="BP885" t="s">
        <v>74</v>
      </c>
      <c r="BQ885" t="s">
        <v>74</v>
      </c>
      <c r="BR885" t="s">
        <v>105</v>
      </c>
      <c r="BS885" t="s">
        <v>15966</v>
      </c>
      <c r="BT885" t="str">
        <f>HYPERLINK("https%3A%2F%2Fwww.webofscience.com%2Fwos%2Fwoscc%2Ffull-record%2FWOS:000356624900007","View Full Record in Web of Science")</f>
        <v>View Full Record in Web of Science</v>
      </c>
    </row>
    <row r="886" spans="1:72" x14ac:dyDescent="0.15">
      <c r="A886" t="s">
        <v>8563</v>
      </c>
      <c r="B886" t="s">
        <v>15967</v>
      </c>
      <c r="C886" t="s">
        <v>74</v>
      </c>
      <c r="D886" t="s">
        <v>15928</v>
      </c>
      <c r="E886" t="s">
        <v>74</v>
      </c>
      <c r="F886" t="s">
        <v>15968</v>
      </c>
      <c r="G886" t="s">
        <v>74</v>
      </c>
      <c r="H886" t="s">
        <v>74</v>
      </c>
      <c r="I886" t="s">
        <v>15969</v>
      </c>
      <c r="J886" t="s">
        <v>15931</v>
      </c>
      <c r="K886" t="s">
        <v>74</v>
      </c>
      <c r="L886" t="s">
        <v>74</v>
      </c>
      <c r="M886" t="s">
        <v>78</v>
      </c>
      <c r="N886" t="s">
        <v>8859</v>
      </c>
      <c r="O886" t="s">
        <v>74</v>
      </c>
      <c r="P886" t="s">
        <v>74</v>
      </c>
      <c r="Q886" t="s">
        <v>74</v>
      </c>
      <c r="R886" t="s">
        <v>74</v>
      </c>
      <c r="S886" t="s">
        <v>74</v>
      </c>
      <c r="T886" t="s">
        <v>74</v>
      </c>
      <c r="U886" t="s">
        <v>15970</v>
      </c>
      <c r="V886" t="s">
        <v>74</v>
      </c>
      <c r="W886" t="s">
        <v>15971</v>
      </c>
      <c r="X886" t="s">
        <v>15972</v>
      </c>
      <c r="Y886" t="s">
        <v>15973</v>
      </c>
      <c r="Z886" t="s">
        <v>74</v>
      </c>
      <c r="AA886" t="s">
        <v>74</v>
      </c>
      <c r="AB886" t="s">
        <v>74</v>
      </c>
      <c r="AC886" t="s">
        <v>74</v>
      </c>
      <c r="AD886" t="s">
        <v>74</v>
      </c>
      <c r="AE886" t="s">
        <v>74</v>
      </c>
      <c r="AF886" t="s">
        <v>74</v>
      </c>
      <c r="AG886">
        <v>97</v>
      </c>
      <c r="AH886">
        <v>1</v>
      </c>
      <c r="AI886">
        <v>1</v>
      </c>
      <c r="AJ886">
        <v>0</v>
      </c>
      <c r="AK886">
        <v>2</v>
      </c>
      <c r="AL886" t="s">
        <v>11496</v>
      </c>
      <c r="AM886" t="s">
        <v>11497</v>
      </c>
      <c r="AN886" t="s">
        <v>11498</v>
      </c>
      <c r="AO886" t="s">
        <v>74</v>
      </c>
      <c r="AP886" t="s">
        <v>74</v>
      </c>
      <c r="AQ886" t="s">
        <v>15937</v>
      </c>
      <c r="AR886" t="s">
        <v>74</v>
      </c>
      <c r="AS886" t="s">
        <v>74</v>
      </c>
      <c r="AT886" t="s">
        <v>74</v>
      </c>
      <c r="AU886">
        <v>2010</v>
      </c>
      <c r="AV886" t="s">
        <v>74</v>
      </c>
      <c r="AW886" t="s">
        <v>74</v>
      </c>
      <c r="AX886" t="s">
        <v>74</v>
      </c>
      <c r="AY886" t="s">
        <v>74</v>
      </c>
      <c r="AZ886" t="s">
        <v>74</v>
      </c>
      <c r="BA886" t="s">
        <v>74</v>
      </c>
      <c r="BB886">
        <v>179</v>
      </c>
      <c r="BC886">
        <v>199</v>
      </c>
      <c r="BD886" t="s">
        <v>74</v>
      </c>
      <c r="BE886" t="s">
        <v>74</v>
      </c>
      <c r="BF886" t="s">
        <v>74</v>
      </c>
      <c r="BG886" t="s">
        <v>74</v>
      </c>
      <c r="BH886" t="s">
        <v>74</v>
      </c>
      <c r="BI886">
        <v>21</v>
      </c>
      <c r="BJ886" t="s">
        <v>6846</v>
      </c>
      <c r="BK886" t="s">
        <v>8579</v>
      </c>
      <c r="BL886" t="s">
        <v>6847</v>
      </c>
      <c r="BM886" t="s">
        <v>15938</v>
      </c>
      <c r="BN886" t="s">
        <v>74</v>
      </c>
      <c r="BO886" t="s">
        <v>74</v>
      </c>
      <c r="BP886" t="s">
        <v>74</v>
      </c>
      <c r="BQ886" t="s">
        <v>74</v>
      </c>
      <c r="BR886" t="s">
        <v>105</v>
      </c>
      <c r="BS886" t="s">
        <v>15974</v>
      </c>
      <c r="BT886" t="str">
        <f>HYPERLINK("https%3A%2F%2Fwww.webofscience.com%2Fwos%2Fwoscc%2Ffull-record%2FWOS:000356624900008","View Full Record in Web of Science")</f>
        <v>View Full Record in Web of Science</v>
      </c>
    </row>
    <row r="887" spans="1:72" x14ac:dyDescent="0.15">
      <c r="A887" t="s">
        <v>8563</v>
      </c>
      <c r="B887" t="s">
        <v>15975</v>
      </c>
      <c r="C887" t="s">
        <v>74</v>
      </c>
      <c r="D887" t="s">
        <v>15928</v>
      </c>
      <c r="E887" t="s">
        <v>74</v>
      </c>
      <c r="F887" t="s">
        <v>15976</v>
      </c>
      <c r="G887" t="s">
        <v>74</v>
      </c>
      <c r="H887" t="s">
        <v>74</v>
      </c>
      <c r="I887" t="s">
        <v>15977</v>
      </c>
      <c r="J887" t="s">
        <v>15931</v>
      </c>
      <c r="K887" t="s">
        <v>74</v>
      </c>
      <c r="L887" t="s">
        <v>74</v>
      </c>
      <c r="M887" t="s">
        <v>78</v>
      </c>
      <c r="N887" t="s">
        <v>8859</v>
      </c>
      <c r="O887" t="s">
        <v>74</v>
      </c>
      <c r="P887" t="s">
        <v>74</v>
      </c>
      <c r="Q887" t="s">
        <v>74</v>
      </c>
      <c r="R887" t="s">
        <v>74</v>
      </c>
      <c r="S887" t="s">
        <v>74</v>
      </c>
      <c r="T887" t="s">
        <v>74</v>
      </c>
      <c r="U887" t="s">
        <v>15978</v>
      </c>
      <c r="V887" t="s">
        <v>74</v>
      </c>
      <c r="W887" t="s">
        <v>15979</v>
      </c>
      <c r="X887" t="s">
        <v>15980</v>
      </c>
      <c r="Y887" t="s">
        <v>15946</v>
      </c>
      <c r="Z887" t="s">
        <v>74</v>
      </c>
      <c r="AA887" t="s">
        <v>15981</v>
      </c>
      <c r="AB887" t="s">
        <v>74</v>
      </c>
      <c r="AC887" t="s">
        <v>74</v>
      </c>
      <c r="AD887" t="s">
        <v>74</v>
      </c>
      <c r="AE887" t="s">
        <v>74</v>
      </c>
      <c r="AF887" t="s">
        <v>74</v>
      </c>
      <c r="AG887">
        <v>57</v>
      </c>
      <c r="AH887">
        <v>12</v>
      </c>
      <c r="AI887">
        <v>13</v>
      </c>
      <c r="AJ887">
        <v>0</v>
      </c>
      <c r="AK887">
        <v>2</v>
      </c>
      <c r="AL887" t="s">
        <v>11496</v>
      </c>
      <c r="AM887" t="s">
        <v>11497</v>
      </c>
      <c r="AN887" t="s">
        <v>11498</v>
      </c>
      <c r="AO887" t="s">
        <v>74</v>
      </c>
      <c r="AP887" t="s">
        <v>74</v>
      </c>
      <c r="AQ887" t="s">
        <v>15937</v>
      </c>
      <c r="AR887" t="s">
        <v>74</v>
      </c>
      <c r="AS887" t="s">
        <v>74</v>
      </c>
      <c r="AT887" t="s">
        <v>74</v>
      </c>
      <c r="AU887">
        <v>2010</v>
      </c>
      <c r="AV887" t="s">
        <v>74</v>
      </c>
      <c r="AW887" t="s">
        <v>74</v>
      </c>
      <c r="AX887" t="s">
        <v>74</v>
      </c>
      <c r="AY887" t="s">
        <v>74</v>
      </c>
      <c r="AZ887" t="s">
        <v>74</v>
      </c>
      <c r="BA887" t="s">
        <v>74</v>
      </c>
      <c r="BB887">
        <v>215</v>
      </c>
      <c r="BC887">
        <v>230</v>
      </c>
      <c r="BD887" t="s">
        <v>74</v>
      </c>
      <c r="BE887" t="s">
        <v>74</v>
      </c>
      <c r="BF887" t="s">
        <v>74</v>
      </c>
      <c r="BG887" t="s">
        <v>74</v>
      </c>
      <c r="BH887" t="s">
        <v>74</v>
      </c>
      <c r="BI887">
        <v>16</v>
      </c>
      <c r="BJ887" t="s">
        <v>6846</v>
      </c>
      <c r="BK887" t="s">
        <v>8579</v>
      </c>
      <c r="BL887" t="s">
        <v>6847</v>
      </c>
      <c r="BM887" t="s">
        <v>15938</v>
      </c>
      <c r="BN887" t="s">
        <v>74</v>
      </c>
      <c r="BO887" t="s">
        <v>74</v>
      </c>
      <c r="BP887" t="s">
        <v>74</v>
      </c>
      <c r="BQ887" t="s">
        <v>74</v>
      </c>
      <c r="BR887" t="s">
        <v>105</v>
      </c>
      <c r="BS887" t="s">
        <v>15982</v>
      </c>
      <c r="BT887" t="str">
        <f>HYPERLINK("https%3A%2F%2Fwww.webofscience.com%2Fwos%2Fwoscc%2Ffull-record%2FWOS:000356624900010","View Full Record in Web of Science")</f>
        <v>View Full Record in Web of Science</v>
      </c>
    </row>
    <row r="888" spans="1:72" x14ac:dyDescent="0.15">
      <c r="A888" t="s">
        <v>8563</v>
      </c>
      <c r="B888" t="s">
        <v>15983</v>
      </c>
      <c r="C888" t="s">
        <v>74</v>
      </c>
      <c r="D888" t="s">
        <v>15928</v>
      </c>
      <c r="E888" t="s">
        <v>74</v>
      </c>
      <c r="F888" t="s">
        <v>15984</v>
      </c>
      <c r="G888" t="s">
        <v>74</v>
      </c>
      <c r="H888" t="s">
        <v>74</v>
      </c>
      <c r="I888" t="s">
        <v>15985</v>
      </c>
      <c r="J888" t="s">
        <v>15931</v>
      </c>
      <c r="K888" t="s">
        <v>74</v>
      </c>
      <c r="L888" t="s">
        <v>74</v>
      </c>
      <c r="M888" t="s">
        <v>78</v>
      </c>
      <c r="N888" t="s">
        <v>8859</v>
      </c>
      <c r="O888" t="s">
        <v>74</v>
      </c>
      <c r="P888" t="s">
        <v>74</v>
      </c>
      <c r="Q888" t="s">
        <v>74</v>
      </c>
      <c r="R888" t="s">
        <v>74</v>
      </c>
      <c r="S888" t="s">
        <v>74</v>
      </c>
      <c r="T888" t="s">
        <v>74</v>
      </c>
      <c r="U888" t="s">
        <v>15986</v>
      </c>
      <c r="V888" t="s">
        <v>74</v>
      </c>
      <c r="W888" t="s">
        <v>15987</v>
      </c>
      <c r="X888" t="s">
        <v>15988</v>
      </c>
      <c r="Y888" t="s">
        <v>15989</v>
      </c>
      <c r="Z888" t="s">
        <v>74</v>
      </c>
      <c r="AA888" t="s">
        <v>74</v>
      </c>
      <c r="AB888" t="s">
        <v>74</v>
      </c>
      <c r="AC888" t="s">
        <v>74</v>
      </c>
      <c r="AD888" t="s">
        <v>74</v>
      </c>
      <c r="AE888" t="s">
        <v>74</v>
      </c>
      <c r="AF888" t="s">
        <v>74</v>
      </c>
      <c r="AG888">
        <v>87</v>
      </c>
      <c r="AH888">
        <v>2</v>
      </c>
      <c r="AI888">
        <v>2</v>
      </c>
      <c r="AJ888">
        <v>1</v>
      </c>
      <c r="AK888">
        <v>4</v>
      </c>
      <c r="AL888" t="s">
        <v>11496</v>
      </c>
      <c r="AM888" t="s">
        <v>11497</v>
      </c>
      <c r="AN888" t="s">
        <v>11498</v>
      </c>
      <c r="AO888" t="s">
        <v>74</v>
      </c>
      <c r="AP888" t="s">
        <v>74</v>
      </c>
      <c r="AQ888" t="s">
        <v>15937</v>
      </c>
      <c r="AR888" t="s">
        <v>74</v>
      </c>
      <c r="AS888" t="s">
        <v>74</v>
      </c>
      <c r="AT888" t="s">
        <v>74</v>
      </c>
      <c r="AU888">
        <v>2010</v>
      </c>
      <c r="AV888" t="s">
        <v>74</v>
      </c>
      <c r="AW888" t="s">
        <v>74</v>
      </c>
      <c r="AX888" t="s">
        <v>74</v>
      </c>
      <c r="AY888" t="s">
        <v>74</v>
      </c>
      <c r="AZ888" t="s">
        <v>74</v>
      </c>
      <c r="BA888" t="s">
        <v>74</v>
      </c>
      <c r="BB888">
        <v>255</v>
      </c>
      <c r="BC888">
        <v>275</v>
      </c>
      <c r="BD888" t="s">
        <v>74</v>
      </c>
      <c r="BE888" t="s">
        <v>74</v>
      </c>
      <c r="BF888" t="s">
        <v>74</v>
      </c>
      <c r="BG888" t="s">
        <v>74</v>
      </c>
      <c r="BH888" t="s">
        <v>74</v>
      </c>
      <c r="BI888">
        <v>21</v>
      </c>
      <c r="BJ888" t="s">
        <v>6846</v>
      </c>
      <c r="BK888" t="s">
        <v>8579</v>
      </c>
      <c r="BL888" t="s">
        <v>6847</v>
      </c>
      <c r="BM888" t="s">
        <v>15938</v>
      </c>
      <c r="BN888" t="s">
        <v>74</v>
      </c>
      <c r="BO888" t="s">
        <v>74</v>
      </c>
      <c r="BP888" t="s">
        <v>74</v>
      </c>
      <c r="BQ888" t="s">
        <v>74</v>
      </c>
      <c r="BR888" t="s">
        <v>105</v>
      </c>
      <c r="BS888" t="s">
        <v>15990</v>
      </c>
      <c r="BT888" t="str">
        <f>HYPERLINK("https%3A%2F%2Fwww.webofscience.com%2Fwos%2Fwoscc%2Ffull-record%2FWOS:000356624900012","View Full Record in Web of Science")</f>
        <v>View Full Record in Web of Science</v>
      </c>
    </row>
    <row r="889" spans="1:72" x14ac:dyDescent="0.15">
      <c r="A889" t="s">
        <v>8563</v>
      </c>
      <c r="B889" t="s">
        <v>15991</v>
      </c>
      <c r="C889" t="s">
        <v>74</v>
      </c>
      <c r="D889" t="s">
        <v>15928</v>
      </c>
      <c r="E889" t="s">
        <v>74</v>
      </c>
      <c r="F889" t="s">
        <v>15992</v>
      </c>
      <c r="G889" t="s">
        <v>74</v>
      </c>
      <c r="H889" t="s">
        <v>74</v>
      </c>
      <c r="I889" t="s">
        <v>15993</v>
      </c>
      <c r="J889" t="s">
        <v>15931</v>
      </c>
      <c r="K889" t="s">
        <v>74</v>
      </c>
      <c r="L889" t="s">
        <v>74</v>
      </c>
      <c r="M889" t="s">
        <v>78</v>
      </c>
      <c r="N889" t="s">
        <v>8859</v>
      </c>
      <c r="O889" t="s">
        <v>74</v>
      </c>
      <c r="P889" t="s">
        <v>74</v>
      </c>
      <c r="Q889" t="s">
        <v>74</v>
      </c>
      <c r="R889" t="s">
        <v>74</v>
      </c>
      <c r="S889" t="s">
        <v>74</v>
      </c>
      <c r="T889" t="s">
        <v>74</v>
      </c>
      <c r="U889" t="s">
        <v>15994</v>
      </c>
      <c r="V889" t="s">
        <v>74</v>
      </c>
      <c r="W889" t="s">
        <v>15995</v>
      </c>
      <c r="X889" t="s">
        <v>656</v>
      </c>
      <c r="Y889" t="s">
        <v>15996</v>
      </c>
      <c r="Z889" t="s">
        <v>74</v>
      </c>
      <c r="AA889" t="s">
        <v>4065</v>
      </c>
      <c r="AB889" t="s">
        <v>74</v>
      </c>
      <c r="AC889" t="s">
        <v>74</v>
      </c>
      <c r="AD889" t="s">
        <v>74</v>
      </c>
      <c r="AE889" t="s">
        <v>74</v>
      </c>
      <c r="AF889" t="s">
        <v>74</v>
      </c>
      <c r="AG889">
        <v>99</v>
      </c>
      <c r="AH889">
        <v>7</v>
      </c>
      <c r="AI889">
        <v>7</v>
      </c>
      <c r="AJ889">
        <v>0</v>
      </c>
      <c r="AK889">
        <v>3</v>
      </c>
      <c r="AL889" t="s">
        <v>11496</v>
      </c>
      <c r="AM889" t="s">
        <v>11497</v>
      </c>
      <c r="AN889" t="s">
        <v>11498</v>
      </c>
      <c r="AO889" t="s">
        <v>74</v>
      </c>
      <c r="AP889" t="s">
        <v>74</v>
      </c>
      <c r="AQ889" t="s">
        <v>15937</v>
      </c>
      <c r="AR889" t="s">
        <v>74</v>
      </c>
      <c r="AS889" t="s">
        <v>74</v>
      </c>
      <c r="AT889" t="s">
        <v>74</v>
      </c>
      <c r="AU889">
        <v>2010</v>
      </c>
      <c r="AV889" t="s">
        <v>74</v>
      </c>
      <c r="AW889" t="s">
        <v>74</v>
      </c>
      <c r="AX889" t="s">
        <v>74</v>
      </c>
      <c r="AY889" t="s">
        <v>74</v>
      </c>
      <c r="AZ889" t="s">
        <v>74</v>
      </c>
      <c r="BA889" t="s">
        <v>74</v>
      </c>
      <c r="BB889">
        <v>277</v>
      </c>
      <c r="BC889">
        <v>300</v>
      </c>
      <c r="BD889" t="s">
        <v>74</v>
      </c>
      <c r="BE889" t="s">
        <v>74</v>
      </c>
      <c r="BF889" t="s">
        <v>74</v>
      </c>
      <c r="BG889" t="s">
        <v>74</v>
      </c>
      <c r="BH889" t="s">
        <v>74</v>
      </c>
      <c r="BI889">
        <v>24</v>
      </c>
      <c r="BJ889" t="s">
        <v>6846</v>
      </c>
      <c r="BK889" t="s">
        <v>8579</v>
      </c>
      <c r="BL889" t="s">
        <v>6847</v>
      </c>
      <c r="BM889" t="s">
        <v>15938</v>
      </c>
      <c r="BN889" t="s">
        <v>74</v>
      </c>
      <c r="BO889" t="s">
        <v>74</v>
      </c>
      <c r="BP889" t="s">
        <v>74</v>
      </c>
      <c r="BQ889" t="s">
        <v>74</v>
      </c>
      <c r="BR889" t="s">
        <v>105</v>
      </c>
      <c r="BS889" t="s">
        <v>15997</v>
      </c>
      <c r="BT889" t="str">
        <f>HYPERLINK("https%3A%2F%2Fwww.webofscience.com%2Fwos%2Fwoscc%2Ffull-record%2FWOS:000356624900013","View Full Record in Web of Science")</f>
        <v>View Full Record in Web of Science</v>
      </c>
    </row>
    <row r="890" spans="1:72" x14ac:dyDescent="0.15">
      <c r="A890" t="s">
        <v>8563</v>
      </c>
      <c r="B890" t="s">
        <v>15998</v>
      </c>
      <c r="C890" t="s">
        <v>74</v>
      </c>
      <c r="D890" t="s">
        <v>15928</v>
      </c>
      <c r="E890" t="s">
        <v>74</v>
      </c>
      <c r="F890" t="s">
        <v>15999</v>
      </c>
      <c r="G890" t="s">
        <v>74</v>
      </c>
      <c r="H890" t="s">
        <v>74</v>
      </c>
      <c r="I890" t="s">
        <v>16000</v>
      </c>
      <c r="J890" t="s">
        <v>15931</v>
      </c>
      <c r="K890" t="s">
        <v>74</v>
      </c>
      <c r="L890" t="s">
        <v>74</v>
      </c>
      <c r="M890" t="s">
        <v>78</v>
      </c>
      <c r="N890" t="s">
        <v>8859</v>
      </c>
      <c r="O890" t="s">
        <v>74</v>
      </c>
      <c r="P890" t="s">
        <v>74</v>
      </c>
      <c r="Q890" t="s">
        <v>74</v>
      </c>
      <c r="R890" t="s">
        <v>74</v>
      </c>
      <c r="S890" t="s">
        <v>74</v>
      </c>
      <c r="T890" t="s">
        <v>74</v>
      </c>
      <c r="U890" t="s">
        <v>16001</v>
      </c>
      <c r="V890" t="s">
        <v>74</v>
      </c>
      <c r="W890" t="s">
        <v>16002</v>
      </c>
      <c r="X890" t="s">
        <v>16003</v>
      </c>
      <c r="Y890" t="s">
        <v>16004</v>
      </c>
      <c r="Z890" t="s">
        <v>74</v>
      </c>
      <c r="AA890" t="s">
        <v>16005</v>
      </c>
      <c r="AB890" t="s">
        <v>16006</v>
      </c>
      <c r="AC890" t="s">
        <v>74</v>
      </c>
      <c r="AD890" t="s">
        <v>74</v>
      </c>
      <c r="AE890" t="s">
        <v>74</v>
      </c>
      <c r="AF890" t="s">
        <v>74</v>
      </c>
      <c r="AG890">
        <v>132</v>
      </c>
      <c r="AH890">
        <v>1</v>
      </c>
      <c r="AI890">
        <v>1</v>
      </c>
      <c r="AJ890">
        <v>0</v>
      </c>
      <c r="AK890">
        <v>2</v>
      </c>
      <c r="AL890" t="s">
        <v>11496</v>
      </c>
      <c r="AM890" t="s">
        <v>11497</v>
      </c>
      <c r="AN890" t="s">
        <v>11498</v>
      </c>
      <c r="AO890" t="s">
        <v>74</v>
      </c>
      <c r="AP890" t="s">
        <v>74</v>
      </c>
      <c r="AQ890" t="s">
        <v>15937</v>
      </c>
      <c r="AR890" t="s">
        <v>74</v>
      </c>
      <c r="AS890" t="s">
        <v>74</v>
      </c>
      <c r="AT890" t="s">
        <v>74</v>
      </c>
      <c r="AU890">
        <v>2010</v>
      </c>
      <c r="AV890" t="s">
        <v>74</v>
      </c>
      <c r="AW890" t="s">
        <v>74</v>
      </c>
      <c r="AX890" t="s">
        <v>74</v>
      </c>
      <c r="AY890" t="s">
        <v>74</v>
      </c>
      <c r="AZ890" t="s">
        <v>74</v>
      </c>
      <c r="BA890" t="s">
        <v>74</v>
      </c>
      <c r="BB890">
        <v>301</v>
      </c>
      <c r="BC890">
        <v>318</v>
      </c>
      <c r="BD890" t="s">
        <v>74</v>
      </c>
      <c r="BE890" t="s">
        <v>74</v>
      </c>
      <c r="BF890" t="s">
        <v>74</v>
      </c>
      <c r="BG890" t="s">
        <v>74</v>
      </c>
      <c r="BH890" t="s">
        <v>74</v>
      </c>
      <c r="BI890">
        <v>18</v>
      </c>
      <c r="BJ890" t="s">
        <v>6846</v>
      </c>
      <c r="BK890" t="s">
        <v>8579</v>
      </c>
      <c r="BL890" t="s">
        <v>6847</v>
      </c>
      <c r="BM890" t="s">
        <v>15938</v>
      </c>
      <c r="BN890" t="s">
        <v>74</v>
      </c>
      <c r="BO890" t="s">
        <v>74</v>
      </c>
      <c r="BP890" t="s">
        <v>74</v>
      </c>
      <c r="BQ890" t="s">
        <v>74</v>
      </c>
      <c r="BR890" t="s">
        <v>105</v>
      </c>
      <c r="BS890" t="s">
        <v>16007</v>
      </c>
      <c r="BT890" t="str">
        <f>HYPERLINK("https%3A%2F%2Fwww.webofscience.com%2Fwos%2Fwoscc%2Ffull-record%2FWOS:000356624900014","View Full Record in Web of Science")</f>
        <v>View Full Record in Web of Science</v>
      </c>
    </row>
    <row r="891" spans="1:72" x14ac:dyDescent="0.15">
      <c r="A891" t="s">
        <v>8563</v>
      </c>
      <c r="B891" t="s">
        <v>16008</v>
      </c>
      <c r="C891" t="s">
        <v>74</v>
      </c>
      <c r="D891" t="s">
        <v>15928</v>
      </c>
      <c r="E891" t="s">
        <v>74</v>
      </c>
      <c r="F891" t="s">
        <v>16009</v>
      </c>
      <c r="G891" t="s">
        <v>74</v>
      </c>
      <c r="H891" t="s">
        <v>74</v>
      </c>
      <c r="I891" t="s">
        <v>16010</v>
      </c>
      <c r="J891" t="s">
        <v>15931</v>
      </c>
      <c r="K891" t="s">
        <v>74</v>
      </c>
      <c r="L891" t="s">
        <v>74</v>
      </c>
      <c r="M891" t="s">
        <v>78</v>
      </c>
      <c r="N891" t="s">
        <v>8859</v>
      </c>
      <c r="O891" t="s">
        <v>74</v>
      </c>
      <c r="P891" t="s">
        <v>74</v>
      </c>
      <c r="Q891" t="s">
        <v>74</v>
      </c>
      <c r="R891" t="s">
        <v>74</v>
      </c>
      <c r="S891" t="s">
        <v>74</v>
      </c>
      <c r="T891" t="s">
        <v>74</v>
      </c>
      <c r="U891" t="s">
        <v>16011</v>
      </c>
      <c r="V891" t="s">
        <v>74</v>
      </c>
      <c r="W891" t="s">
        <v>16012</v>
      </c>
      <c r="X891" t="s">
        <v>6520</v>
      </c>
      <c r="Y891" t="s">
        <v>16013</v>
      </c>
      <c r="Z891" t="s">
        <v>74</v>
      </c>
      <c r="AA891" t="s">
        <v>16014</v>
      </c>
      <c r="AB891" t="s">
        <v>74</v>
      </c>
      <c r="AC891" t="s">
        <v>74</v>
      </c>
      <c r="AD891" t="s">
        <v>74</v>
      </c>
      <c r="AE891" t="s">
        <v>74</v>
      </c>
      <c r="AF891" t="s">
        <v>74</v>
      </c>
      <c r="AG891">
        <v>66</v>
      </c>
      <c r="AH891">
        <v>3</v>
      </c>
      <c r="AI891">
        <v>3</v>
      </c>
      <c r="AJ891">
        <v>0</v>
      </c>
      <c r="AK891">
        <v>1</v>
      </c>
      <c r="AL891" t="s">
        <v>11496</v>
      </c>
      <c r="AM891" t="s">
        <v>11497</v>
      </c>
      <c r="AN891" t="s">
        <v>11498</v>
      </c>
      <c r="AO891" t="s">
        <v>74</v>
      </c>
      <c r="AP891" t="s">
        <v>74</v>
      </c>
      <c r="AQ891" t="s">
        <v>15937</v>
      </c>
      <c r="AR891" t="s">
        <v>74</v>
      </c>
      <c r="AS891" t="s">
        <v>74</v>
      </c>
      <c r="AT891" t="s">
        <v>74</v>
      </c>
      <c r="AU891">
        <v>2010</v>
      </c>
      <c r="AV891" t="s">
        <v>74</v>
      </c>
      <c r="AW891" t="s">
        <v>74</v>
      </c>
      <c r="AX891" t="s">
        <v>74</v>
      </c>
      <c r="AY891" t="s">
        <v>74</v>
      </c>
      <c r="AZ891" t="s">
        <v>74</v>
      </c>
      <c r="BA891" t="s">
        <v>74</v>
      </c>
      <c r="BB891">
        <v>339</v>
      </c>
      <c r="BC891">
        <v>355</v>
      </c>
      <c r="BD891" t="s">
        <v>74</v>
      </c>
      <c r="BE891" t="s">
        <v>74</v>
      </c>
      <c r="BF891" t="s">
        <v>74</v>
      </c>
      <c r="BG891" t="s">
        <v>74</v>
      </c>
      <c r="BH891" t="s">
        <v>74</v>
      </c>
      <c r="BI891">
        <v>17</v>
      </c>
      <c r="BJ891" t="s">
        <v>6846</v>
      </c>
      <c r="BK891" t="s">
        <v>8579</v>
      </c>
      <c r="BL891" t="s">
        <v>6847</v>
      </c>
      <c r="BM891" t="s">
        <v>15938</v>
      </c>
      <c r="BN891" t="s">
        <v>74</v>
      </c>
      <c r="BO891" t="s">
        <v>74</v>
      </c>
      <c r="BP891" t="s">
        <v>74</v>
      </c>
      <c r="BQ891" t="s">
        <v>74</v>
      </c>
      <c r="BR891" t="s">
        <v>105</v>
      </c>
      <c r="BS891" t="s">
        <v>16015</v>
      </c>
      <c r="BT891" t="str">
        <f>HYPERLINK("https%3A%2F%2Fwww.webofscience.com%2Fwos%2Fwoscc%2Ffull-record%2FWOS:000356624900016","View Full Record in Web of Science")</f>
        <v>View Full Record in Web of Science</v>
      </c>
    </row>
    <row r="892" spans="1:72" x14ac:dyDescent="0.15">
      <c r="A892" t="s">
        <v>8563</v>
      </c>
      <c r="B892" t="s">
        <v>16016</v>
      </c>
      <c r="C892" t="s">
        <v>74</v>
      </c>
      <c r="D892" t="s">
        <v>15928</v>
      </c>
      <c r="E892" t="s">
        <v>74</v>
      </c>
      <c r="F892" t="s">
        <v>16017</v>
      </c>
      <c r="G892" t="s">
        <v>74</v>
      </c>
      <c r="H892" t="s">
        <v>74</v>
      </c>
      <c r="I892" t="s">
        <v>16018</v>
      </c>
      <c r="J892" t="s">
        <v>15931</v>
      </c>
      <c r="K892" t="s">
        <v>74</v>
      </c>
      <c r="L892" t="s">
        <v>74</v>
      </c>
      <c r="M892" t="s">
        <v>78</v>
      </c>
      <c r="N892" t="s">
        <v>8859</v>
      </c>
      <c r="O892" t="s">
        <v>74</v>
      </c>
      <c r="P892" t="s">
        <v>74</v>
      </c>
      <c r="Q892" t="s">
        <v>74</v>
      </c>
      <c r="R892" t="s">
        <v>74</v>
      </c>
      <c r="S892" t="s">
        <v>74</v>
      </c>
      <c r="T892" t="s">
        <v>74</v>
      </c>
      <c r="U892" t="s">
        <v>16019</v>
      </c>
      <c r="V892" t="s">
        <v>74</v>
      </c>
      <c r="W892" t="s">
        <v>16020</v>
      </c>
      <c r="X892" t="s">
        <v>16021</v>
      </c>
      <c r="Y892" t="s">
        <v>16022</v>
      </c>
      <c r="Z892" t="s">
        <v>74</v>
      </c>
      <c r="AA892" t="s">
        <v>16023</v>
      </c>
      <c r="AB892" t="s">
        <v>16024</v>
      </c>
      <c r="AC892" t="s">
        <v>74</v>
      </c>
      <c r="AD892" t="s">
        <v>74</v>
      </c>
      <c r="AE892" t="s">
        <v>74</v>
      </c>
      <c r="AF892" t="s">
        <v>74</v>
      </c>
      <c r="AG892">
        <v>37</v>
      </c>
      <c r="AH892">
        <v>1</v>
      </c>
      <c r="AI892">
        <v>1</v>
      </c>
      <c r="AJ892">
        <v>0</v>
      </c>
      <c r="AK892">
        <v>1</v>
      </c>
      <c r="AL892" t="s">
        <v>11496</v>
      </c>
      <c r="AM892" t="s">
        <v>11497</v>
      </c>
      <c r="AN892" t="s">
        <v>11498</v>
      </c>
      <c r="AO892" t="s">
        <v>74</v>
      </c>
      <c r="AP892" t="s">
        <v>74</v>
      </c>
      <c r="AQ892" t="s">
        <v>15937</v>
      </c>
      <c r="AR892" t="s">
        <v>74</v>
      </c>
      <c r="AS892" t="s">
        <v>74</v>
      </c>
      <c r="AT892" t="s">
        <v>74</v>
      </c>
      <c r="AU892">
        <v>2010</v>
      </c>
      <c r="AV892" t="s">
        <v>74</v>
      </c>
      <c r="AW892" t="s">
        <v>74</v>
      </c>
      <c r="AX892" t="s">
        <v>74</v>
      </c>
      <c r="AY892" t="s">
        <v>74</v>
      </c>
      <c r="AZ892" t="s">
        <v>74</v>
      </c>
      <c r="BA892" t="s">
        <v>74</v>
      </c>
      <c r="BB892">
        <v>357</v>
      </c>
      <c r="BC892">
        <v>371</v>
      </c>
      <c r="BD892" t="s">
        <v>74</v>
      </c>
      <c r="BE892" t="s">
        <v>74</v>
      </c>
      <c r="BF892" t="s">
        <v>74</v>
      </c>
      <c r="BG892" t="s">
        <v>74</v>
      </c>
      <c r="BH892" t="s">
        <v>74</v>
      </c>
      <c r="BI892">
        <v>15</v>
      </c>
      <c r="BJ892" t="s">
        <v>6846</v>
      </c>
      <c r="BK892" t="s">
        <v>8579</v>
      </c>
      <c r="BL892" t="s">
        <v>6847</v>
      </c>
      <c r="BM892" t="s">
        <v>15938</v>
      </c>
      <c r="BN892" t="s">
        <v>74</v>
      </c>
      <c r="BO892" t="s">
        <v>74</v>
      </c>
      <c r="BP892" t="s">
        <v>74</v>
      </c>
      <c r="BQ892" t="s">
        <v>74</v>
      </c>
      <c r="BR892" t="s">
        <v>105</v>
      </c>
      <c r="BS892" t="s">
        <v>16025</v>
      </c>
      <c r="BT892" t="str">
        <f>HYPERLINK("https%3A%2F%2Fwww.webofscience.com%2Fwos%2Fwoscc%2Ffull-record%2FWOS:000356624900017","View Full Record in Web of Science")</f>
        <v>View Full Record in Web of Science</v>
      </c>
    </row>
    <row r="893" spans="1:72" x14ac:dyDescent="0.15">
      <c r="A893" t="s">
        <v>8563</v>
      </c>
      <c r="B893" t="s">
        <v>16026</v>
      </c>
      <c r="C893" t="s">
        <v>74</v>
      </c>
      <c r="D893" t="s">
        <v>15928</v>
      </c>
      <c r="E893" t="s">
        <v>74</v>
      </c>
      <c r="F893" t="s">
        <v>16027</v>
      </c>
      <c r="G893" t="s">
        <v>74</v>
      </c>
      <c r="H893" t="s">
        <v>74</v>
      </c>
      <c r="I893" t="s">
        <v>16028</v>
      </c>
      <c r="J893" t="s">
        <v>15931</v>
      </c>
      <c r="K893" t="s">
        <v>74</v>
      </c>
      <c r="L893" t="s">
        <v>74</v>
      </c>
      <c r="M893" t="s">
        <v>78</v>
      </c>
      <c r="N893" t="s">
        <v>8859</v>
      </c>
      <c r="O893" t="s">
        <v>74</v>
      </c>
      <c r="P893" t="s">
        <v>74</v>
      </c>
      <c r="Q893" t="s">
        <v>74</v>
      </c>
      <c r="R893" t="s">
        <v>74</v>
      </c>
      <c r="S893" t="s">
        <v>74</v>
      </c>
      <c r="T893" t="s">
        <v>74</v>
      </c>
      <c r="U893" t="s">
        <v>16029</v>
      </c>
      <c r="V893" t="s">
        <v>74</v>
      </c>
      <c r="W893" t="s">
        <v>16030</v>
      </c>
      <c r="X893" t="s">
        <v>16031</v>
      </c>
      <c r="Y893" t="s">
        <v>16032</v>
      </c>
      <c r="Z893" t="s">
        <v>74</v>
      </c>
      <c r="AA893" t="s">
        <v>74</v>
      </c>
      <c r="AB893" t="s">
        <v>74</v>
      </c>
      <c r="AC893" t="s">
        <v>74</v>
      </c>
      <c r="AD893" t="s">
        <v>74</v>
      </c>
      <c r="AE893" t="s">
        <v>74</v>
      </c>
      <c r="AF893" t="s">
        <v>74</v>
      </c>
      <c r="AG893">
        <v>71</v>
      </c>
      <c r="AH893">
        <v>4</v>
      </c>
      <c r="AI893">
        <v>4</v>
      </c>
      <c r="AJ893">
        <v>0</v>
      </c>
      <c r="AK893">
        <v>3</v>
      </c>
      <c r="AL893" t="s">
        <v>11496</v>
      </c>
      <c r="AM893" t="s">
        <v>11497</v>
      </c>
      <c r="AN893" t="s">
        <v>11498</v>
      </c>
      <c r="AO893" t="s">
        <v>74</v>
      </c>
      <c r="AP893" t="s">
        <v>74</v>
      </c>
      <c r="AQ893" t="s">
        <v>15937</v>
      </c>
      <c r="AR893" t="s">
        <v>74</v>
      </c>
      <c r="AS893" t="s">
        <v>74</v>
      </c>
      <c r="AT893" t="s">
        <v>74</v>
      </c>
      <c r="AU893">
        <v>2010</v>
      </c>
      <c r="AV893" t="s">
        <v>74</v>
      </c>
      <c r="AW893" t="s">
        <v>74</v>
      </c>
      <c r="AX893" t="s">
        <v>74</v>
      </c>
      <c r="AY893" t="s">
        <v>74</v>
      </c>
      <c r="AZ893" t="s">
        <v>74</v>
      </c>
      <c r="BA893" t="s">
        <v>74</v>
      </c>
      <c r="BB893">
        <v>373</v>
      </c>
      <c r="BC893">
        <v>391</v>
      </c>
      <c r="BD893" t="s">
        <v>74</v>
      </c>
      <c r="BE893" t="s">
        <v>74</v>
      </c>
      <c r="BF893" t="s">
        <v>74</v>
      </c>
      <c r="BG893" t="s">
        <v>74</v>
      </c>
      <c r="BH893" t="s">
        <v>74</v>
      </c>
      <c r="BI893">
        <v>19</v>
      </c>
      <c r="BJ893" t="s">
        <v>6846</v>
      </c>
      <c r="BK893" t="s">
        <v>8579</v>
      </c>
      <c r="BL893" t="s">
        <v>6847</v>
      </c>
      <c r="BM893" t="s">
        <v>15938</v>
      </c>
      <c r="BN893" t="s">
        <v>74</v>
      </c>
      <c r="BO893" t="s">
        <v>74</v>
      </c>
      <c r="BP893" t="s">
        <v>74</v>
      </c>
      <c r="BQ893" t="s">
        <v>74</v>
      </c>
      <c r="BR893" t="s">
        <v>105</v>
      </c>
      <c r="BS893" t="s">
        <v>16033</v>
      </c>
      <c r="BT893" t="str">
        <f>HYPERLINK("https%3A%2F%2Fwww.webofscience.com%2Fwos%2Fwoscc%2Ffull-record%2FWOS:000356624900018","View Full Record in Web of Science")</f>
        <v>View Full Record in Web of Science</v>
      </c>
    </row>
    <row r="894" spans="1:72" x14ac:dyDescent="0.15">
      <c r="A894" t="s">
        <v>8697</v>
      </c>
      <c r="B894" t="s">
        <v>16034</v>
      </c>
      <c r="C894" t="s">
        <v>16034</v>
      </c>
      <c r="D894" t="s">
        <v>74</v>
      </c>
      <c r="E894" t="s">
        <v>74</v>
      </c>
      <c r="F894" t="s">
        <v>16035</v>
      </c>
      <c r="G894" t="s">
        <v>16034</v>
      </c>
      <c r="H894" t="s">
        <v>74</v>
      </c>
      <c r="I894" t="s">
        <v>16036</v>
      </c>
      <c r="J894" t="s">
        <v>16037</v>
      </c>
      <c r="K894" t="s">
        <v>16038</v>
      </c>
      <c r="L894" t="s">
        <v>74</v>
      </c>
      <c r="M894" t="s">
        <v>78</v>
      </c>
      <c r="N894" t="s">
        <v>8859</v>
      </c>
      <c r="O894" t="s">
        <v>74</v>
      </c>
      <c r="P894" t="s">
        <v>74</v>
      </c>
      <c r="Q894" t="s">
        <v>74</v>
      </c>
      <c r="R894" t="s">
        <v>74</v>
      </c>
      <c r="S894" t="s">
        <v>74</v>
      </c>
      <c r="T894" t="s">
        <v>16039</v>
      </c>
      <c r="U894" t="s">
        <v>16040</v>
      </c>
      <c r="V894" t="s">
        <v>16041</v>
      </c>
      <c r="W894" t="s">
        <v>16042</v>
      </c>
      <c r="X894" t="s">
        <v>14460</v>
      </c>
      <c r="Y894" t="s">
        <v>16043</v>
      </c>
      <c r="Z894" t="s">
        <v>16044</v>
      </c>
      <c r="AA894" t="s">
        <v>74</v>
      </c>
      <c r="AB894" t="s">
        <v>74</v>
      </c>
      <c r="AC894" t="s">
        <v>74</v>
      </c>
      <c r="AD894" t="s">
        <v>74</v>
      </c>
      <c r="AE894" t="s">
        <v>74</v>
      </c>
      <c r="AF894" t="s">
        <v>74</v>
      </c>
      <c r="AG894">
        <v>128</v>
      </c>
      <c r="AH894">
        <v>4</v>
      </c>
      <c r="AI894">
        <v>4</v>
      </c>
      <c r="AJ894">
        <v>0</v>
      </c>
      <c r="AK894">
        <v>1</v>
      </c>
      <c r="AL894" t="s">
        <v>813</v>
      </c>
      <c r="AM894" t="s">
        <v>814</v>
      </c>
      <c r="AN894" t="s">
        <v>10693</v>
      </c>
      <c r="AO894" t="s">
        <v>16045</v>
      </c>
      <c r="AP894" t="s">
        <v>74</v>
      </c>
      <c r="AQ894" t="s">
        <v>16046</v>
      </c>
      <c r="AR894" t="s">
        <v>16047</v>
      </c>
      <c r="AS894" t="s">
        <v>74</v>
      </c>
      <c r="AT894" t="s">
        <v>74</v>
      </c>
      <c r="AU894">
        <v>2010</v>
      </c>
      <c r="AV894">
        <v>41</v>
      </c>
      <c r="AW894" t="s">
        <v>74</v>
      </c>
      <c r="AX894" t="s">
        <v>74</v>
      </c>
      <c r="AY894" t="s">
        <v>74</v>
      </c>
      <c r="AZ894" t="s">
        <v>74</v>
      </c>
      <c r="BA894" t="s">
        <v>74</v>
      </c>
      <c r="BB894">
        <v>19</v>
      </c>
      <c r="BC894">
        <v>71</v>
      </c>
      <c r="BD894" t="s">
        <v>74</v>
      </c>
      <c r="BE894" t="s">
        <v>16048</v>
      </c>
      <c r="BF894" t="str">
        <f>HYPERLINK("http://dx.doi.org/10.1007/978-0-387-68300-3_2","http://dx.doi.org/10.1007/978-0-387-68300-3_2")</f>
        <v>http://dx.doi.org/10.1007/978-0-387-68300-3_2</v>
      </c>
      <c r="BG894" t="s">
        <v>16049</v>
      </c>
      <c r="BH894" t="s">
        <v>74</v>
      </c>
      <c r="BI894">
        <v>53</v>
      </c>
      <c r="BJ894" t="s">
        <v>258</v>
      </c>
      <c r="BK894" t="s">
        <v>8579</v>
      </c>
      <c r="BL894" t="s">
        <v>258</v>
      </c>
      <c r="BM894" t="s">
        <v>16050</v>
      </c>
      <c r="BN894" t="s">
        <v>74</v>
      </c>
      <c r="BO894" t="s">
        <v>74</v>
      </c>
      <c r="BP894" t="s">
        <v>74</v>
      </c>
      <c r="BQ894" t="s">
        <v>74</v>
      </c>
      <c r="BR894" t="s">
        <v>105</v>
      </c>
      <c r="BS894" t="s">
        <v>16051</v>
      </c>
      <c r="BT894" t="str">
        <f>HYPERLINK("https%3A%2F%2Fwww.webofscience.com%2Fwos%2Fwoscc%2Ffull-record%2FWOS:000276867200002","View Full Record in Web of Science")</f>
        <v>View Full Record in Web of Science</v>
      </c>
    </row>
    <row r="895" spans="1:72" x14ac:dyDescent="0.15">
      <c r="A895" t="s">
        <v>8697</v>
      </c>
      <c r="B895" t="s">
        <v>16034</v>
      </c>
      <c r="C895" t="s">
        <v>16034</v>
      </c>
      <c r="D895" t="s">
        <v>74</v>
      </c>
      <c r="E895" t="s">
        <v>74</v>
      </c>
      <c r="F895" t="s">
        <v>16035</v>
      </c>
      <c r="G895" t="s">
        <v>16034</v>
      </c>
      <c r="H895" t="s">
        <v>74</v>
      </c>
      <c r="I895" t="s">
        <v>16052</v>
      </c>
      <c r="J895" t="s">
        <v>16037</v>
      </c>
      <c r="K895" t="s">
        <v>16038</v>
      </c>
      <c r="L895" t="s">
        <v>74</v>
      </c>
      <c r="M895" t="s">
        <v>78</v>
      </c>
      <c r="N895" t="s">
        <v>8859</v>
      </c>
      <c r="O895" t="s">
        <v>74</v>
      </c>
      <c r="P895" t="s">
        <v>74</v>
      </c>
      <c r="Q895" t="s">
        <v>74</v>
      </c>
      <c r="R895" t="s">
        <v>74</v>
      </c>
      <c r="S895" t="s">
        <v>74</v>
      </c>
      <c r="T895" t="s">
        <v>16053</v>
      </c>
      <c r="U895" t="s">
        <v>16054</v>
      </c>
      <c r="V895" t="s">
        <v>16055</v>
      </c>
      <c r="W895" t="s">
        <v>16042</v>
      </c>
      <c r="X895" t="s">
        <v>14460</v>
      </c>
      <c r="Y895" t="s">
        <v>16043</v>
      </c>
      <c r="Z895" t="s">
        <v>16044</v>
      </c>
      <c r="AA895" t="s">
        <v>74</v>
      </c>
      <c r="AB895" t="s">
        <v>74</v>
      </c>
      <c r="AC895" t="s">
        <v>74</v>
      </c>
      <c r="AD895" t="s">
        <v>74</v>
      </c>
      <c r="AE895" t="s">
        <v>74</v>
      </c>
      <c r="AF895" t="s">
        <v>74</v>
      </c>
      <c r="AG895">
        <v>38</v>
      </c>
      <c r="AH895">
        <v>0</v>
      </c>
      <c r="AI895">
        <v>0</v>
      </c>
      <c r="AJ895">
        <v>0</v>
      </c>
      <c r="AK895">
        <v>0</v>
      </c>
      <c r="AL895" t="s">
        <v>813</v>
      </c>
      <c r="AM895" t="s">
        <v>814</v>
      </c>
      <c r="AN895" t="s">
        <v>10693</v>
      </c>
      <c r="AO895" t="s">
        <v>16045</v>
      </c>
      <c r="AP895" t="s">
        <v>74</v>
      </c>
      <c r="AQ895" t="s">
        <v>16046</v>
      </c>
      <c r="AR895" t="s">
        <v>16047</v>
      </c>
      <c r="AS895" t="s">
        <v>74</v>
      </c>
      <c r="AT895" t="s">
        <v>74</v>
      </c>
      <c r="AU895">
        <v>2010</v>
      </c>
      <c r="AV895">
        <v>41</v>
      </c>
      <c r="AW895" t="s">
        <v>74</v>
      </c>
      <c r="AX895" t="s">
        <v>74</v>
      </c>
      <c r="AY895" t="s">
        <v>74</v>
      </c>
      <c r="AZ895" t="s">
        <v>74</v>
      </c>
      <c r="BA895" t="s">
        <v>74</v>
      </c>
      <c r="BB895">
        <v>181</v>
      </c>
      <c r="BC895">
        <v>221</v>
      </c>
      <c r="BD895" t="s">
        <v>74</v>
      </c>
      <c r="BE895" t="s">
        <v>16056</v>
      </c>
      <c r="BF895" t="str">
        <f>HYPERLINK("http://dx.doi.org/10.1007/978-0-387-68300-3_5","http://dx.doi.org/10.1007/978-0-387-68300-3_5")</f>
        <v>http://dx.doi.org/10.1007/978-0-387-68300-3_5</v>
      </c>
      <c r="BG895" t="s">
        <v>16049</v>
      </c>
      <c r="BH895" t="s">
        <v>74</v>
      </c>
      <c r="BI895">
        <v>41</v>
      </c>
      <c r="BJ895" t="s">
        <v>258</v>
      </c>
      <c r="BK895" t="s">
        <v>8579</v>
      </c>
      <c r="BL895" t="s">
        <v>258</v>
      </c>
      <c r="BM895" t="s">
        <v>16050</v>
      </c>
      <c r="BN895" t="s">
        <v>74</v>
      </c>
      <c r="BO895" t="s">
        <v>74</v>
      </c>
      <c r="BP895" t="s">
        <v>74</v>
      </c>
      <c r="BQ895" t="s">
        <v>74</v>
      </c>
      <c r="BR895" t="s">
        <v>105</v>
      </c>
      <c r="BS895" t="s">
        <v>16057</v>
      </c>
      <c r="BT895" t="str">
        <f>HYPERLINK("https%3A%2F%2Fwww.webofscience.com%2Fwos%2Fwoscc%2Ffull-record%2FWOS:000276867200005","View Full Record in Web of Science")</f>
        <v>View Full Record in Web of Science</v>
      </c>
    </row>
    <row r="896" spans="1:72" x14ac:dyDescent="0.15">
      <c r="A896" t="s">
        <v>8697</v>
      </c>
      <c r="B896" t="s">
        <v>16034</v>
      </c>
      <c r="C896" t="s">
        <v>16034</v>
      </c>
      <c r="D896" t="s">
        <v>74</v>
      </c>
      <c r="E896" t="s">
        <v>74</v>
      </c>
      <c r="F896" t="s">
        <v>16035</v>
      </c>
      <c r="G896" t="s">
        <v>16034</v>
      </c>
      <c r="H896" t="s">
        <v>74</v>
      </c>
      <c r="I896" t="s">
        <v>16058</v>
      </c>
      <c r="J896" t="s">
        <v>16037</v>
      </c>
      <c r="K896" t="s">
        <v>16038</v>
      </c>
      <c r="L896" t="s">
        <v>74</v>
      </c>
      <c r="M896" t="s">
        <v>78</v>
      </c>
      <c r="N896" t="s">
        <v>8859</v>
      </c>
      <c r="O896" t="s">
        <v>74</v>
      </c>
      <c r="P896" t="s">
        <v>74</v>
      </c>
      <c r="Q896" t="s">
        <v>74</v>
      </c>
      <c r="R896" t="s">
        <v>74</v>
      </c>
      <c r="S896" t="s">
        <v>74</v>
      </c>
      <c r="T896" t="s">
        <v>16059</v>
      </c>
      <c r="U896" t="s">
        <v>16060</v>
      </c>
      <c r="V896" t="s">
        <v>16061</v>
      </c>
      <c r="W896" t="s">
        <v>16042</v>
      </c>
      <c r="X896" t="s">
        <v>14460</v>
      </c>
      <c r="Y896" t="s">
        <v>16043</v>
      </c>
      <c r="Z896" t="s">
        <v>16044</v>
      </c>
      <c r="AA896" t="s">
        <v>74</v>
      </c>
      <c r="AB896" t="s">
        <v>74</v>
      </c>
      <c r="AC896" t="s">
        <v>74</v>
      </c>
      <c r="AD896" t="s">
        <v>74</v>
      </c>
      <c r="AE896" t="s">
        <v>74</v>
      </c>
      <c r="AF896" t="s">
        <v>74</v>
      </c>
      <c r="AG896">
        <v>39</v>
      </c>
      <c r="AH896">
        <v>0</v>
      </c>
      <c r="AI896">
        <v>0</v>
      </c>
      <c r="AJ896">
        <v>0</v>
      </c>
      <c r="AK896">
        <v>7</v>
      </c>
      <c r="AL896" t="s">
        <v>813</v>
      </c>
      <c r="AM896" t="s">
        <v>814</v>
      </c>
      <c r="AN896" t="s">
        <v>10693</v>
      </c>
      <c r="AO896" t="s">
        <v>16045</v>
      </c>
      <c r="AP896" t="s">
        <v>74</v>
      </c>
      <c r="AQ896" t="s">
        <v>16046</v>
      </c>
      <c r="AR896" t="s">
        <v>16047</v>
      </c>
      <c r="AS896" t="s">
        <v>74</v>
      </c>
      <c r="AT896" t="s">
        <v>74</v>
      </c>
      <c r="AU896">
        <v>2010</v>
      </c>
      <c r="AV896">
        <v>41</v>
      </c>
      <c r="AW896" t="s">
        <v>74</v>
      </c>
      <c r="AX896" t="s">
        <v>74</v>
      </c>
      <c r="AY896" t="s">
        <v>74</v>
      </c>
      <c r="AZ896" t="s">
        <v>74</v>
      </c>
      <c r="BA896" t="s">
        <v>74</v>
      </c>
      <c r="BB896">
        <v>223</v>
      </c>
      <c r="BC896">
        <v>294</v>
      </c>
      <c r="BD896" t="s">
        <v>74</v>
      </c>
      <c r="BE896" t="s">
        <v>16062</v>
      </c>
      <c r="BF896" t="str">
        <f>HYPERLINK("http://dx.doi.org/10.1007/978-0-387-68300-3_6","http://dx.doi.org/10.1007/978-0-387-68300-3_6")</f>
        <v>http://dx.doi.org/10.1007/978-0-387-68300-3_6</v>
      </c>
      <c r="BG896" t="s">
        <v>16049</v>
      </c>
      <c r="BH896" t="s">
        <v>74</v>
      </c>
      <c r="BI896">
        <v>72</v>
      </c>
      <c r="BJ896" t="s">
        <v>258</v>
      </c>
      <c r="BK896" t="s">
        <v>8579</v>
      </c>
      <c r="BL896" t="s">
        <v>258</v>
      </c>
      <c r="BM896" t="s">
        <v>16050</v>
      </c>
      <c r="BN896" t="s">
        <v>74</v>
      </c>
      <c r="BO896" t="s">
        <v>74</v>
      </c>
      <c r="BP896" t="s">
        <v>74</v>
      </c>
      <c r="BQ896" t="s">
        <v>74</v>
      </c>
      <c r="BR896" t="s">
        <v>105</v>
      </c>
      <c r="BS896" t="s">
        <v>16063</v>
      </c>
      <c r="BT896" t="str">
        <f>HYPERLINK("https%3A%2F%2Fwww.webofscience.com%2Fwos%2Fwoscc%2Ffull-record%2FWOS:000276867200006","View Full Record in Web of Science")</f>
        <v>View Full Record in Web of Science</v>
      </c>
    </row>
    <row r="897" spans="1:72" x14ac:dyDescent="0.15">
      <c r="A897" t="s">
        <v>8697</v>
      </c>
      <c r="B897" t="s">
        <v>16034</v>
      </c>
      <c r="C897" t="s">
        <v>16034</v>
      </c>
      <c r="D897" t="s">
        <v>74</v>
      </c>
      <c r="E897" t="s">
        <v>74</v>
      </c>
      <c r="F897" t="s">
        <v>16035</v>
      </c>
      <c r="G897" t="s">
        <v>16034</v>
      </c>
      <c r="H897" t="s">
        <v>74</v>
      </c>
      <c r="I897" t="s">
        <v>16064</v>
      </c>
      <c r="J897" t="s">
        <v>16037</v>
      </c>
      <c r="K897" t="s">
        <v>16038</v>
      </c>
      <c r="L897" t="s">
        <v>74</v>
      </c>
      <c r="M897" t="s">
        <v>78</v>
      </c>
      <c r="N897" t="s">
        <v>8859</v>
      </c>
      <c r="O897" t="s">
        <v>74</v>
      </c>
      <c r="P897" t="s">
        <v>74</v>
      </c>
      <c r="Q897" t="s">
        <v>74</v>
      </c>
      <c r="R897" t="s">
        <v>74</v>
      </c>
      <c r="S897" t="s">
        <v>74</v>
      </c>
      <c r="T897" t="s">
        <v>16065</v>
      </c>
      <c r="U897" t="s">
        <v>16066</v>
      </c>
      <c r="V897" t="s">
        <v>16067</v>
      </c>
      <c r="W897" t="s">
        <v>16042</v>
      </c>
      <c r="X897" t="s">
        <v>14460</v>
      </c>
      <c r="Y897" t="s">
        <v>16043</v>
      </c>
      <c r="Z897" t="s">
        <v>16044</v>
      </c>
      <c r="AA897" t="s">
        <v>74</v>
      </c>
      <c r="AB897" t="s">
        <v>74</v>
      </c>
      <c r="AC897" t="s">
        <v>74</v>
      </c>
      <c r="AD897" t="s">
        <v>74</v>
      </c>
      <c r="AE897" t="s">
        <v>74</v>
      </c>
      <c r="AF897" t="s">
        <v>74</v>
      </c>
      <c r="AG897">
        <v>93</v>
      </c>
      <c r="AH897">
        <v>1</v>
      </c>
      <c r="AI897">
        <v>3</v>
      </c>
      <c r="AJ897">
        <v>1</v>
      </c>
      <c r="AK897">
        <v>4</v>
      </c>
      <c r="AL897" t="s">
        <v>813</v>
      </c>
      <c r="AM897" t="s">
        <v>814</v>
      </c>
      <c r="AN897" t="s">
        <v>10693</v>
      </c>
      <c r="AO897" t="s">
        <v>16045</v>
      </c>
      <c r="AP897" t="s">
        <v>74</v>
      </c>
      <c r="AQ897" t="s">
        <v>16046</v>
      </c>
      <c r="AR897" t="s">
        <v>16047</v>
      </c>
      <c r="AS897" t="s">
        <v>74</v>
      </c>
      <c r="AT897" t="s">
        <v>74</v>
      </c>
      <c r="AU897">
        <v>2010</v>
      </c>
      <c r="AV897">
        <v>41</v>
      </c>
      <c r="AW897" t="s">
        <v>74</v>
      </c>
      <c r="AX897" t="s">
        <v>74</v>
      </c>
      <c r="AY897" t="s">
        <v>74</v>
      </c>
      <c r="AZ897" t="s">
        <v>74</v>
      </c>
      <c r="BA897" t="s">
        <v>74</v>
      </c>
      <c r="BB897">
        <v>295</v>
      </c>
      <c r="BC897">
        <v>363</v>
      </c>
      <c r="BD897" t="s">
        <v>74</v>
      </c>
      <c r="BE897" t="s">
        <v>16068</v>
      </c>
      <c r="BF897" t="str">
        <f>HYPERLINK("http://dx.doi.org/10.1007/978-0-387-68300-3_7","http://dx.doi.org/10.1007/978-0-387-68300-3_7")</f>
        <v>http://dx.doi.org/10.1007/978-0-387-68300-3_7</v>
      </c>
      <c r="BG897" t="s">
        <v>16049</v>
      </c>
      <c r="BH897" t="s">
        <v>74</v>
      </c>
      <c r="BI897">
        <v>69</v>
      </c>
      <c r="BJ897" t="s">
        <v>258</v>
      </c>
      <c r="BK897" t="s">
        <v>8579</v>
      </c>
      <c r="BL897" t="s">
        <v>258</v>
      </c>
      <c r="BM897" t="s">
        <v>16050</v>
      </c>
      <c r="BN897" t="s">
        <v>74</v>
      </c>
      <c r="BO897" t="s">
        <v>74</v>
      </c>
      <c r="BP897" t="s">
        <v>74</v>
      </c>
      <c r="BQ897" t="s">
        <v>74</v>
      </c>
      <c r="BR897" t="s">
        <v>105</v>
      </c>
      <c r="BS897" t="s">
        <v>16069</v>
      </c>
      <c r="BT897" t="str">
        <f>HYPERLINK("https%3A%2F%2Fwww.webofscience.com%2Fwos%2Fwoscc%2Ffull-record%2FWOS:000276867200007","View Full Record in Web of Science")</f>
        <v>View Full Record in Web of Science</v>
      </c>
    </row>
    <row r="898" spans="1:72" x14ac:dyDescent="0.15">
      <c r="A898" t="s">
        <v>8697</v>
      </c>
      <c r="B898" t="s">
        <v>16034</v>
      </c>
      <c r="C898" t="s">
        <v>16034</v>
      </c>
      <c r="D898" t="s">
        <v>74</v>
      </c>
      <c r="E898" t="s">
        <v>74</v>
      </c>
      <c r="F898" t="s">
        <v>16035</v>
      </c>
      <c r="G898" t="s">
        <v>16034</v>
      </c>
      <c r="H898" t="s">
        <v>74</v>
      </c>
      <c r="I898" t="s">
        <v>16070</v>
      </c>
      <c r="J898" t="s">
        <v>16037</v>
      </c>
      <c r="K898" t="s">
        <v>16038</v>
      </c>
      <c r="L898" t="s">
        <v>74</v>
      </c>
      <c r="M898" t="s">
        <v>78</v>
      </c>
      <c r="N898" t="s">
        <v>8859</v>
      </c>
      <c r="O898" t="s">
        <v>74</v>
      </c>
      <c r="P898" t="s">
        <v>74</v>
      </c>
      <c r="Q898" t="s">
        <v>74</v>
      </c>
      <c r="R898" t="s">
        <v>74</v>
      </c>
      <c r="S898" t="s">
        <v>74</v>
      </c>
      <c r="T898" t="s">
        <v>16071</v>
      </c>
      <c r="U898" t="s">
        <v>16072</v>
      </c>
      <c r="V898" t="s">
        <v>16073</v>
      </c>
      <c r="W898" t="s">
        <v>16042</v>
      </c>
      <c r="X898" t="s">
        <v>14460</v>
      </c>
      <c r="Y898" t="s">
        <v>16043</v>
      </c>
      <c r="Z898" t="s">
        <v>16044</v>
      </c>
      <c r="AA898" t="s">
        <v>74</v>
      </c>
      <c r="AB898" t="s">
        <v>74</v>
      </c>
      <c r="AC898" t="s">
        <v>74</v>
      </c>
      <c r="AD898" t="s">
        <v>74</v>
      </c>
      <c r="AE898" t="s">
        <v>74</v>
      </c>
      <c r="AF898" t="s">
        <v>74</v>
      </c>
      <c r="AG898">
        <v>76</v>
      </c>
      <c r="AH898">
        <v>0</v>
      </c>
      <c r="AI898">
        <v>1</v>
      </c>
      <c r="AJ898">
        <v>0</v>
      </c>
      <c r="AK898">
        <v>4</v>
      </c>
      <c r="AL898" t="s">
        <v>813</v>
      </c>
      <c r="AM898" t="s">
        <v>814</v>
      </c>
      <c r="AN898" t="s">
        <v>10693</v>
      </c>
      <c r="AO898" t="s">
        <v>16045</v>
      </c>
      <c r="AP898" t="s">
        <v>74</v>
      </c>
      <c r="AQ898" t="s">
        <v>16046</v>
      </c>
      <c r="AR898" t="s">
        <v>16047</v>
      </c>
      <c r="AS898" t="s">
        <v>74</v>
      </c>
      <c r="AT898" t="s">
        <v>74</v>
      </c>
      <c r="AU898">
        <v>2010</v>
      </c>
      <c r="AV898">
        <v>41</v>
      </c>
      <c r="AW898" t="s">
        <v>74</v>
      </c>
      <c r="AX898" t="s">
        <v>74</v>
      </c>
      <c r="AY898" t="s">
        <v>74</v>
      </c>
      <c r="AZ898" t="s">
        <v>74</v>
      </c>
      <c r="BA898" t="s">
        <v>74</v>
      </c>
      <c r="BB898">
        <v>365</v>
      </c>
      <c r="BC898">
        <v>402</v>
      </c>
      <c r="BD898" t="s">
        <v>74</v>
      </c>
      <c r="BE898" t="s">
        <v>16074</v>
      </c>
      <c r="BF898" t="str">
        <f>HYPERLINK("http://dx.doi.org/10.1007/978-0-387-68300-3_8","http://dx.doi.org/10.1007/978-0-387-68300-3_8")</f>
        <v>http://dx.doi.org/10.1007/978-0-387-68300-3_8</v>
      </c>
      <c r="BG898" t="s">
        <v>16049</v>
      </c>
      <c r="BH898" t="s">
        <v>74</v>
      </c>
      <c r="BI898">
        <v>38</v>
      </c>
      <c r="BJ898" t="s">
        <v>258</v>
      </c>
      <c r="BK898" t="s">
        <v>8579</v>
      </c>
      <c r="BL898" t="s">
        <v>258</v>
      </c>
      <c r="BM898" t="s">
        <v>16050</v>
      </c>
      <c r="BN898" t="s">
        <v>74</v>
      </c>
      <c r="BO898" t="s">
        <v>74</v>
      </c>
      <c r="BP898" t="s">
        <v>74</v>
      </c>
      <c r="BQ898" t="s">
        <v>74</v>
      </c>
      <c r="BR898" t="s">
        <v>105</v>
      </c>
      <c r="BS898" t="s">
        <v>16075</v>
      </c>
      <c r="BT898" t="str">
        <f>HYPERLINK("https%3A%2F%2Fwww.webofscience.com%2Fwos%2Fwoscc%2Ffull-record%2FWOS:000276867200008","View Full Record in Web of Science")</f>
        <v>View Full Record in Web of Science</v>
      </c>
    </row>
    <row r="899" spans="1:72" x14ac:dyDescent="0.15">
      <c r="A899" t="s">
        <v>72</v>
      </c>
      <c r="B899" t="s">
        <v>16076</v>
      </c>
      <c r="C899" t="s">
        <v>74</v>
      </c>
      <c r="D899" t="s">
        <v>74</v>
      </c>
      <c r="E899" t="s">
        <v>74</v>
      </c>
      <c r="F899" t="s">
        <v>16077</v>
      </c>
      <c r="G899" t="s">
        <v>74</v>
      </c>
      <c r="H899" t="s">
        <v>74</v>
      </c>
      <c r="I899" t="s">
        <v>16078</v>
      </c>
      <c r="J899" t="s">
        <v>2770</v>
      </c>
      <c r="K899" t="s">
        <v>74</v>
      </c>
      <c r="L899" t="s">
        <v>74</v>
      </c>
      <c r="M899" t="s">
        <v>78</v>
      </c>
      <c r="N899" t="s">
        <v>536</v>
      </c>
      <c r="O899" t="s">
        <v>74</v>
      </c>
      <c r="P899" t="s">
        <v>74</v>
      </c>
      <c r="Q899" t="s">
        <v>74</v>
      </c>
      <c r="R899" t="s">
        <v>74</v>
      </c>
      <c r="S899" t="s">
        <v>74</v>
      </c>
      <c r="T899" t="s">
        <v>74</v>
      </c>
      <c r="U899" t="s">
        <v>74</v>
      </c>
      <c r="V899" t="s">
        <v>74</v>
      </c>
      <c r="W899" t="s">
        <v>16079</v>
      </c>
      <c r="X899" t="s">
        <v>16080</v>
      </c>
      <c r="Y899" t="s">
        <v>16081</v>
      </c>
      <c r="Z899" t="s">
        <v>16082</v>
      </c>
      <c r="AA899" t="s">
        <v>74</v>
      </c>
      <c r="AB899" t="s">
        <v>74</v>
      </c>
      <c r="AC899" t="s">
        <v>74</v>
      </c>
      <c r="AD899" t="s">
        <v>74</v>
      </c>
      <c r="AE899" t="s">
        <v>74</v>
      </c>
      <c r="AF899" t="s">
        <v>74</v>
      </c>
      <c r="AG899">
        <v>6</v>
      </c>
      <c r="AH899">
        <v>0</v>
      </c>
      <c r="AI899">
        <v>0</v>
      </c>
      <c r="AJ899">
        <v>0</v>
      </c>
      <c r="AK899">
        <v>1</v>
      </c>
      <c r="AL899" t="s">
        <v>587</v>
      </c>
      <c r="AM899" t="s">
        <v>225</v>
      </c>
      <c r="AN899" t="s">
        <v>588</v>
      </c>
      <c r="AO899" t="s">
        <v>2775</v>
      </c>
      <c r="AP899" t="s">
        <v>74</v>
      </c>
      <c r="AQ899" t="s">
        <v>74</v>
      </c>
      <c r="AR899" t="s">
        <v>2777</v>
      </c>
      <c r="AS899" t="s">
        <v>2778</v>
      </c>
      <c r="AT899" t="s">
        <v>8958</v>
      </c>
      <c r="AU899">
        <v>2010</v>
      </c>
      <c r="AV899">
        <v>46</v>
      </c>
      <c r="AW899">
        <v>236</v>
      </c>
      <c r="AX899" t="s">
        <v>74</v>
      </c>
      <c r="AY899" t="s">
        <v>74</v>
      </c>
      <c r="AZ899" t="s">
        <v>74</v>
      </c>
      <c r="BA899" t="s">
        <v>74</v>
      </c>
      <c r="BB899">
        <v>1</v>
      </c>
      <c r="BC899">
        <v>2</v>
      </c>
      <c r="BD899" t="s">
        <v>74</v>
      </c>
      <c r="BE899" t="s">
        <v>16083</v>
      </c>
      <c r="BF899" t="str">
        <f>HYPERLINK("http://dx.doi.org/10.1017/S0032247409990167","http://dx.doi.org/10.1017/S0032247409990167")</f>
        <v>http://dx.doi.org/10.1017/S0032247409990167</v>
      </c>
      <c r="BG899" t="s">
        <v>74</v>
      </c>
      <c r="BH899" t="s">
        <v>74</v>
      </c>
      <c r="BI899">
        <v>2</v>
      </c>
      <c r="BJ899" t="s">
        <v>2780</v>
      </c>
      <c r="BK899" t="s">
        <v>102</v>
      </c>
      <c r="BL899" t="s">
        <v>1348</v>
      </c>
      <c r="BM899" t="s">
        <v>16084</v>
      </c>
      <c r="BN899" t="s">
        <v>74</v>
      </c>
      <c r="BO899" t="s">
        <v>74</v>
      </c>
      <c r="BP899" t="s">
        <v>74</v>
      </c>
      <c r="BQ899" t="s">
        <v>74</v>
      </c>
      <c r="BR899" t="s">
        <v>105</v>
      </c>
      <c r="BS899" t="s">
        <v>16085</v>
      </c>
      <c r="BT899" t="str">
        <f>HYPERLINK("https%3A%2F%2Fwww.webofscience.com%2Fwos%2Fwoscc%2Ffull-record%2FWOS:000272979700001","View Full Record in Web of Science")</f>
        <v>View Full Record in Web of Science</v>
      </c>
    </row>
    <row r="900" spans="1:72" x14ac:dyDescent="0.15">
      <c r="A900" t="s">
        <v>72</v>
      </c>
      <c r="B900" t="s">
        <v>16086</v>
      </c>
      <c r="C900" t="s">
        <v>74</v>
      </c>
      <c r="D900" t="s">
        <v>74</v>
      </c>
      <c r="E900" t="s">
        <v>74</v>
      </c>
      <c r="F900" t="s">
        <v>16087</v>
      </c>
      <c r="G900" t="s">
        <v>74</v>
      </c>
      <c r="H900" t="s">
        <v>74</v>
      </c>
      <c r="I900" t="s">
        <v>16088</v>
      </c>
      <c r="J900" t="s">
        <v>2770</v>
      </c>
      <c r="K900" t="s">
        <v>74</v>
      </c>
      <c r="L900" t="s">
        <v>74</v>
      </c>
      <c r="M900" t="s">
        <v>78</v>
      </c>
      <c r="N900" t="s">
        <v>536</v>
      </c>
      <c r="O900" t="s">
        <v>74</v>
      </c>
      <c r="P900" t="s">
        <v>74</v>
      </c>
      <c r="Q900" t="s">
        <v>74</v>
      </c>
      <c r="R900" t="s">
        <v>74</v>
      </c>
      <c r="S900" t="s">
        <v>74</v>
      </c>
      <c r="T900" t="s">
        <v>74</v>
      </c>
      <c r="U900" t="s">
        <v>74</v>
      </c>
      <c r="V900" t="s">
        <v>74</v>
      </c>
      <c r="W900" t="s">
        <v>16089</v>
      </c>
      <c r="X900" t="s">
        <v>74</v>
      </c>
      <c r="Y900" t="s">
        <v>16090</v>
      </c>
      <c r="Z900" t="s">
        <v>16091</v>
      </c>
      <c r="AA900" t="s">
        <v>74</v>
      </c>
      <c r="AB900" t="s">
        <v>74</v>
      </c>
      <c r="AC900" t="s">
        <v>74</v>
      </c>
      <c r="AD900" t="s">
        <v>74</v>
      </c>
      <c r="AE900" t="s">
        <v>74</v>
      </c>
      <c r="AF900" t="s">
        <v>74</v>
      </c>
      <c r="AG900">
        <v>10</v>
      </c>
      <c r="AH900">
        <v>2</v>
      </c>
      <c r="AI900">
        <v>4</v>
      </c>
      <c r="AJ900">
        <v>0</v>
      </c>
      <c r="AK900">
        <v>2</v>
      </c>
      <c r="AL900" t="s">
        <v>587</v>
      </c>
      <c r="AM900" t="s">
        <v>225</v>
      </c>
      <c r="AN900" t="s">
        <v>588</v>
      </c>
      <c r="AO900" t="s">
        <v>2775</v>
      </c>
      <c r="AP900" t="s">
        <v>74</v>
      </c>
      <c r="AQ900" t="s">
        <v>74</v>
      </c>
      <c r="AR900" t="s">
        <v>2777</v>
      </c>
      <c r="AS900" t="s">
        <v>2778</v>
      </c>
      <c r="AT900" t="s">
        <v>8958</v>
      </c>
      <c r="AU900">
        <v>2010</v>
      </c>
      <c r="AV900">
        <v>46</v>
      </c>
      <c r="AW900">
        <v>236</v>
      </c>
      <c r="AX900" t="s">
        <v>74</v>
      </c>
      <c r="AY900" t="s">
        <v>74</v>
      </c>
      <c r="AZ900" t="s">
        <v>74</v>
      </c>
      <c r="BA900" t="s">
        <v>74</v>
      </c>
      <c r="BB900">
        <v>2</v>
      </c>
      <c r="BC900">
        <v>4</v>
      </c>
      <c r="BD900" t="s">
        <v>74</v>
      </c>
      <c r="BE900" t="s">
        <v>16092</v>
      </c>
      <c r="BF900" t="str">
        <f>HYPERLINK("http://dx.doi.org/10.1017/S0032247409990209","http://dx.doi.org/10.1017/S0032247409990209")</f>
        <v>http://dx.doi.org/10.1017/S0032247409990209</v>
      </c>
      <c r="BG900" t="s">
        <v>74</v>
      </c>
      <c r="BH900" t="s">
        <v>74</v>
      </c>
      <c r="BI900">
        <v>3</v>
      </c>
      <c r="BJ900" t="s">
        <v>2780</v>
      </c>
      <c r="BK900" t="s">
        <v>102</v>
      </c>
      <c r="BL900" t="s">
        <v>1348</v>
      </c>
      <c r="BM900" t="s">
        <v>16084</v>
      </c>
      <c r="BN900" t="s">
        <v>74</v>
      </c>
      <c r="BO900" t="s">
        <v>74</v>
      </c>
      <c r="BP900" t="s">
        <v>74</v>
      </c>
      <c r="BQ900" t="s">
        <v>74</v>
      </c>
      <c r="BR900" t="s">
        <v>105</v>
      </c>
      <c r="BS900" t="s">
        <v>16093</v>
      </c>
      <c r="BT900" t="str">
        <f>HYPERLINK("https%3A%2F%2Fwww.webofscience.com%2Fwos%2Fwoscc%2Ffull-record%2FWOS:000272979700002","View Full Record in Web of Science")</f>
        <v>View Full Record in Web of Science</v>
      </c>
    </row>
    <row r="901" spans="1:72" x14ac:dyDescent="0.15">
      <c r="A901" t="s">
        <v>72</v>
      </c>
      <c r="B901" t="s">
        <v>16094</v>
      </c>
      <c r="C901" t="s">
        <v>74</v>
      </c>
      <c r="D901" t="s">
        <v>74</v>
      </c>
      <c r="E901" t="s">
        <v>74</v>
      </c>
      <c r="F901" t="s">
        <v>16095</v>
      </c>
      <c r="G901" t="s">
        <v>74</v>
      </c>
      <c r="H901" t="s">
        <v>74</v>
      </c>
      <c r="I901" t="s">
        <v>16096</v>
      </c>
      <c r="J901" t="s">
        <v>2770</v>
      </c>
      <c r="K901" t="s">
        <v>74</v>
      </c>
      <c r="L901" t="s">
        <v>74</v>
      </c>
      <c r="M901" t="s">
        <v>78</v>
      </c>
      <c r="N901" t="s">
        <v>536</v>
      </c>
      <c r="O901" t="s">
        <v>74</v>
      </c>
      <c r="P901" t="s">
        <v>74</v>
      </c>
      <c r="Q901" t="s">
        <v>74</v>
      </c>
      <c r="R901" t="s">
        <v>74</v>
      </c>
      <c r="S901" t="s">
        <v>74</v>
      </c>
      <c r="T901" t="s">
        <v>74</v>
      </c>
      <c r="U901" t="s">
        <v>74</v>
      </c>
      <c r="V901" t="s">
        <v>74</v>
      </c>
      <c r="W901" t="s">
        <v>16097</v>
      </c>
      <c r="X901" t="s">
        <v>16098</v>
      </c>
      <c r="Y901" t="s">
        <v>16099</v>
      </c>
      <c r="Z901" t="s">
        <v>16100</v>
      </c>
      <c r="AA901" t="s">
        <v>74</v>
      </c>
      <c r="AB901" t="s">
        <v>74</v>
      </c>
      <c r="AC901" t="s">
        <v>74</v>
      </c>
      <c r="AD901" t="s">
        <v>74</v>
      </c>
      <c r="AE901" t="s">
        <v>74</v>
      </c>
      <c r="AF901" t="s">
        <v>74</v>
      </c>
      <c r="AG901">
        <v>15</v>
      </c>
      <c r="AH901">
        <v>5</v>
      </c>
      <c r="AI901">
        <v>5</v>
      </c>
      <c r="AJ901">
        <v>0</v>
      </c>
      <c r="AK901">
        <v>3</v>
      </c>
      <c r="AL901" t="s">
        <v>587</v>
      </c>
      <c r="AM901" t="s">
        <v>225</v>
      </c>
      <c r="AN901" t="s">
        <v>588</v>
      </c>
      <c r="AO901" t="s">
        <v>2775</v>
      </c>
      <c r="AP901" t="s">
        <v>74</v>
      </c>
      <c r="AQ901" t="s">
        <v>74</v>
      </c>
      <c r="AR901" t="s">
        <v>2777</v>
      </c>
      <c r="AS901" t="s">
        <v>2778</v>
      </c>
      <c r="AT901" t="s">
        <v>8958</v>
      </c>
      <c r="AU901">
        <v>2010</v>
      </c>
      <c r="AV901">
        <v>46</v>
      </c>
      <c r="AW901">
        <v>236</v>
      </c>
      <c r="AX901" t="s">
        <v>74</v>
      </c>
      <c r="AY901" t="s">
        <v>74</v>
      </c>
      <c r="AZ901" t="s">
        <v>74</v>
      </c>
      <c r="BA901" t="s">
        <v>74</v>
      </c>
      <c r="BB901">
        <v>4</v>
      </c>
      <c r="BC901">
        <v>7</v>
      </c>
      <c r="BD901" t="s">
        <v>74</v>
      </c>
      <c r="BE901" t="s">
        <v>16101</v>
      </c>
      <c r="BF901" t="str">
        <f>HYPERLINK("http://dx.doi.org/10.1017/S0032247409990210","http://dx.doi.org/10.1017/S0032247409990210")</f>
        <v>http://dx.doi.org/10.1017/S0032247409990210</v>
      </c>
      <c r="BG901" t="s">
        <v>74</v>
      </c>
      <c r="BH901" t="s">
        <v>74</v>
      </c>
      <c r="BI901">
        <v>4</v>
      </c>
      <c r="BJ901" t="s">
        <v>2780</v>
      </c>
      <c r="BK901" t="s">
        <v>102</v>
      </c>
      <c r="BL901" t="s">
        <v>1348</v>
      </c>
      <c r="BM901" t="s">
        <v>16084</v>
      </c>
      <c r="BN901" t="s">
        <v>74</v>
      </c>
      <c r="BO901" t="s">
        <v>555</v>
      </c>
      <c r="BP901" t="s">
        <v>74</v>
      </c>
      <c r="BQ901" t="s">
        <v>74</v>
      </c>
      <c r="BR901" t="s">
        <v>105</v>
      </c>
      <c r="BS901" t="s">
        <v>16102</v>
      </c>
      <c r="BT901" t="str">
        <f>HYPERLINK("https%3A%2F%2Fwww.webofscience.com%2Fwos%2Fwoscc%2Ffull-record%2FWOS:000272979700003","View Full Record in Web of Science")</f>
        <v>View Full Record in Web of Science</v>
      </c>
    </row>
    <row r="902" spans="1:72" x14ac:dyDescent="0.15">
      <c r="A902" t="s">
        <v>72</v>
      </c>
      <c r="B902" t="s">
        <v>16103</v>
      </c>
      <c r="C902" t="s">
        <v>74</v>
      </c>
      <c r="D902" t="s">
        <v>74</v>
      </c>
      <c r="E902" t="s">
        <v>74</v>
      </c>
      <c r="F902" t="s">
        <v>16104</v>
      </c>
      <c r="G902" t="s">
        <v>74</v>
      </c>
      <c r="H902" t="s">
        <v>74</v>
      </c>
      <c r="I902" t="s">
        <v>16105</v>
      </c>
      <c r="J902" t="s">
        <v>2770</v>
      </c>
      <c r="K902" t="s">
        <v>74</v>
      </c>
      <c r="L902" t="s">
        <v>74</v>
      </c>
      <c r="M902" t="s">
        <v>78</v>
      </c>
      <c r="N902" t="s">
        <v>536</v>
      </c>
      <c r="O902" t="s">
        <v>74</v>
      </c>
      <c r="P902" t="s">
        <v>74</v>
      </c>
      <c r="Q902" t="s">
        <v>74</v>
      </c>
      <c r="R902" t="s">
        <v>74</v>
      </c>
      <c r="S902" t="s">
        <v>74</v>
      </c>
      <c r="T902" t="s">
        <v>74</v>
      </c>
      <c r="U902" t="s">
        <v>74</v>
      </c>
      <c r="V902" t="s">
        <v>74</v>
      </c>
      <c r="W902" t="s">
        <v>74</v>
      </c>
      <c r="X902" t="s">
        <v>74</v>
      </c>
      <c r="Y902" t="s">
        <v>16106</v>
      </c>
      <c r="Z902" t="s">
        <v>16107</v>
      </c>
      <c r="AA902" t="s">
        <v>74</v>
      </c>
      <c r="AB902" t="s">
        <v>74</v>
      </c>
      <c r="AC902" t="s">
        <v>74</v>
      </c>
      <c r="AD902" t="s">
        <v>74</v>
      </c>
      <c r="AE902" t="s">
        <v>74</v>
      </c>
      <c r="AF902" t="s">
        <v>74</v>
      </c>
      <c r="AG902">
        <v>0</v>
      </c>
      <c r="AH902">
        <v>11</v>
      </c>
      <c r="AI902">
        <v>13</v>
      </c>
      <c r="AJ902">
        <v>0</v>
      </c>
      <c r="AK902">
        <v>3</v>
      </c>
      <c r="AL902" t="s">
        <v>587</v>
      </c>
      <c r="AM902" t="s">
        <v>225</v>
      </c>
      <c r="AN902" t="s">
        <v>588</v>
      </c>
      <c r="AO902" t="s">
        <v>2775</v>
      </c>
      <c r="AP902" t="s">
        <v>74</v>
      </c>
      <c r="AQ902" t="s">
        <v>74</v>
      </c>
      <c r="AR902" t="s">
        <v>2777</v>
      </c>
      <c r="AS902" t="s">
        <v>2778</v>
      </c>
      <c r="AT902" t="s">
        <v>8958</v>
      </c>
      <c r="AU902">
        <v>2010</v>
      </c>
      <c r="AV902">
        <v>46</v>
      </c>
      <c r="AW902">
        <v>236</v>
      </c>
      <c r="AX902" t="s">
        <v>74</v>
      </c>
      <c r="AY902" t="s">
        <v>74</v>
      </c>
      <c r="AZ902" t="s">
        <v>74</v>
      </c>
      <c r="BA902" t="s">
        <v>74</v>
      </c>
      <c r="BB902">
        <v>9</v>
      </c>
      <c r="BC902">
        <v>11</v>
      </c>
      <c r="BD902" t="s">
        <v>74</v>
      </c>
      <c r="BE902" t="s">
        <v>16108</v>
      </c>
      <c r="BF902" t="str">
        <f>HYPERLINK("http://dx.doi.org/10.1017/S0032247409990234","http://dx.doi.org/10.1017/S0032247409990234")</f>
        <v>http://dx.doi.org/10.1017/S0032247409990234</v>
      </c>
      <c r="BG902" t="s">
        <v>74</v>
      </c>
      <c r="BH902" t="s">
        <v>74</v>
      </c>
      <c r="BI902">
        <v>3</v>
      </c>
      <c r="BJ902" t="s">
        <v>2780</v>
      </c>
      <c r="BK902" t="s">
        <v>102</v>
      </c>
      <c r="BL902" t="s">
        <v>1348</v>
      </c>
      <c r="BM902" t="s">
        <v>16084</v>
      </c>
      <c r="BN902" t="s">
        <v>74</v>
      </c>
      <c r="BO902" t="s">
        <v>74</v>
      </c>
      <c r="BP902" t="s">
        <v>74</v>
      </c>
      <c r="BQ902" t="s">
        <v>74</v>
      </c>
      <c r="BR902" t="s">
        <v>105</v>
      </c>
      <c r="BS902" t="s">
        <v>16109</v>
      </c>
      <c r="BT902" t="str">
        <f>HYPERLINK("https%3A%2F%2Fwww.webofscience.com%2Fwos%2Fwoscc%2Ffull-record%2FWOS:000272979700005","View Full Record in Web of Science")</f>
        <v>View Full Record in Web of Science</v>
      </c>
    </row>
    <row r="903" spans="1:72" x14ac:dyDescent="0.15">
      <c r="A903" t="s">
        <v>72</v>
      </c>
      <c r="B903" t="s">
        <v>16110</v>
      </c>
      <c r="C903" t="s">
        <v>74</v>
      </c>
      <c r="D903" t="s">
        <v>74</v>
      </c>
      <c r="E903" t="s">
        <v>74</v>
      </c>
      <c r="F903" t="s">
        <v>16111</v>
      </c>
      <c r="G903" t="s">
        <v>74</v>
      </c>
      <c r="H903" t="s">
        <v>74</v>
      </c>
      <c r="I903" t="s">
        <v>16112</v>
      </c>
      <c r="J903" t="s">
        <v>2770</v>
      </c>
      <c r="K903" t="s">
        <v>74</v>
      </c>
      <c r="L903" t="s">
        <v>74</v>
      </c>
      <c r="M903" t="s">
        <v>78</v>
      </c>
      <c r="N903" t="s">
        <v>536</v>
      </c>
      <c r="O903" t="s">
        <v>74</v>
      </c>
      <c r="P903" t="s">
        <v>74</v>
      </c>
      <c r="Q903" t="s">
        <v>74</v>
      </c>
      <c r="R903" t="s">
        <v>74</v>
      </c>
      <c r="S903" t="s">
        <v>74</v>
      </c>
      <c r="T903" t="s">
        <v>74</v>
      </c>
      <c r="U903" t="s">
        <v>74</v>
      </c>
      <c r="V903" t="s">
        <v>74</v>
      </c>
      <c r="W903" t="s">
        <v>16113</v>
      </c>
      <c r="X903" t="s">
        <v>2060</v>
      </c>
      <c r="Y903" t="s">
        <v>16114</v>
      </c>
      <c r="Z903" t="s">
        <v>16115</v>
      </c>
      <c r="AA903" t="s">
        <v>16116</v>
      </c>
      <c r="AB903" t="s">
        <v>16117</v>
      </c>
      <c r="AC903" t="s">
        <v>74</v>
      </c>
      <c r="AD903" t="s">
        <v>74</v>
      </c>
      <c r="AE903" t="s">
        <v>74</v>
      </c>
      <c r="AF903" t="s">
        <v>74</v>
      </c>
      <c r="AG903">
        <v>7</v>
      </c>
      <c r="AH903">
        <v>3</v>
      </c>
      <c r="AI903">
        <v>3</v>
      </c>
      <c r="AJ903">
        <v>0</v>
      </c>
      <c r="AK903">
        <v>3</v>
      </c>
      <c r="AL903" t="s">
        <v>587</v>
      </c>
      <c r="AM903" t="s">
        <v>225</v>
      </c>
      <c r="AN903" t="s">
        <v>588</v>
      </c>
      <c r="AO903" t="s">
        <v>2775</v>
      </c>
      <c r="AP903" t="s">
        <v>74</v>
      </c>
      <c r="AQ903" t="s">
        <v>74</v>
      </c>
      <c r="AR903" t="s">
        <v>2777</v>
      </c>
      <c r="AS903" t="s">
        <v>2778</v>
      </c>
      <c r="AT903" t="s">
        <v>8958</v>
      </c>
      <c r="AU903">
        <v>2010</v>
      </c>
      <c r="AV903">
        <v>46</v>
      </c>
      <c r="AW903">
        <v>236</v>
      </c>
      <c r="AX903" t="s">
        <v>74</v>
      </c>
      <c r="AY903" t="s">
        <v>74</v>
      </c>
      <c r="AZ903" t="s">
        <v>74</v>
      </c>
      <c r="BA903" t="s">
        <v>74</v>
      </c>
      <c r="BB903">
        <v>11</v>
      </c>
      <c r="BC903">
        <v>14</v>
      </c>
      <c r="BD903" t="s">
        <v>74</v>
      </c>
      <c r="BE903" t="s">
        <v>16118</v>
      </c>
      <c r="BF903" t="str">
        <f>HYPERLINK("http://dx.doi.org/10.1017/S0032247409990246","http://dx.doi.org/10.1017/S0032247409990246")</f>
        <v>http://dx.doi.org/10.1017/S0032247409990246</v>
      </c>
      <c r="BG903" t="s">
        <v>74</v>
      </c>
      <c r="BH903" t="s">
        <v>74</v>
      </c>
      <c r="BI903">
        <v>4</v>
      </c>
      <c r="BJ903" t="s">
        <v>2780</v>
      </c>
      <c r="BK903" t="s">
        <v>102</v>
      </c>
      <c r="BL903" t="s">
        <v>1348</v>
      </c>
      <c r="BM903" t="s">
        <v>16084</v>
      </c>
      <c r="BN903" t="s">
        <v>74</v>
      </c>
      <c r="BO903" t="s">
        <v>74</v>
      </c>
      <c r="BP903" t="s">
        <v>74</v>
      </c>
      <c r="BQ903" t="s">
        <v>74</v>
      </c>
      <c r="BR903" t="s">
        <v>105</v>
      </c>
      <c r="BS903" t="s">
        <v>16119</v>
      </c>
      <c r="BT903" t="str">
        <f>HYPERLINK("https%3A%2F%2Fwww.webofscience.com%2Fwos%2Fwoscc%2Ffull-record%2FWOS:000272979700006","View Full Record in Web of Science")</f>
        <v>View Full Record in Web of Science</v>
      </c>
    </row>
    <row r="904" spans="1:72" x14ac:dyDescent="0.15">
      <c r="A904" t="s">
        <v>72</v>
      </c>
      <c r="B904" t="s">
        <v>16120</v>
      </c>
      <c r="C904" t="s">
        <v>74</v>
      </c>
      <c r="D904" t="s">
        <v>74</v>
      </c>
      <c r="E904" t="s">
        <v>74</v>
      </c>
      <c r="F904" t="s">
        <v>16121</v>
      </c>
      <c r="G904" t="s">
        <v>74</v>
      </c>
      <c r="H904" t="s">
        <v>74</v>
      </c>
      <c r="I904" t="s">
        <v>16122</v>
      </c>
      <c r="J904" t="s">
        <v>2770</v>
      </c>
      <c r="K904" t="s">
        <v>74</v>
      </c>
      <c r="L904" t="s">
        <v>74</v>
      </c>
      <c r="M904" t="s">
        <v>78</v>
      </c>
      <c r="N904" t="s">
        <v>536</v>
      </c>
      <c r="O904" t="s">
        <v>74</v>
      </c>
      <c r="P904" t="s">
        <v>74</v>
      </c>
      <c r="Q904" t="s">
        <v>74</v>
      </c>
      <c r="R904" t="s">
        <v>74</v>
      </c>
      <c r="S904" t="s">
        <v>74</v>
      </c>
      <c r="T904" t="s">
        <v>74</v>
      </c>
      <c r="U904" t="s">
        <v>74</v>
      </c>
      <c r="V904" t="s">
        <v>74</v>
      </c>
      <c r="W904" t="s">
        <v>16123</v>
      </c>
      <c r="X904" t="s">
        <v>16124</v>
      </c>
      <c r="Y904" t="s">
        <v>16125</v>
      </c>
      <c r="Z904" t="s">
        <v>74</v>
      </c>
      <c r="AA904" t="s">
        <v>74</v>
      </c>
      <c r="AB904" t="s">
        <v>74</v>
      </c>
      <c r="AC904" t="s">
        <v>74</v>
      </c>
      <c r="AD904" t="s">
        <v>74</v>
      </c>
      <c r="AE904" t="s">
        <v>74</v>
      </c>
      <c r="AF904" t="s">
        <v>74</v>
      </c>
      <c r="AG904">
        <v>0</v>
      </c>
      <c r="AH904">
        <v>14</v>
      </c>
      <c r="AI904">
        <v>15</v>
      </c>
      <c r="AJ904">
        <v>0</v>
      </c>
      <c r="AK904">
        <v>5</v>
      </c>
      <c r="AL904" t="s">
        <v>587</v>
      </c>
      <c r="AM904" t="s">
        <v>225</v>
      </c>
      <c r="AN904" t="s">
        <v>588</v>
      </c>
      <c r="AO904" t="s">
        <v>2775</v>
      </c>
      <c r="AP904" t="s">
        <v>74</v>
      </c>
      <c r="AQ904" t="s">
        <v>74</v>
      </c>
      <c r="AR904" t="s">
        <v>2777</v>
      </c>
      <c r="AS904" t="s">
        <v>2778</v>
      </c>
      <c r="AT904" t="s">
        <v>8958</v>
      </c>
      <c r="AU904">
        <v>2010</v>
      </c>
      <c r="AV904">
        <v>46</v>
      </c>
      <c r="AW904">
        <v>236</v>
      </c>
      <c r="AX904" t="s">
        <v>74</v>
      </c>
      <c r="AY904" t="s">
        <v>74</v>
      </c>
      <c r="AZ904" t="s">
        <v>74</v>
      </c>
      <c r="BA904" t="s">
        <v>74</v>
      </c>
      <c r="BB904">
        <v>14</v>
      </c>
      <c r="BC904">
        <v>17</v>
      </c>
      <c r="BD904" t="s">
        <v>74</v>
      </c>
      <c r="BE904" t="s">
        <v>16126</v>
      </c>
      <c r="BF904" t="str">
        <f>HYPERLINK("http://dx.doi.org/10.1017/S0032247409990258","http://dx.doi.org/10.1017/S0032247409990258")</f>
        <v>http://dx.doi.org/10.1017/S0032247409990258</v>
      </c>
      <c r="BG904" t="s">
        <v>74</v>
      </c>
      <c r="BH904" t="s">
        <v>74</v>
      </c>
      <c r="BI904">
        <v>4</v>
      </c>
      <c r="BJ904" t="s">
        <v>2780</v>
      </c>
      <c r="BK904" t="s">
        <v>102</v>
      </c>
      <c r="BL904" t="s">
        <v>1348</v>
      </c>
      <c r="BM904" t="s">
        <v>16084</v>
      </c>
      <c r="BN904" t="s">
        <v>74</v>
      </c>
      <c r="BO904" t="s">
        <v>74</v>
      </c>
      <c r="BP904" t="s">
        <v>74</v>
      </c>
      <c r="BQ904" t="s">
        <v>74</v>
      </c>
      <c r="BR904" t="s">
        <v>105</v>
      </c>
      <c r="BS904" t="s">
        <v>16127</v>
      </c>
      <c r="BT904" t="str">
        <f>HYPERLINK("https%3A%2F%2Fwww.webofscience.com%2Fwos%2Fwoscc%2Ffull-record%2FWOS:000272979700007","View Full Record in Web of Science")</f>
        <v>View Full Record in Web of Science</v>
      </c>
    </row>
    <row r="905" spans="1:72" x14ac:dyDescent="0.15">
      <c r="A905" t="s">
        <v>72</v>
      </c>
      <c r="B905" t="s">
        <v>16128</v>
      </c>
      <c r="C905" t="s">
        <v>74</v>
      </c>
      <c r="D905" t="s">
        <v>74</v>
      </c>
      <c r="E905" t="s">
        <v>74</v>
      </c>
      <c r="F905" t="s">
        <v>16129</v>
      </c>
      <c r="G905" t="s">
        <v>74</v>
      </c>
      <c r="H905" t="s">
        <v>74</v>
      </c>
      <c r="I905" t="s">
        <v>16130</v>
      </c>
      <c r="J905" t="s">
        <v>2770</v>
      </c>
      <c r="K905" t="s">
        <v>74</v>
      </c>
      <c r="L905" t="s">
        <v>74</v>
      </c>
      <c r="M905" t="s">
        <v>78</v>
      </c>
      <c r="N905" t="s">
        <v>536</v>
      </c>
      <c r="O905" t="s">
        <v>74</v>
      </c>
      <c r="P905" t="s">
        <v>74</v>
      </c>
      <c r="Q905" t="s">
        <v>74</v>
      </c>
      <c r="R905" t="s">
        <v>74</v>
      </c>
      <c r="S905" t="s">
        <v>74</v>
      </c>
      <c r="T905" t="s">
        <v>74</v>
      </c>
      <c r="U905" t="s">
        <v>74</v>
      </c>
      <c r="V905" t="s">
        <v>74</v>
      </c>
      <c r="W905" t="s">
        <v>16131</v>
      </c>
      <c r="X905" t="s">
        <v>15402</v>
      </c>
      <c r="Y905" t="s">
        <v>16132</v>
      </c>
      <c r="Z905" t="s">
        <v>16133</v>
      </c>
      <c r="AA905" t="s">
        <v>16134</v>
      </c>
      <c r="AB905" t="s">
        <v>74</v>
      </c>
      <c r="AC905" t="s">
        <v>74</v>
      </c>
      <c r="AD905" t="s">
        <v>74</v>
      </c>
      <c r="AE905" t="s">
        <v>74</v>
      </c>
      <c r="AF905" t="s">
        <v>74</v>
      </c>
      <c r="AG905">
        <v>0</v>
      </c>
      <c r="AH905">
        <v>13</v>
      </c>
      <c r="AI905">
        <v>13</v>
      </c>
      <c r="AJ905">
        <v>0</v>
      </c>
      <c r="AK905">
        <v>4</v>
      </c>
      <c r="AL905" t="s">
        <v>587</v>
      </c>
      <c r="AM905" t="s">
        <v>225</v>
      </c>
      <c r="AN905" t="s">
        <v>588</v>
      </c>
      <c r="AO905" t="s">
        <v>2775</v>
      </c>
      <c r="AP905" t="s">
        <v>74</v>
      </c>
      <c r="AQ905" t="s">
        <v>74</v>
      </c>
      <c r="AR905" t="s">
        <v>2777</v>
      </c>
      <c r="AS905" t="s">
        <v>2778</v>
      </c>
      <c r="AT905" t="s">
        <v>8958</v>
      </c>
      <c r="AU905">
        <v>2010</v>
      </c>
      <c r="AV905">
        <v>46</v>
      </c>
      <c r="AW905">
        <v>236</v>
      </c>
      <c r="AX905" t="s">
        <v>74</v>
      </c>
      <c r="AY905" t="s">
        <v>74</v>
      </c>
      <c r="AZ905" t="s">
        <v>74</v>
      </c>
      <c r="BA905" t="s">
        <v>74</v>
      </c>
      <c r="BB905">
        <v>17</v>
      </c>
      <c r="BC905">
        <v>20</v>
      </c>
      <c r="BD905" t="s">
        <v>74</v>
      </c>
      <c r="BE905" t="s">
        <v>16135</v>
      </c>
      <c r="BF905" t="str">
        <f>HYPERLINK("http://dx.doi.org/10.1017/S003224740999026X","http://dx.doi.org/10.1017/S003224740999026X")</f>
        <v>http://dx.doi.org/10.1017/S003224740999026X</v>
      </c>
      <c r="BG905" t="s">
        <v>74</v>
      </c>
      <c r="BH905" t="s">
        <v>74</v>
      </c>
      <c r="BI905">
        <v>4</v>
      </c>
      <c r="BJ905" t="s">
        <v>2780</v>
      </c>
      <c r="BK905" t="s">
        <v>102</v>
      </c>
      <c r="BL905" t="s">
        <v>1348</v>
      </c>
      <c r="BM905" t="s">
        <v>16084</v>
      </c>
      <c r="BN905" t="s">
        <v>74</v>
      </c>
      <c r="BO905" t="s">
        <v>74</v>
      </c>
      <c r="BP905" t="s">
        <v>74</v>
      </c>
      <c r="BQ905" t="s">
        <v>74</v>
      </c>
      <c r="BR905" t="s">
        <v>105</v>
      </c>
      <c r="BS905" t="s">
        <v>16136</v>
      </c>
      <c r="BT905" t="str">
        <f>HYPERLINK("https%3A%2F%2Fwww.webofscience.com%2Fwos%2Fwoscc%2Ffull-record%2FWOS:000272979700008","View Full Record in Web of Science")</f>
        <v>View Full Record in Web of Science</v>
      </c>
    </row>
    <row r="906" spans="1:72" x14ac:dyDescent="0.15">
      <c r="A906" t="s">
        <v>72</v>
      </c>
      <c r="B906" t="s">
        <v>16137</v>
      </c>
      <c r="C906" t="s">
        <v>74</v>
      </c>
      <c r="D906" t="s">
        <v>74</v>
      </c>
      <c r="E906" t="s">
        <v>74</v>
      </c>
      <c r="F906" t="s">
        <v>16138</v>
      </c>
      <c r="G906" t="s">
        <v>74</v>
      </c>
      <c r="H906" t="s">
        <v>74</v>
      </c>
      <c r="I906" t="s">
        <v>16139</v>
      </c>
      <c r="J906" t="s">
        <v>2770</v>
      </c>
      <c r="K906" t="s">
        <v>74</v>
      </c>
      <c r="L906" t="s">
        <v>74</v>
      </c>
      <c r="M906" t="s">
        <v>78</v>
      </c>
      <c r="N906" t="s">
        <v>79</v>
      </c>
      <c r="O906" t="s">
        <v>74</v>
      </c>
      <c r="P906" t="s">
        <v>74</v>
      </c>
      <c r="Q906" t="s">
        <v>74</v>
      </c>
      <c r="R906" t="s">
        <v>74</v>
      </c>
      <c r="S906" t="s">
        <v>74</v>
      </c>
      <c r="T906" t="s">
        <v>74</v>
      </c>
      <c r="U906" t="s">
        <v>74</v>
      </c>
      <c r="V906" t="s">
        <v>16140</v>
      </c>
      <c r="W906" t="s">
        <v>16141</v>
      </c>
      <c r="X906" t="s">
        <v>16142</v>
      </c>
      <c r="Y906" t="s">
        <v>16143</v>
      </c>
      <c r="Z906" t="s">
        <v>16144</v>
      </c>
      <c r="AA906" t="s">
        <v>16145</v>
      </c>
      <c r="AB906" t="s">
        <v>16146</v>
      </c>
      <c r="AC906" t="s">
        <v>74</v>
      </c>
      <c r="AD906" t="s">
        <v>74</v>
      </c>
      <c r="AE906" t="s">
        <v>74</v>
      </c>
      <c r="AF906" t="s">
        <v>74</v>
      </c>
      <c r="AG906">
        <v>25</v>
      </c>
      <c r="AH906">
        <v>19</v>
      </c>
      <c r="AI906">
        <v>19</v>
      </c>
      <c r="AJ906">
        <v>1</v>
      </c>
      <c r="AK906">
        <v>14</v>
      </c>
      <c r="AL906" t="s">
        <v>587</v>
      </c>
      <c r="AM906" t="s">
        <v>225</v>
      </c>
      <c r="AN906" t="s">
        <v>588</v>
      </c>
      <c r="AO906" t="s">
        <v>2775</v>
      </c>
      <c r="AP906" t="s">
        <v>74</v>
      </c>
      <c r="AQ906" t="s">
        <v>74</v>
      </c>
      <c r="AR906" t="s">
        <v>2777</v>
      </c>
      <c r="AS906" t="s">
        <v>2778</v>
      </c>
      <c r="AT906" t="s">
        <v>8958</v>
      </c>
      <c r="AU906">
        <v>2010</v>
      </c>
      <c r="AV906">
        <v>46</v>
      </c>
      <c r="AW906">
        <v>236</v>
      </c>
      <c r="AX906" t="s">
        <v>74</v>
      </c>
      <c r="AY906" t="s">
        <v>74</v>
      </c>
      <c r="AZ906" t="s">
        <v>74</v>
      </c>
      <c r="BA906" t="s">
        <v>74</v>
      </c>
      <c r="BB906">
        <v>57</v>
      </c>
      <c r="BC906">
        <v>64</v>
      </c>
      <c r="BD906" t="s">
        <v>74</v>
      </c>
      <c r="BE906" t="s">
        <v>16147</v>
      </c>
      <c r="BF906" t="str">
        <f>HYPERLINK("http://dx.doi.org/10.1017/S0032247409008389","http://dx.doi.org/10.1017/S0032247409008389")</f>
        <v>http://dx.doi.org/10.1017/S0032247409008389</v>
      </c>
      <c r="BG906" t="s">
        <v>74</v>
      </c>
      <c r="BH906" t="s">
        <v>74</v>
      </c>
      <c r="BI906">
        <v>8</v>
      </c>
      <c r="BJ906" t="s">
        <v>2780</v>
      </c>
      <c r="BK906" t="s">
        <v>102</v>
      </c>
      <c r="BL906" t="s">
        <v>1348</v>
      </c>
      <c r="BM906" t="s">
        <v>16084</v>
      </c>
      <c r="BN906" t="s">
        <v>74</v>
      </c>
      <c r="BO906" t="s">
        <v>74</v>
      </c>
      <c r="BP906" t="s">
        <v>74</v>
      </c>
      <c r="BQ906" t="s">
        <v>74</v>
      </c>
      <c r="BR906" t="s">
        <v>105</v>
      </c>
      <c r="BS906" t="s">
        <v>16148</v>
      </c>
      <c r="BT906" t="str">
        <f>HYPERLINK("https%3A%2F%2Fwww.webofscience.com%2Fwos%2Fwoscc%2Ffull-record%2FWOS:000272979700011","View Full Record in Web of Science")</f>
        <v>View Full Record in Web of Science</v>
      </c>
    </row>
    <row r="907" spans="1:72" x14ac:dyDescent="0.15">
      <c r="A907" t="s">
        <v>72</v>
      </c>
      <c r="B907" t="s">
        <v>16149</v>
      </c>
      <c r="C907" t="s">
        <v>74</v>
      </c>
      <c r="D907" t="s">
        <v>74</v>
      </c>
      <c r="E907" t="s">
        <v>74</v>
      </c>
      <c r="F907" t="s">
        <v>16150</v>
      </c>
      <c r="G907" t="s">
        <v>74</v>
      </c>
      <c r="H907" t="s">
        <v>74</v>
      </c>
      <c r="I907" t="s">
        <v>16151</v>
      </c>
      <c r="J907" t="s">
        <v>2770</v>
      </c>
      <c r="K907" t="s">
        <v>74</v>
      </c>
      <c r="L907" t="s">
        <v>74</v>
      </c>
      <c r="M907" t="s">
        <v>78</v>
      </c>
      <c r="N907" t="s">
        <v>79</v>
      </c>
      <c r="O907" t="s">
        <v>74</v>
      </c>
      <c r="P907" t="s">
        <v>74</v>
      </c>
      <c r="Q907" t="s">
        <v>74</v>
      </c>
      <c r="R907" t="s">
        <v>74</v>
      </c>
      <c r="S907" t="s">
        <v>74</v>
      </c>
      <c r="T907" t="s">
        <v>74</v>
      </c>
      <c r="U907" t="s">
        <v>74</v>
      </c>
      <c r="V907" t="s">
        <v>16152</v>
      </c>
      <c r="W907" t="s">
        <v>16153</v>
      </c>
      <c r="X907" t="s">
        <v>15402</v>
      </c>
      <c r="Y907" t="s">
        <v>16154</v>
      </c>
      <c r="Z907" t="s">
        <v>16155</v>
      </c>
      <c r="AA907" t="s">
        <v>74</v>
      </c>
      <c r="AB907" t="s">
        <v>16156</v>
      </c>
      <c r="AC907" t="s">
        <v>74</v>
      </c>
      <c r="AD907" t="s">
        <v>74</v>
      </c>
      <c r="AE907" t="s">
        <v>74</v>
      </c>
      <c r="AF907" t="s">
        <v>74</v>
      </c>
      <c r="AG907">
        <v>56</v>
      </c>
      <c r="AH907">
        <v>2</v>
      </c>
      <c r="AI907">
        <v>2</v>
      </c>
      <c r="AJ907">
        <v>0</v>
      </c>
      <c r="AK907">
        <v>6</v>
      </c>
      <c r="AL907" t="s">
        <v>587</v>
      </c>
      <c r="AM907" t="s">
        <v>225</v>
      </c>
      <c r="AN907" t="s">
        <v>588</v>
      </c>
      <c r="AO907" t="s">
        <v>2775</v>
      </c>
      <c r="AP907" t="s">
        <v>74</v>
      </c>
      <c r="AQ907" t="s">
        <v>74</v>
      </c>
      <c r="AR907" t="s">
        <v>2777</v>
      </c>
      <c r="AS907" t="s">
        <v>2778</v>
      </c>
      <c r="AT907" t="s">
        <v>8958</v>
      </c>
      <c r="AU907">
        <v>2010</v>
      </c>
      <c r="AV907">
        <v>46</v>
      </c>
      <c r="AW907">
        <v>236</v>
      </c>
      <c r="AX907" t="s">
        <v>74</v>
      </c>
      <c r="AY907" t="s">
        <v>74</v>
      </c>
      <c r="AZ907" t="s">
        <v>74</v>
      </c>
      <c r="BA907" t="s">
        <v>74</v>
      </c>
      <c r="BB907">
        <v>65</v>
      </c>
      <c r="BC907">
        <v>74</v>
      </c>
      <c r="BD907" t="s">
        <v>74</v>
      </c>
      <c r="BE907" t="s">
        <v>16157</v>
      </c>
      <c r="BF907" t="str">
        <f>HYPERLINK("http://dx.doi.org/10.1017/S0032247409008420","http://dx.doi.org/10.1017/S0032247409008420")</f>
        <v>http://dx.doi.org/10.1017/S0032247409008420</v>
      </c>
      <c r="BG907" t="s">
        <v>74</v>
      </c>
      <c r="BH907" t="s">
        <v>74</v>
      </c>
      <c r="BI907">
        <v>10</v>
      </c>
      <c r="BJ907" t="s">
        <v>2780</v>
      </c>
      <c r="BK907" t="s">
        <v>2973</v>
      </c>
      <c r="BL907" t="s">
        <v>1348</v>
      </c>
      <c r="BM907" t="s">
        <v>16084</v>
      </c>
      <c r="BN907" t="s">
        <v>74</v>
      </c>
      <c r="BO907" t="s">
        <v>74</v>
      </c>
      <c r="BP907" t="s">
        <v>74</v>
      </c>
      <c r="BQ907" t="s">
        <v>74</v>
      </c>
      <c r="BR907" t="s">
        <v>105</v>
      </c>
      <c r="BS907" t="s">
        <v>16158</v>
      </c>
      <c r="BT907" t="str">
        <f>HYPERLINK("https%3A%2F%2Fwww.webofscience.com%2Fwos%2Fwoscc%2Ffull-record%2FWOS:000272979700012","View Full Record in Web of Science")</f>
        <v>View Full Record in Web of Science</v>
      </c>
    </row>
    <row r="908" spans="1:72" x14ac:dyDescent="0.15">
      <c r="A908" t="s">
        <v>72</v>
      </c>
      <c r="B908" t="s">
        <v>16103</v>
      </c>
      <c r="C908" t="s">
        <v>74</v>
      </c>
      <c r="D908" t="s">
        <v>74</v>
      </c>
      <c r="E908" t="s">
        <v>74</v>
      </c>
      <c r="F908" t="s">
        <v>16104</v>
      </c>
      <c r="G908" t="s">
        <v>74</v>
      </c>
      <c r="H908" t="s">
        <v>74</v>
      </c>
      <c r="I908" t="s">
        <v>16159</v>
      </c>
      <c r="J908" t="s">
        <v>2770</v>
      </c>
      <c r="K908" t="s">
        <v>74</v>
      </c>
      <c r="L908" t="s">
        <v>74</v>
      </c>
      <c r="M908" t="s">
        <v>78</v>
      </c>
      <c r="N908" t="s">
        <v>536</v>
      </c>
      <c r="O908" t="s">
        <v>74</v>
      </c>
      <c r="P908" t="s">
        <v>74</v>
      </c>
      <c r="Q908" t="s">
        <v>74</v>
      </c>
      <c r="R908" t="s">
        <v>74</v>
      </c>
      <c r="S908" t="s">
        <v>74</v>
      </c>
      <c r="T908" t="s">
        <v>74</v>
      </c>
      <c r="U908" t="s">
        <v>74</v>
      </c>
      <c r="V908" t="s">
        <v>16160</v>
      </c>
      <c r="W908" t="s">
        <v>74</v>
      </c>
      <c r="X908" t="s">
        <v>74</v>
      </c>
      <c r="Y908" t="s">
        <v>16106</v>
      </c>
      <c r="Z908" t="s">
        <v>16107</v>
      </c>
      <c r="AA908" t="s">
        <v>74</v>
      </c>
      <c r="AB908" t="s">
        <v>74</v>
      </c>
      <c r="AC908" t="s">
        <v>74</v>
      </c>
      <c r="AD908" t="s">
        <v>74</v>
      </c>
      <c r="AE908" t="s">
        <v>74</v>
      </c>
      <c r="AF908" t="s">
        <v>74</v>
      </c>
      <c r="AG908">
        <v>13</v>
      </c>
      <c r="AH908">
        <v>0</v>
      </c>
      <c r="AI908">
        <v>0</v>
      </c>
      <c r="AJ908">
        <v>0</v>
      </c>
      <c r="AK908">
        <v>2</v>
      </c>
      <c r="AL908" t="s">
        <v>587</v>
      </c>
      <c r="AM908" t="s">
        <v>225</v>
      </c>
      <c r="AN908" t="s">
        <v>588</v>
      </c>
      <c r="AO908" t="s">
        <v>2775</v>
      </c>
      <c r="AP908" t="s">
        <v>74</v>
      </c>
      <c r="AQ908" t="s">
        <v>74</v>
      </c>
      <c r="AR908" t="s">
        <v>2777</v>
      </c>
      <c r="AS908" t="s">
        <v>2778</v>
      </c>
      <c r="AT908" t="s">
        <v>8958</v>
      </c>
      <c r="AU908">
        <v>2010</v>
      </c>
      <c r="AV908">
        <v>46</v>
      </c>
      <c r="AW908">
        <v>236</v>
      </c>
      <c r="AX908" t="s">
        <v>74</v>
      </c>
      <c r="AY908" t="s">
        <v>74</v>
      </c>
      <c r="AZ908" t="s">
        <v>74</v>
      </c>
      <c r="BA908" t="s">
        <v>74</v>
      </c>
      <c r="BB908">
        <v>84</v>
      </c>
      <c r="BC908">
        <v>86</v>
      </c>
      <c r="BD908" t="s">
        <v>74</v>
      </c>
      <c r="BE908" t="s">
        <v>16161</v>
      </c>
      <c r="BF908" t="str">
        <f>HYPERLINK("http://dx.doi.org/10.1017/S0032247409008614","http://dx.doi.org/10.1017/S0032247409008614")</f>
        <v>http://dx.doi.org/10.1017/S0032247409008614</v>
      </c>
      <c r="BG908" t="s">
        <v>74</v>
      </c>
      <c r="BH908" t="s">
        <v>74</v>
      </c>
      <c r="BI908">
        <v>3</v>
      </c>
      <c r="BJ908" t="s">
        <v>2780</v>
      </c>
      <c r="BK908" t="s">
        <v>102</v>
      </c>
      <c r="BL908" t="s">
        <v>1348</v>
      </c>
      <c r="BM908" t="s">
        <v>16084</v>
      </c>
      <c r="BN908" t="s">
        <v>74</v>
      </c>
      <c r="BO908" t="s">
        <v>74</v>
      </c>
      <c r="BP908" t="s">
        <v>74</v>
      </c>
      <c r="BQ908" t="s">
        <v>74</v>
      </c>
      <c r="BR908" t="s">
        <v>105</v>
      </c>
      <c r="BS908" t="s">
        <v>16162</v>
      </c>
      <c r="BT908" t="str">
        <f>HYPERLINK("https%3A%2F%2Fwww.webofscience.com%2Fwos%2Fwoscc%2Ffull-record%2FWOS:000272979700014","View Full Record in Web of Science")</f>
        <v>View Full Record in Web of Science</v>
      </c>
    </row>
    <row r="909" spans="1:72" x14ac:dyDescent="0.15">
      <c r="A909" t="s">
        <v>72</v>
      </c>
      <c r="B909" t="s">
        <v>16163</v>
      </c>
      <c r="C909" t="s">
        <v>74</v>
      </c>
      <c r="D909" t="s">
        <v>74</v>
      </c>
      <c r="E909" t="s">
        <v>74</v>
      </c>
      <c r="F909" t="s">
        <v>16164</v>
      </c>
      <c r="G909" t="s">
        <v>74</v>
      </c>
      <c r="H909" t="s">
        <v>74</v>
      </c>
      <c r="I909" t="s">
        <v>16165</v>
      </c>
      <c r="J909" t="s">
        <v>16166</v>
      </c>
      <c r="K909" t="s">
        <v>74</v>
      </c>
      <c r="L909" t="s">
        <v>74</v>
      </c>
      <c r="M909" t="s">
        <v>78</v>
      </c>
      <c r="N909" t="s">
        <v>79</v>
      </c>
      <c r="O909" t="s">
        <v>74</v>
      </c>
      <c r="P909" t="s">
        <v>74</v>
      </c>
      <c r="Q909" t="s">
        <v>74</v>
      </c>
      <c r="R909" t="s">
        <v>74</v>
      </c>
      <c r="S909" t="s">
        <v>74</v>
      </c>
      <c r="T909" t="s">
        <v>16167</v>
      </c>
      <c r="U909" t="s">
        <v>16168</v>
      </c>
      <c r="V909" t="s">
        <v>16169</v>
      </c>
      <c r="W909" t="s">
        <v>16170</v>
      </c>
      <c r="X909" t="s">
        <v>16171</v>
      </c>
      <c r="Y909" t="s">
        <v>16172</v>
      </c>
      <c r="Z909" t="s">
        <v>16173</v>
      </c>
      <c r="AA909" t="s">
        <v>74</v>
      </c>
      <c r="AB909" t="s">
        <v>16174</v>
      </c>
      <c r="AC909" t="s">
        <v>16175</v>
      </c>
      <c r="AD909" t="s">
        <v>16175</v>
      </c>
      <c r="AE909" t="s">
        <v>16176</v>
      </c>
      <c r="AF909" t="s">
        <v>74</v>
      </c>
      <c r="AG909">
        <v>19</v>
      </c>
      <c r="AH909">
        <v>14</v>
      </c>
      <c r="AI909">
        <v>17</v>
      </c>
      <c r="AJ909">
        <v>1</v>
      </c>
      <c r="AK909">
        <v>6</v>
      </c>
      <c r="AL909" t="s">
        <v>144</v>
      </c>
      <c r="AM909" t="s">
        <v>145</v>
      </c>
      <c r="AN909" t="s">
        <v>146</v>
      </c>
      <c r="AO909" t="s">
        <v>16177</v>
      </c>
      <c r="AP909" t="s">
        <v>16178</v>
      </c>
      <c r="AQ909" t="s">
        <v>74</v>
      </c>
      <c r="AR909" t="s">
        <v>16179</v>
      </c>
      <c r="AS909" t="s">
        <v>16180</v>
      </c>
      <c r="AT909" t="s">
        <v>8958</v>
      </c>
      <c r="AU909">
        <v>2010</v>
      </c>
      <c r="AV909">
        <v>3</v>
      </c>
      <c r="AW909">
        <v>4</v>
      </c>
      <c r="AX909" t="s">
        <v>74</v>
      </c>
      <c r="AY909" t="s">
        <v>74</v>
      </c>
      <c r="AZ909" t="s">
        <v>74</v>
      </c>
      <c r="BA909" t="s">
        <v>74</v>
      </c>
      <c r="BB909">
        <v>213</v>
      </c>
      <c r="BC909">
        <v>221</v>
      </c>
      <c r="BD909" t="s">
        <v>74</v>
      </c>
      <c r="BE909" t="s">
        <v>16181</v>
      </c>
      <c r="BF909" t="str">
        <f>HYPERLINK("http://dx.doi.org/10.1016/j.polar.2009.08.001","http://dx.doi.org/10.1016/j.polar.2009.08.001")</f>
        <v>http://dx.doi.org/10.1016/j.polar.2009.08.001</v>
      </c>
      <c r="BG909" t="s">
        <v>74</v>
      </c>
      <c r="BH909" t="s">
        <v>74</v>
      </c>
      <c r="BI909">
        <v>9</v>
      </c>
      <c r="BJ909" t="s">
        <v>10421</v>
      </c>
      <c r="BK909" t="s">
        <v>102</v>
      </c>
      <c r="BL909" t="s">
        <v>821</v>
      </c>
      <c r="BM909" t="s">
        <v>16182</v>
      </c>
      <c r="BN909" t="s">
        <v>74</v>
      </c>
      <c r="BO909" t="s">
        <v>74</v>
      </c>
      <c r="BP909" t="s">
        <v>74</v>
      </c>
      <c r="BQ909" t="s">
        <v>74</v>
      </c>
      <c r="BR909" t="s">
        <v>105</v>
      </c>
      <c r="BS909" t="s">
        <v>16183</v>
      </c>
      <c r="BT909" t="str">
        <f>HYPERLINK("https%3A%2F%2Fwww.webofscience.com%2Fwos%2Fwoscc%2Ffull-record%2FWOS:000209028700001","View Full Record in Web of Science")</f>
        <v>View Full Record in Web of Science</v>
      </c>
    </row>
    <row r="910" spans="1:72" x14ac:dyDescent="0.15">
      <c r="A910" t="s">
        <v>72</v>
      </c>
      <c r="B910" t="s">
        <v>16184</v>
      </c>
      <c r="C910" t="s">
        <v>74</v>
      </c>
      <c r="D910" t="s">
        <v>74</v>
      </c>
      <c r="E910" t="s">
        <v>74</v>
      </c>
      <c r="F910" t="s">
        <v>16185</v>
      </c>
      <c r="G910" t="s">
        <v>74</v>
      </c>
      <c r="H910" t="s">
        <v>74</v>
      </c>
      <c r="I910" t="s">
        <v>16186</v>
      </c>
      <c r="J910" t="s">
        <v>16166</v>
      </c>
      <c r="K910" t="s">
        <v>74</v>
      </c>
      <c r="L910" t="s">
        <v>74</v>
      </c>
      <c r="M910" t="s">
        <v>78</v>
      </c>
      <c r="N910" t="s">
        <v>79</v>
      </c>
      <c r="O910" t="s">
        <v>74</v>
      </c>
      <c r="P910" t="s">
        <v>74</v>
      </c>
      <c r="Q910" t="s">
        <v>74</v>
      </c>
      <c r="R910" t="s">
        <v>74</v>
      </c>
      <c r="S910" t="s">
        <v>74</v>
      </c>
      <c r="T910" t="s">
        <v>16187</v>
      </c>
      <c r="U910" t="s">
        <v>16188</v>
      </c>
      <c r="V910" t="s">
        <v>16189</v>
      </c>
      <c r="W910" t="s">
        <v>16190</v>
      </c>
      <c r="X910" t="s">
        <v>16191</v>
      </c>
      <c r="Y910" t="s">
        <v>16192</v>
      </c>
      <c r="Z910" t="s">
        <v>16193</v>
      </c>
      <c r="AA910" t="s">
        <v>16194</v>
      </c>
      <c r="AB910" t="s">
        <v>16195</v>
      </c>
      <c r="AC910" t="s">
        <v>16196</v>
      </c>
      <c r="AD910" t="s">
        <v>16197</v>
      </c>
      <c r="AE910" t="s">
        <v>16198</v>
      </c>
      <c r="AF910" t="s">
        <v>74</v>
      </c>
      <c r="AG910">
        <v>26</v>
      </c>
      <c r="AH910">
        <v>26</v>
      </c>
      <c r="AI910">
        <v>29</v>
      </c>
      <c r="AJ910">
        <v>0</v>
      </c>
      <c r="AK910">
        <v>10</v>
      </c>
      <c r="AL910" t="s">
        <v>173</v>
      </c>
      <c r="AM910" t="s">
        <v>145</v>
      </c>
      <c r="AN910" t="s">
        <v>174</v>
      </c>
      <c r="AO910" t="s">
        <v>16177</v>
      </c>
      <c r="AP910" t="s">
        <v>16178</v>
      </c>
      <c r="AQ910" t="s">
        <v>74</v>
      </c>
      <c r="AR910" t="s">
        <v>16179</v>
      </c>
      <c r="AS910" t="s">
        <v>16180</v>
      </c>
      <c r="AT910" t="s">
        <v>8958</v>
      </c>
      <c r="AU910">
        <v>2010</v>
      </c>
      <c r="AV910">
        <v>3</v>
      </c>
      <c r="AW910">
        <v>4</v>
      </c>
      <c r="AX910" t="s">
        <v>74</v>
      </c>
      <c r="AY910" t="s">
        <v>74</v>
      </c>
      <c r="AZ910" t="s">
        <v>74</v>
      </c>
      <c r="BA910" t="s">
        <v>74</v>
      </c>
      <c r="BB910">
        <v>222</v>
      </c>
      <c r="BC910">
        <v>234</v>
      </c>
      <c r="BD910" t="s">
        <v>74</v>
      </c>
      <c r="BE910" t="s">
        <v>16199</v>
      </c>
      <c r="BF910" t="str">
        <f>HYPERLINK("http://dx.doi.org/10.1016/j.polar.2009.08.005","http://dx.doi.org/10.1016/j.polar.2009.08.005")</f>
        <v>http://dx.doi.org/10.1016/j.polar.2009.08.005</v>
      </c>
      <c r="BG910" t="s">
        <v>74</v>
      </c>
      <c r="BH910" t="s">
        <v>74</v>
      </c>
      <c r="BI910">
        <v>13</v>
      </c>
      <c r="BJ910" t="s">
        <v>10421</v>
      </c>
      <c r="BK910" t="s">
        <v>102</v>
      </c>
      <c r="BL910" t="s">
        <v>821</v>
      </c>
      <c r="BM910" t="s">
        <v>16182</v>
      </c>
      <c r="BN910" t="s">
        <v>74</v>
      </c>
      <c r="BO910" t="s">
        <v>3033</v>
      </c>
      <c r="BP910" t="s">
        <v>74</v>
      </c>
      <c r="BQ910" t="s">
        <v>74</v>
      </c>
      <c r="BR910" t="s">
        <v>105</v>
      </c>
      <c r="BS910" t="s">
        <v>16200</v>
      </c>
      <c r="BT910" t="str">
        <f>HYPERLINK("https%3A%2F%2Fwww.webofscience.com%2Fwos%2Fwoscc%2Ffull-record%2FWOS:000209028700002","View Full Record in Web of Science")</f>
        <v>View Full Record in Web of Science</v>
      </c>
    </row>
    <row r="911" spans="1:72" x14ac:dyDescent="0.15">
      <c r="A911" t="s">
        <v>72</v>
      </c>
      <c r="B911" t="s">
        <v>16201</v>
      </c>
      <c r="C911" t="s">
        <v>74</v>
      </c>
      <c r="D911" t="s">
        <v>74</v>
      </c>
      <c r="E911" t="s">
        <v>74</v>
      </c>
      <c r="F911" t="s">
        <v>16202</v>
      </c>
      <c r="G911" t="s">
        <v>74</v>
      </c>
      <c r="H911" t="s">
        <v>74</v>
      </c>
      <c r="I911" t="s">
        <v>16203</v>
      </c>
      <c r="J911" t="s">
        <v>16166</v>
      </c>
      <c r="K911" t="s">
        <v>74</v>
      </c>
      <c r="L911" t="s">
        <v>74</v>
      </c>
      <c r="M911" t="s">
        <v>78</v>
      </c>
      <c r="N911" t="s">
        <v>79</v>
      </c>
      <c r="O911" t="s">
        <v>74</v>
      </c>
      <c r="P911" t="s">
        <v>74</v>
      </c>
      <c r="Q911" t="s">
        <v>74</v>
      </c>
      <c r="R911" t="s">
        <v>74</v>
      </c>
      <c r="S911" t="s">
        <v>74</v>
      </c>
      <c r="T911" t="s">
        <v>16204</v>
      </c>
      <c r="U911" t="s">
        <v>74</v>
      </c>
      <c r="V911" t="s">
        <v>16205</v>
      </c>
      <c r="W911" t="s">
        <v>16206</v>
      </c>
      <c r="X911" t="s">
        <v>16207</v>
      </c>
      <c r="Y911" t="s">
        <v>16208</v>
      </c>
      <c r="Z911" t="s">
        <v>16209</v>
      </c>
      <c r="AA911" t="s">
        <v>1097</v>
      </c>
      <c r="AB911" t="s">
        <v>16210</v>
      </c>
      <c r="AC911" t="s">
        <v>74</v>
      </c>
      <c r="AD911" t="s">
        <v>74</v>
      </c>
      <c r="AE911" t="s">
        <v>74</v>
      </c>
      <c r="AF911" t="s">
        <v>74</v>
      </c>
      <c r="AG911">
        <v>45</v>
      </c>
      <c r="AH911">
        <v>21</v>
      </c>
      <c r="AI911">
        <v>22</v>
      </c>
      <c r="AJ911">
        <v>0</v>
      </c>
      <c r="AK911">
        <v>6</v>
      </c>
      <c r="AL911" t="s">
        <v>173</v>
      </c>
      <c r="AM911" t="s">
        <v>145</v>
      </c>
      <c r="AN911" t="s">
        <v>174</v>
      </c>
      <c r="AO911" t="s">
        <v>16177</v>
      </c>
      <c r="AP911" t="s">
        <v>16178</v>
      </c>
      <c r="AQ911" t="s">
        <v>74</v>
      </c>
      <c r="AR911" t="s">
        <v>16179</v>
      </c>
      <c r="AS911" t="s">
        <v>16180</v>
      </c>
      <c r="AT911" t="s">
        <v>8958</v>
      </c>
      <c r="AU911">
        <v>2010</v>
      </c>
      <c r="AV911">
        <v>3</v>
      </c>
      <c r="AW911">
        <v>4</v>
      </c>
      <c r="AX911" t="s">
        <v>74</v>
      </c>
      <c r="AY911" t="s">
        <v>74</v>
      </c>
      <c r="AZ911" t="s">
        <v>74</v>
      </c>
      <c r="BA911" t="s">
        <v>74</v>
      </c>
      <c r="BB911">
        <v>235</v>
      </c>
      <c r="BC911">
        <v>245</v>
      </c>
      <c r="BD911" t="s">
        <v>74</v>
      </c>
      <c r="BE911" t="s">
        <v>16211</v>
      </c>
      <c r="BF911" t="str">
        <f>HYPERLINK("http://dx.doi.org/10.1016/j.polar.2009.08.004","http://dx.doi.org/10.1016/j.polar.2009.08.004")</f>
        <v>http://dx.doi.org/10.1016/j.polar.2009.08.004</v>
      </c>
      <c r="BG911" t="s">
        <v>74</v>
      </c>
      <c r="BH911" t="s">
        <v>74</v>
      </c>
      <c r="BI911">
        <v>11</v>
      </c>
      <c r="BJ911" t="s">
        <v>10421</v>
      </c>
      <c r="BK911" t="s">
        <v>102</v>
      </c>
      <c r="BL911" t="s">
        <v>821</v>
      </c>
      <c r="BM911" t="s">
        <v>16182</v>
      </c>
      <c r="BN911" t="s">
        <v>74</v>
      </c>
      <c r="BO911" t="s">
        <v>3033</v>
      </c>
      <c r="BP911" t="s">
        <v>74</v>
      </c>
      <c r="BQ911" t="s">
        <v>74</v>
      </c>
      <c r="BR911" t="s">
        <v>105</v>
      </c>
      <c r="BS911" t="s">
        <v>16212</v>
      </c>
      <c r="BT911" t="str">
        <f>HYPERLINK("https%3A%2F%2Fwww.webofscience.com%2Fwos%2Fwoscc%2Ffull-record%2FWOS:000209028700003","View Full Record in Web of Science")</f>
        <v>View Full Record in Web of Science</v>
      </c>
    </row>
    <row r="912" spans="1:72" x14ac:dyDescent="0.15">
      <c r="A912" t="s">
        <v>72</v>
      </c>
      <c r="B912" t="s">
        <v>16213</v>
      </c>
      <c r="C912" t="s">
        <v>74</v>
      </c>
      <c r="D912" t="s">
        <v>74</v>
      </c>
      <c r="E912" t="s">
        <v>74</v>
      </c>
      <c r="F912" t="s">
        <v>16214</v>
      </c>
      <c r="G912" t="s">
        <v>74</v>
      </c>
      <c r="H912" t="s">
        <v>74</v>
      </c>
      <c r="I912" t="s">
        <v>16215</v>
      </c>
      <c r="J912" t="s">
        <v>16166</v>
      </c>
      <c r="K912" t="s">
        <v>74</v>
      </c>
      <c r="L912" t="s">
        <v>74</v>
      </c>
      <c r="M912" t="s">
        <v>78</v>
      </c>
      <c r="N912" t="s">
        <v>79</v>
      </c>
      <c r="O912" t="s">
        <v>74</v>
      </c>
      <c r="P912" t="s">
        <v>74</v>
      </c>
      <c r="Q912" t="s">
        <v>74</v>
      </c>
      <c r="R912" t="s">
        <v>74</v>
      </c>
      <c r="S912" t="s">
        <v>74</v>
      </c>
      <c r="T912" t="s">
        <v>16216</v>
      </c>
      <c r="U912" t="s">
        <v>16217</v>
      </c>
      <c r="V912" t="s">
        <v>16218</v>
      </c>
      <c r="W912" t="s">
        <v>16219</v>
      </c>
      <c r="X912" t="s">
        <v>10370</v>
      </c>
      <c r="Y912" t="s">
        <v>16220</v>
      </c>
      <c r="Z912" t="s">
        <v>2222</v>
      </c>
      <c r="AA912" t="s">
        <v>16221</v>
      </c>
      <c r="AB912" t="s">
        <v>16222</v>
      </c>
      <c r="AC912" t="s">
        <v>16223</v>
      </c>
      <c r="AD912" t="s">
        <v>16223</v>
      </c>
      <c r="AE912" t="s">
        <v>16224</v>
      </c>
      <c r="AF912" t="s">
        <v>74</v>
      </c>
      <c r="AG912">
        <v>41</v>
      </c>
      <c r="AH912">
        <v>8</v>
      </c>
      <c r="AI912">
        <v>8</v>
      </c>
      <c r="AJ912">
        <v>0</v>
      </c>
      <c r="AK912">
        <v>15</v>
      </c>
      <c r="AL912" t="s">
        <v>144</v>
      </c>
      <c r="AM912" t="s">
        <v>145</v>
      </c>
      <c r="AN912" t="s">
        <v>146</v>
      </c>
      <c r="AO912" t="s">
        <v>16177</v>
      </c>
      <c r="AP912" t="s">
        <v>16178</v>
      </c>
      <c r="AQ912" t="s">
        <v>74</v>
      </c>
      <c r="AR912" t="s">
        <v>16179</v>
      </c>
      <c r="AS912" t="s">
        <v>16180</v>
      </c>
      <c r="AT912" t="s">
        <v>8958</v>
      </c>
      <c r="AU912">
        <v>2010</v>
      </c>
      <c r="AV912">
        <v>3</v>
      </c>
      <c r="AW912">
        <v>4</v>
      </c>
      <c r="AX912" t="s">
        <v>74</v>
      </c>
      <c r="AY912" t="s">
        <v>74</v>
      </c>
      <c r="AZ912" t="s">
        <v>74</v>
      </c>
      <c r="BA912" t="s">
        <v>74</v>
      </c>
      <c r="BB912">
        <v>246</v>
      </c>
      <c r="BC912">
        <v>253</v>
      </c>
      <c r="BD912" t="s">
        <v>74</v>
      </c>
      <c r="BE912" t="s">
        <v>16225</v>
      </c>
      <c r="BF912" t="str">
        <f>HYPERLINK("http://dx.doi.org/10.1016/j.polar.2009.12.001","http://dx.doi.org/10.1016/j.polar.2009.12.001")</f>
        <v>http://dx.doi.org/10.1016/j.polar.2009.12.001</v>
      </c>
      <c r="BG912" t="s">
        <v>74</v>
      </c>
      <c r="BH912" t="s">
        <v>74</v>
      </c>
      <c r="BI912">
        <v>8</v>
      </c>
      <c r="BJ912" t="s">
        <v>10421</v>
      </c>
      <c r="BK912" t="s">
        <v>102</v>
      </c>
      <c r="BL912" t="s">
        <v>821</v>
      </c>
      <c r="BM912" t="s">
        <v>16182</v>
      </c>
      <c r="BN912" t="s">
        <v>74</v>
      </c>
      <c r="BO912" t="s">
        <v>3033</v>
      </c>
      <c r="BP912" t="s">
        <v>74</v>
      </c>
      <c r="BQ912" t="s">
        <v>74</v>
      </c>
      <c r="BR912" t="s">
        <v>105</v>
      </c>
      <c r="BS912" t="s">
        <v>16226</v>
      </c>
      <c r="BT912" t="str">
        <f>HYPERLINK("https%3A%2F%2Fwww.webofscience.com%2Fwos%2Fwoscc%2Ffull-record%2FWOS:000209028700004","View Full Record in Web of Science")</f>
        <v>View Full Record in Web of Science</v>
      </c>
    </row>
    <row r="913" spans="1:72" x14ac:dyDescent="0.15">
      <c r="A913" t="s">
        <v>72</v>
      </c>
      <c r="B913" t="s">
        <v>16227</v>
      </c>
      <c r="C913" t="s">
        <v>74</v>
      </c>
      <c r="D913" t="s">
        <v>74</v>
      </c>
      <c r="E913" t="s">
        <v>74</v>
      </c>
      <c r="F913" t="s">
        <v>16228</v>
      </c>
      <c r="G913" t="s">
        <v>74</v>
      </c>
      <c r="H913" t="s">
        <v>74</v>
      </c>
      <c r="I913" t="s">
        <v>16229</v>
      </c>
      <c r="J913" t="s">
        <v>16166</v>
      </c>
      <c r="K913" t="s">
        <v>74</v>
      </c>
      <c r="L913" t="s">
        <v>74</v>
      </c>
      <c r="M913" t="s">
        <v>78</v>
      </c>
      <c r="N913" t="s">
        <v>79</v>
      </c>
      <c r="O913" t="s">
        <v>74</v>
      </c>
      <c r="P913" t="s">
        <v>74</v>
      </c>
      <c r="Q913" t="s">
        <v>74</v>
      </c>
      <c r="R913" t="s">
        <v>74</v>
      </c>
      <c r="S913" t="s">
        <v>74</v>
      </c>
      <c r="T913" t="s">
        <v>16230</v>
      </c>
      <c r="U913" t="s">
        <v>74</v>
      </c>
      <c r="V913" t="s">
        <v>16231</v>
      </c>
      <c r="W913" t="s">
        <v>16232</v>
      </c>
      <c r="X913" t="s">
        <v>16233</v>
      </c>
      <c r="Y913" t="s">
        <v>16234</v>
      </c>
      <c r="Z913" t="s">
        <v>16235</v>
      </c>
      <c r="AA913" t="s">
        <v>16236</v>
      </c>
      <c r="AB913" t="s">
        <v>16237</v>
      </c>
      <c r="AC913" t="s">
        <v>16238</v>
      </c>
      <c r="AD913" t="s">
        <v>16239</v>
      </c>
      <c r="AE913" t="s">
        <v>16240</v>
      </c>
      <c r="AF913" t="s">
        <v>74</v>
      </c>
      <c r="AG913">
        <v>33</v>
      </c>
      <c r="AH913">
        <v>25</v>
      </c>
      <c r="AI913">
        <v>30</v>
      </c>
      <c r="AJ913">
        <v>0</v>
      </c>
      <c r="AK913">
        <v>12</v>
      </c>
      <c r="AL913" t="s">
        <v>173</v>
      </c>
      <c r="AM913" t="s">
        <v>145</v>
      </c>
      <c r="AN913" t="s">
        <v>174</v>
      </c>
      <c r="AO913" t="s">
        <v>16177</v>
      </c>
      <c r="AP913" t="s">
        <v>16178</v>
      </c>
      <c r="AQ913" t="s">
        <v>74</v>
      </c>
      <c r="AR913" t="s">
        <v>16179</v>
      </c>
      <c r="AS913" t="s">
        <v>16180</v>
      </c>
      <c r="AT913" t="s">
        <v>8958</v>
      </c>
      <c r="AU913">
        <v>2010</v>
      </c>
      <c r="AV913">
        <v>3</v>
      </c>
      <c r="AW913">
        <v>4</v>
      </c>
      <c r="AX913" t="s">
        <v>74</v>
      </c>
      <c r="AY913" t="s">
        <v>74</v>
      </c>
      <c r="AZ913" t="s">
        <v>74</v>
      </c>
      <c r="BA913" t="s">
        <v>74</v>
      </c>
      <c r="BB913">
        <v>254</v>
      </c>
      <c r="BC913">
        <v>261</v>
      </c>
      <c r="BD913" t="s">
        <v>74</v>
      </c>
      <c r="BE913" t="s">
        <v>16241</v>
      </c>
      <c r="BF913" t="str">
        <f>HYPERLINK("http://dx.doi.org/10.1016/j.polar.2009.10.001","http://dx.doi.org/10.1016/j.polar.2009.10.001")</f>
        <v>http://dx.doi.org/10.1016/j.polar.2009.10.001</v>
      </c>
      <c r="BG913" t="s">
        <v>74</v>
      </c>
      <c r="BH913" t="s">
        <v>74</v>
      </c>
      <c r="BI913">
        <v>8</v>
      </c>
      <c r="BJ913" t="s">
        <v>10421</v>
      </c>
      <c r="BK913" t="s">
        <v>102</v>
      </c>
      <c r="BL913" t="s">
        <v>821</v>
      </c>
      <c r="BM913" t="s">
        <v>16182</v>
      </c>
      <c r="BN913" t="s">
        <v>74</v>
      </c>
      <c r="BO913" t="s">
        <v>3033</v>
      </c>
      <c r="BP913" t="s">
        <v>74</v>
      </c>
      <c r="BQ913" t="s">
        <v>74</v>
      </c>
      <c r="BR913" t="s">
        <v>105</v>
      </c>
      <c r="BS913" t="s">
        <v>16242</v>
      </c>
      <c r="BT913" t="str">
        <f>HYPERLINK("https%3A%2F%2Fwww.webofscience.com%2Fwos%2Fwoscc%2Ffull-record%2FWOS:000209028700005","View Full Record in Web of Science")</f>
        <v>View Full Record in Web of Science</v>
      </c>
    </row>
    <row r="914" spans="1:72" x14ac:dyDescent="0.15">
      <c r="A914" t="s">
        <v>72</v>
      </c>
      <c r="B914" t="s">
        <v>16243</v>
      </c>
      <c r="C914" t="s">
        <v>74</v>
      </c>
      <c r="D914" t="s">
        <v>74</v>
      </c>
      <c r="E914" t="s">
        <v>74</v>
      </c>
      <c r="F914" t="s">
        <v>16244</v>
      </c>
      <c r="G914" t="s">
        <v>74</v>
      </c>
      <c r="H914" t="s">
        <v>74</v>
      </c>
      <c r="I914" t="s">
        <v>16245</v>
      </c>
      <c r="J914" t="s">
        <v>16166</v>
      </c>
      <c r="K914" t="s">
        <v>74</v>
      </c>
      <c r="L914" t="s">
        <v>74</v>
      </c>
      <c r="M914" t="s">
        <v>78</v>
      </c>
      <c r="N914" t="s">
        <v>79</v>
      </c>
      <c r="O914" t="s">
        <v>74</v>
      </c>
      <c r="P914" t="s">
        <v>74</v>
      </c>
      <c r="Q914" t="s">
        <v>74</v>
      </c>
      <c r="R914" t="s">
        <v>74</v>
      </c>
      <c r="S914" t="s">
        <v>74</v>
      </c>
      <c r="T914" t="s">
        <v>16246</v>
      </c>
      <c r="U914" t="s">
        <v>16247</v>
      </c>
      <c r="V914" t="s">
        <v>16248</v>
      </c>
      <c r="W914" t="s">
        <v>16249</v>
      </c>
      <c r="X914" t="s">
        <v>16250</v>
      </c>
      <c r="Y914" t="s">
        <v>16251</v>
      </c>
      <c r="Z914" t="s">
        <v>16252</v>
      </c>
      <c r="AA914" t="s">
        <v>74</v>
      </c>
      <c r="AB914" t="s">
        <v>16253</v>
      </c>
      <c r="AC914" t="s">
        <v>74</v>
      </c>
      <c r="AD914" t="s">
        <v>74</v>
      </c>
      <c r="AE914" t="s">
        <v>74</v>
      </c>
      <c r="AF914" t="s">
        <v>74</v>
      </c>
      <c r="AG914">
        <v>22</v>
      </c>
      <c r="AH914">
        <v>17</v>
      </c>
      <c r="AI914">
        <v>18</v>
      </c>
      <c r="AJ914">
        <v>0</v>
      </c>
      <c r="AK914">
        <v>4</v>
      </c>
      <c r="AL914" t="s">
        <v>144</v>
      </c>
      <c r="AM914" t="s">
        <v>145</v>
      </c>
      <c r="AN914" t="s">
        <v>146</v>
      </c>
      <c r="AO914" t="s">
        <v>16177</v>
      </c>
      <c r="AP914" t="s">
        <v>16178</v>
      </c>
      <c r="AQ914" t="s">
        <v>74</v>
      </c>
      <c r="AR914" t="s">
        <v>16179</v>
      </c>
      <c r="AS914" t="s">
        <v>16180</v>
      </c>
      <c r="AT914" t="s">
        <v>8958</v>
      </c>
      <c r="AU914">
        <v>2010</v>
      </c>
      <c r="AV914">
        <v>3</v>
      </c>
      <c r="AW914">
        <v>4</v>
      </c>
      <c r="AX914" t="s">
        <v>74</v>
      </c>
      <c r="AY914" t="s">
        <v>74</v>
      </c>
      <c r="AZ914" t="s">
        <v>74</v>
      </c>
      <c r="BA914" t="s">
        <v>74</v>
      </c>
      <c r="BB914">
        <v>262</v>
      </c>
      <c r="BC914">
        <v>271</v>
      </c>
      <c r="BD914" t="s">
        <v>74</v>
      </c>
      <c r="BE914" t="s">
        <v>16254</v>
      </c>
      <c r="BF914" t="str">
        <f>HYPERLINK("http://dx.doi.org/10.1016/j.polar.2009.08.002","http://dx.doi.org/10.1016/j.polar.2009.08.002")</f>
        <v>http://dx.doi.org/10.1016/j.polar.2009.08.002</v>
      </c>
      <c r="BG914" t="s">
        <v>74</v>
      </c>
      <c r="BH914" t="s">
        <v>74</v>
      </c>
      <c r="BI914">
        <v>10</v>
      </c>
      <c r="BJ914" t="s">
        <v>10421</v>
      </c>
      <c r="BK914" t="s">
        <v>102</v>
      </c>
      <c r="BL914" t="s">
        <v>821</v>
      </c>
      <c r="BM914" t="s">
        <v>16182</v>
      </c>
      <c r="BN914" t="s">
        <v>74</v>
      </c>
      <c r="BO914" t="s">
        <v>3033</v>
      </c>
      <c r="BP914" t="s">
        <v>74</v>
      </c>
      <c r="BQ914" t="s">
        <v>74</v>
      </c>
      <c r="BR914" t="s">
        <v>105</v>
      </c>
      <c r="BS914" t="s">
        <v>16255</v>
      </c>
      <c r="BT914" t="str">
        <f>HYPERLINK("https%3A%2F%2Fwww.webofscience.com%2Fwos%2Fwoscc%2Ffull-record%2FWOS:000209028700006","View Full Record in Web of Science")</f>
        <v>View Full Record in Web of Science</v>
      </c>
    </row>
    <row r="915" spans="1:72" x14ac:dyDescent="0.15">
      <c r="A915" t="s">
        <v>72</v>
      </c>
      <c r="B915" t="s">
        <v>16256</v>
      </c>
      <c r="C915" t="s">
        <v>74</v>
      </c>
      <c r="D915" t="s">
        <v>74</v>
      </c>
      <c r="E915" t="s">
        <v>74</v>
      </c>
      <c r="F915" t="s">
        <v>16257</v>
      </c>
      <c r="G915" t="s">
        <v>74</v>
      </c>
      <c r="H915" t="s">
        <v>74</v>
      </c>
      <c r="I915" t="s">
        <v>16258</v>
      </c>
      <c r="J915" t="s">
        <v>16166</v>
      </c>
      <c r="K915" t="s">
        <v>74</v>
      </c>
      <c r="L915" t="s">
        <v>74</v>
      </c>
      <c r="M915" t="s">
        <v>78</v>
      </c>
      <c r="N915" t="s">
        <v>79</v>
      </c>
      <c r="O915" t="s">
        <v>74</v>
      </c>
      <c r="P915" t="s">
        <v>74</v>
      </c>
      <c r="Q915" t="s">
        <v>74</v>
      </c>
      <c r="R915" t="s">
        <v>74</v>
      </c>
      <c r="S915" t="s">
        <v>74</v>
      </c>
      <c r="T915" t="s">
        <v>16259</v>
      </c>
      <c r="U915" t="s">
        <v>74</v>
      </c>
      <c r="V915" t="s">
        <v>16260</v>
      </c>
      <c r="W915" t="s">
        <v>16261</v>
      </c>
      <c r="X915" t="s">
        <v>74</v>
      </c>
      <c r="Y915" t="s">
        <v>16262</v>
      </c>
      <c r="Z915" t="s">
        <v>16263</v>
      </c>
      <c r="AA915" t="s">
        <v>74</v>
      </c>
      <c r="AB915" t="s">
        <v>74</v>
      </c>
      <c r="AC915" t="s">
        <v>74</v>
      </c>
      <c r="AD915" t="s">
        <v>74</v>
      </c>
      <c r="AE915" t="s">
        <v>74</v>
      </c>
      <c r="AF915" t="s">
        <v>74</v>
      </c>
      <c r="AG915">
        <v>19</v>
      </c>
      <c r="AH915">
        <v>11</v>
      </c>
      <c r="AI915">
        <v>13</v>
      </c>
      <c r="AJ915">
        <v>0</v>
      </c>
      <c r="AK915">
        <v>5</v>
      </c>
      <c r="AL915" t="s">
        <v>173</v>
      </c>
      <c r="AM915" t="s">
        <v>145</v>
      </c>
      <c r="AN915" t="s">
        <v>174</v>
      </c>
      <c r="AO915" t="s">
        <v>16177</v>
      </c>
      <c r="AP915" t="s">
        <v>16178</v>
      </c>
      <c r="AQ915" t="s">
        <v>74</v>
      </c>
      <c r="AR915" t="s">
        <v>16179</v>
      </c>
      <c r="AS915" t="s">
        <v>16180</v>
      </c>
      <c r="AT915" t="s">
        <v>8958</v>
      </c>
      <c r="AU915">
        <v>2010</v>
      </c>
      <c r="AV915">
        <v>3</v>
      </c>
      <c r="AW915">
        <v>4</v>
      </c>
      <c r="AX915" t="s">
        <v>74</v>
      </c>
      <c r="AY915" t="s">
        <v>74</v>
      </c>
      <c r="AZ915" t="s">
        <v>74</v>
      </c>
      <c r="BA915" t="s">
        <v>74</v>
      </c>
      <c r="BB915">
        <v>272</v>
      </c>
      <c r="BC915">
        <v>284</v>
      </c>
      <c r="BD915" t="s">
        <v>74</v>
      </c>
      <c r="BE915" t="s">
        <v>16264</v>
      </c>
      <c r="BF915" t="str">
        <f>HYPERLINK("http://dx.doi.org/10.1016/j.polar.2009.11.001","http://dx.doi.org/10.1016/j.polar.2009.11.001")</f>
        <v>http://dx.doi.org/10.1016/j.polar.2009.11.001</v>
      </c>
      <c r="BG915" t="s">
        <v>74</v>
      </c>
      <c r="BH915" t="s">
        <v>74</v>
      </c>
      <c r="BI915">
        <v>13</v>
      </c>
      <c r="BJ915" t="s">
        <v>10421</v>
      </c>
      <c r="BK915" t="s">
        <v>102</v>
      </c>
      <c r="BL915" t="s">
        <v>821</v>
      </c>
      <c r="BM915" t="s">
        <v>16182</v>
      </c>
      <c r="BN915" t="s">
        <v>74</v>
      </c>
      <c r="BO915" t="s">
        <v>3033</v>
      </c>
      <c r="BP915" t="s">
        <v>74</v>
      </c>
      <c r="BQ915" t="s">
        <v>74</v>
      </c>
      <c r="BR915" t="s">
        <v>105</v>
      </c>
      <c r="BS915" t="s">
        <v>16265</v>
      </c>
      <c r="BT915" t="str">
        <f>HYPERLINK("https%3A%2F%2Fwww.webofscience.com%2Fwos%2Fwoscc%2Ffull-record%2FWOS:000209028700007","View Full Record in Web of Science")</f>
        <v>View Full Record in Web of Science</v>
      </c>
    </row>
    <row r="916" spans="1:72" x14ac:dyDescent="0.15">
      <c r="A916" t="s">
        <v>8563</v>
      </c>
      <c r="B916" t="s">
        <v>16266</v>
      </c>
      <c r="C916" t="s">
        <v>16266</v>
      </c>
      <c r="D916" t="s">
        <v>74</v>
      </c>
      <c r="E916" t="s">
        <v>74</v>
      </c>
      <c r="F916" t="s">
        <v>16267</v>
      </c>
      <c r="G916" t="s">
        <v>16266</v>
      </c>
      <c r="H916" t="s">
        <v>74</v>
      </c>
      <c r="I916" t="s">
        <v>16268</v>
      </c>
      <c r="J916" t="s">
        <v>16269</v>
      </c>
      <c r="K916" t="s">
        <v>16270</v>
      </c>
      <c r="L916" t="s">
        <v>74</v>
      </c>
      <c r="M916" t="s">
        <v>78</v>
      </c>
      <c r="N916" t="s">
        <v>8859</v>
      </c>
      <c r="O916" t="s">
        <v>74</v>
      </c>
      <c r="P916" t="s">
        <v>74</v>
      </c>
      <c r="Q916" t="s">
        <v>74</v>
      </c>
      <c r="R916" t="s">
        <v>74</v>
      </c>
      <c r="S916" t="s">
        <v>74</v>
      </c>
      <c r="T916" t="s">
        <v>74</v>
      </c>
      <c r="U916" t="s">
        <v>74</v>
      </c>
      <c r="V916" t="s">
        <v>74</v>
      </c>
      <c r="W916" t="s">
        <v>74</v>
      </c>
      <c r="X916" t="s">
        <v>74</v>
      </c>
      <c r="Y916" t="s">
        <v>74</v>
      </c>
      <c r="Z916" t="s">
        <v>74</v>
      </c>
      <c r="AA916" t="s">
        <v>74</v>
      </c>
      <c r="AB916" t="s">
        <v>74</v>
      </c>
      <c r="AC916" t="s">
        <v>74</v>
      </c>
      <c r="AD916" t="s">
        <v>74</v>
      </c>
      <c r="AE916" t="s">
        <v>74</v>
      </c>
      <c r="AF916" t="s">
        <v>74</v>
      </c>
      <c r="AG916">
        <v>0</v>
      </c>
      <c r="AH916">
        <v>1</v>
      </c>
      <c r="AI916">
        <v>1</v>
      </c>
      <c r="AJ916">
        <v>0</v>
      </c>
      <c r="AK916">
        <v>3</v>
      </c>
      <c r="AL916" t="s">
        <v>16271</v>
      </c>
      <c r="AM916" t="s">
        <v>16272</v>
      </c>
      <c r="AN916" t="s">
        <v>16273</v>
      </c>
      <c r="AO916" t="s">
        <v>74</v>
      </c>
      <c r="AP916" t="s">
        <v>74</v>
      </c>
      <c r="AQ916" t="s">
        <v>16274</v>
      </c>
      <c r="AR916" t="s">
        <v>16275</v>
      </c>
      <c r="AS916" t="s">
        <v>74</v>
      </c>
      <c r="AT916" t="s">
        <v>74</v>
      </c>
      <c r="AU916">
        <v>2010</v>
      </c>
      <c r="AV916">
        <v>43</v>
      </c>
      <c r="AW916" t="s">
        <v>74</v>
      </c>
      <c r="AX916" t="s">
        <v>74</v>
      </c>
      <c r="AY916" t="s">
        <v>74</v>
      </c>
      <c r="AZ916" t="s">
        <v>74</v>
      </c>
      <c r="BA916" t="s">
        <v>74</v>
      </c>
      <c r="BB916">
        <v>1</v>
      </c>
      <c r="BC916">
        <v>24</v>
      </c>
      <c r="BD916" t="s">
        <v>74</v>
      </c>
      <c r="BE916" t="s">
        <v>74</v>
      </c>
      <c r="BF916" t="s">
        <v>74</v>
      </c>
      <c r="BG916" t="s">
        <v>74</v>
      </c>
      <c r="BH916" t="s">
        <v>74</v>
      </c>
      <c r="BI916">
        <v>24</v>
      </c>
      <c r="BJ916" t="s">
        <v>11087</v>
      </c>
      <c r="BK916" t="s">
        <v>11088</v>
      </c>
      <c r="BL916" t="s">
        <v>11089</v>
      </c>
      <c r="BM916" t="s">
        <v>16276</v>
      </c>
      <c r="BN916" t="s">
        <v>74</v>
      </c>
      <c r="BO916" t="s">
        <v>74</v>
      </c>
      <c r="BP916" t="s">
        <v>74</v>
      </c>
      <c r="BQ916" t="s">
        <v>74</v>
      </c>
      <c r="BR916" t="s">
        <v>105</v>
      </c>
      <c r="BS916" t="s">
        <v>16277</v>
      </c>
      <c r="BT916" t="str">
        <f>HYPERLINK("https%3A%2F%2Fwww.webofscience.com%2Fwos%2Fwoscc%2Ffull-record%2FWOS:000305996300002","View Full Record in Web of Science")</f>
        <v>View Full Record in Web of Science</v>
      </c>
    </row>
    <row r="917" spans="1:72" x14ac:dyDescent="0.15">
      <c r="A917" t="s">
        <v>8563</v>
      </c>
      <c r="B917" t="s">
        <v>16266</v>
      </c>
      <c r="C917" t="s">
        <v>16266</v>
      </c>
      <c r="D917" t="s">
        <v>74</v>
      </c>
      <c r="E917" t="s">
        <v>74</v>
      </c>
      <c r="F917" t="s">
        <v>16267</v>
      </c>
      <c r="G917" t="s">
        <v>16266</v>
      </c>
      <c r="H917" t="s">
        <v>74</v>
      </c>
      <c r="I917" t="s">
        <v>16278</v>
      </c>
      <c r="J917" t="s">
        <v>16269</v>
      </c>
      <c r="K917" t="s">
        <v>16270</v>
      </c>
      <c r="L917" t="s">
        <v>74</v>
      </c>
      <c r="M917" t="s">
        <v>78</v>
      </c>
      <c r="N917" t="s">
        <v>8859</v>
      </c>
      <c r="O917" t="s">
        <v>74</v>
      </c>
      <c r="P917" t="s">
        <v>74</v>
      </c>
      <c r="Q917" t="s">
        <v>74</v>
      </c>
      <c r="R917" t="s">
        <v>74</v>
      </c>
      <c r="S917" t="s">
        <v>74</v>
      </c>
      <c r="T917" t="s">
        <v>74</v>
      </c>
      <c r="U917" t="s">
        <v>74</v>
      </c>
      <c r="V917" t="s">
        <v>74</v>
      </c>
      <c r="W917" t="s">
        <v>74</v>
      </c>
      <c r="X917" t="s">
        <v>74</v>
      </c>
      <c r="Y917" t="s">
        <v>74</v>
      </c>
      <c r="Z917" t="s">
        <v>74</v>
      </c>
      <c r="AA917" t="s">
        <v>74</v>
      </c>
      <c r="AB917" t="s">
        <v>74</v>
      </c>
      <c r="AC917" t="s">
        <v>74</v>
      </c>
      <c r="AD917" t="s">
        <v>74</v>
      </c>
      <c r="AE917" t="s">
        <v>74</v>
      </c>
      <c r="AF917" t="s">
        <v>74</v>
      </c>
      <c r="AG917">
        <v>0</v>
      </c>
      <c r="AH917">
        <v>0</v>
      </c>
      <c r="AI917">
        <v>0</v>
      </c>
      <c r="AJ917">
        <v>0</v>
      </c>
      <c r="AK917">
        <v>1</v>
      </c>
      <c r="AL917" t="s">
        <v>16271</v>
      </c>
      <c r="AM917" t="s">
        <v>16272</v>
      </c>
      <c r="AN917" t="s">
        <v>16273</v>
      </c>
      <c r="AO917" t="s">
        <v>74</v>
      </c>
      <c r="AP917" t="s">
        <v>74</v>
      </c>
      <c r="AQ917" t="s">
        <v>16274</v>
      </c>
      <c r="AR917" t="s">
        <v>16275</v>
      </c>
      <c r="AS917" t="s">
        <v>74</v>
      </c>
      <c r="AT917" t="s">
        <v>74</v>
      </c>
      <c r="AU917">
        <v>2010</v>
      </c>
      <c r="AV917">
        <v>43</v>
      </c>
      <c r="AW917" t="s">
        <v>74</v>
      </c>
      <c r="AX917" t="s">
        <v>74</v>
      </c>
      <c r="AY917" t="s">
        <v>74</v>
      </c>
      <c r="AZ917" t="s">
        <v>74</v>
      </c>
      <c r="BA917" t="s">
        <v>74</v>
      </c>
      <c r="BB917">
        <v>44</v>
      </c>
      <c r="BC917">
        <v>60</v>
      </c>
      <c r="BD917" t="s">
        <v>74</v>
      </c>
      <c r="BE917" t="s">
        <v>74</v>
      </c>
      <c r="BF917" t="s">
        <v>74</v>
      </c>
      <c r="BG917" t="s">
        <v>74</v>
      </c>
      <c r="BH917" t="s">
        <v>74</v>
      </c>
      <c r="BI917">
        <v>17</v>
      </c>
      <c r="BJ917" t="s">
        <v>11087</v>
      </c>
      <c r="BK917" t="s">
        <v>11088</v>
      </c>
      <c r="BL917" t="s">
        <v>11089</v>
      </c>
      <c r="BM917" t="s">
        <v>16276</v>
      </c>
      <c r="BN917" t="s">
        <v>74</v>
      </c>
      <c r="BO917" t="s">
        <v>74</v>
      </c>
      <c r="BP917" t="s">
        <v>74</v>
      </c>
      <c r="BQ917" t="s">
        <v>74</v>
      </c>
      <c r="BR917" t="s">
        <v>105</v>
      </c>
      <c r="BS917" t="s">
        <v>16279</v>
      </c>
      <c r="BT917" t="str">
        <f>HYPERLINK("https%3A%2F%2Fwww.webofscience.com%2Fwos%2Fwoscc%2Ffull-record%2FWOS:000305996300004","View Full Record in Web of Science")</f>
        <v>View Full Record in Web of Science</v>
      </c>
    </row>
    <row r="918" spans="1:72" x14ac:dyDescent="0.15">
      <c r="A918" t="s">
        <v>8563</v>
      </c>
      <c r="B918" t="s">
        <v>16266</v>
      </c>
      <c r="C918" t="s">
        <v>16266</v>
      </c>
      <c r="D918" t="s">
        <v>74</v>
      </c>
      <c r="E918" t="s">
        <v>74</v>
      </c>
      <c r="F918" t="s">
        <v>16267</v>
      </c>
      <c r="G918" t="s">
        <v>16266</v>
      </c>
      <c r="H918" t="s">
        <v>74</v>
      </c>
      <c r="I918" t="s">
        <v>16280</v>
      </c>
      <c r="J918" t="s">
        <v>16269</v>
      </c>
      <c r="K918" t="s">
        <v>16270</v>
      </c>
      <c r="L918" t="s">
        <v>74</v>
      </c>
      <c r="M918" t="s">
        <v>78</v>
      </c>
      <c r="N918" t="s">
        <v>8859</v>
      </c>
      <c r="O918" t="s">
        <v>74</v>
      </c>
      <c r="P918" t="s">
        <v>74</v>
      </c>
      <c r="Q918" t="s">
        <v>74</v>
      </c>
      <c r="R918" t="s">
        <v>74</v>
      </c>
      <c r="S918" t="s">
        <v>74</v>
      </c>
      <c r="T918" t="s">
        <v>74</v>
      </c>
      <c r="U918" t="s">
        <v>74</v>
      </c>
      <c r="V918" t="s">
        <v>74</v>
      </c>
      <c r="W918" t="s">
        <v>74</v>
      </c>
      <c r="X918" t="s">
        <v>74</v>
      </c>
      <c r="Y918" t="s">
        <v>74</v>
      </c>
      <c r="Z918" t="s">
        <v>74</v>
      </c>
      <c r="AA918" t="s">
        <v>74</v>
      </c>
      <c r="AB918" t="s">
        <v>74</v>
      </c>
      <c r="AC918" t="s">
        <v>74</v>
      </c>
      <c r="AD918" t="s">
        <v>74</v>
      </c>
      <c r="AE918" t="s">
        <v>74</v>
      </c>
      <c r="AF918" t="s">
        <v>74</v>
      </c>
      <c r="AG918">
        <v>0</v>
      </c>
      <c r="AH918">
        <v>0</v>
      </c>
      <c r="AI918">
        <v>0</v>
      </c>
      <c r="AJ918">
        <v>0</v>
      </c>
      <c r="AK918">
        <v>0</v>
      </c>
      <c r="AL918" t="s">
        <v>16271</v>
      </c>
      <c r="AM918" t="s">
        <v>16272</v>
      </c>
      <c r="AN918" t="s">
        <v>16273</v>
      </c>
      <c r="AO918" t="s">
        <v>74</v>
      </c>
      <c r="AP918" t="s">
        <v>74</v>
      </c>
      <c r="AQ918" t="s">
        <v>16274</v>
      </c>
      <c r="AR918" t="s">
        <v>16275</v>
      </c>
      <c r="AS918" t="s">
        <v>74</v>
      </c>
      <c r="AT918" t="s">
        <v>74</v>
      </c>
      <c r="AU918">
        <v>2010</v>
      </c>
      <c r="AV918">
        <v>43</v>
      </c>
      <c r="AW918" t="s">
        <v>74</v>
      </c>
      <c r="AX918" t="s">
        <v>74</v>
      </c>
      <c r="AY918" t="s">
        <v>74</v>
      </c>
      <c r="AZ918" t="s">
        <v>74</v>
      </c>
      <c r="BA918" t="s">
        <v>74</v>
      </c>
      <c r="BB918">
        <v>141</v>
      </c>
      <c r="BC918">
        <v>165</v>
      </c>
      <c r="BD918" t="s">
        <v>74</v>
      </c>
      <c r="BE918" t="s">
        <v>74</v>
      </c>
      <c r="BF918" t="s">
        <v>74</v>
      </c>
      <c r="BG918" t="s">
        <v>74</v>
      </c>
      <c r="BH918" t="s">
        <v>74</v>
      </c>
      <c r="BI918">
        <v>25</v>
      </c>
      <c r="BJ918" t="s">
        <v>11087</v>
      </c>
      <c r="BK918" t="s">
        <v>11088</v>
      </c>
      <c r="BL918" t="s">
        <v>11089</v>
      </c>
      <c r="BM918" t="s">
        <v>16276</v>
      </c>
      <c r="BN918" t="s">
        <v>74</v>
      </c>
      <c r="BO918" t="s">
        <v>74</v>
      </c>
      <c r="BP918" t="s">
        <v>74</v>
      </c>
      <c r="BQ918" t="s">
        <v>74</v>
      </c>
      <c r="BR918" t="s">
        <v>105</v>
      </c>
      <c r="BS918" t="s">
        <v>16281</v>
      </c>
      <c r="BT918" t="str">
        <f>HYPERLINK("https%3A%2F%2Fwww.webofscience.com%2Fwos%2Fwoscc%2Ffull-record%2FWOS:000305996300009","View Full Record in Web of Science")</f>
        <v>View Full Record in Web of Science</v>
      </c>
    </row>
    <row r="919" spans="1:72" x14ac:dyDescent="0.15">
      <c r="A919" t="s">
        <v>72</v>
      </c>
      <c r="B919" t="s">
        <v>16282</v>
      </c>
      <c r="C919" t="s">
        <v>74</v>
      </c>
      <c r="D919" t="s">
        <v>74</v>
      </c>
      <c r="E919" t="s">
        <v>74</v>
      </c>
      <c r="F919" t="s">
        <v>16283</v>
      </c>
      <c r="G919" t="s">
        <v>74</v>
      </c>
      <c r="H919" t="s">
        <v>74</v>
      </c>
      <c r="I919" t="s">
        <v>16284</v>
      </c>
      <c r="J919" t="s">
        <v>16285</v>
      </c>
      <c r="K919" t="s">
        <v>74</v>
      </c>
      <c r="L919" t="s">
        <v>74</v>
      </c>
      <c r="M919" t="s">
        <v>78</v>
      </c>
      <c r="N919" t="s">
        <v>79</v>
      </c>
      <c r="O919" t="s">
        <v>74</v>
      </c>
      <c r="P919" t="s">
        <v>74</v>
      </c>
      <c r="Q919" t="s">
        <v>74</v>
      </c>
      <c r="R919" t="s">
        <v>74</v>
      </c>
      <c r="S919" t="s">
        <v>74</v>
      </c>
      <c r="T919" t="s">
        <v>16286</v>
      </c>
      <c r="U919" t="s">
        <v>16287</v>
      </c>
      <c r="V919" t="s">
        <v>16288</v>
      </c>
      <c r="W919" t="s">
        <v>16289</v>
      </c>
      <c r="X919" t="s">
        <v>16290</v>
      </c>
      <c r="Y919" t="s">
        <v>16291</v>
      </c>
      <c r="Z919" t="s">
        <v>16292</v>
      </c>
      <c r="AA919" t="s">
        <v>74</v>
      </c>
      <c r="AB919" t="s">
        <v>16293</v>
      </c>
      <c r="AC919" t="s">
        <v>74</v>
      </c>
      <c r="AD919" t="s">
        <v>74</v>
      </c>
      <c r="AE919" t="s">
        <v>74</v>
      </c>
      <c r="AF919" t="s">
        <v>74</v>
      </c>
      <c r="AG919">
        <v>46</v>
      </c>
      <c r="AH919">
        <v>8</v>
      </c>
      <c r="AI919">
        <v>9</v>
      </c>
      <c r="AJ919">
        <v>1</v>
      </c>
      <c r="AK919">
        <v>28</v>
      </c>
      <c r="AL919" t="s">
        <v>16294</v>
      </c>
      <c r="AM919" t="s">
        <v>16295</v>
      </c>
      <c r="AN919" t="s">
        <v>16296</v>
      </c>
      <c r="AO919" t="s">
        <v>16297</v>
      </c>
      <c r="AP919" t="s">
        <v>74</v>
      </c>
      <c r="AQ919" t="s">
        <v>74</v>
      </c>
      <c r="AR919" t="s">
        <v>16298</v>
      </c>
      <c r="AS919" t="s">
        <v>16299</v>
      </c>
      <c r="AT919" t="s">
        <v>74</v>
      </c>
      <c r="AU919">
        <v>2010</v>
      </c>
      <c r="AV919">
        <v>58</v>
      </c>
      <c r="AW919">
        <v>4</v>
      </c>
      <c r="AX919" t="s">
        <v>74</v>
      </c>
      <c r="AY919" t="s">
        <v>74</v>
      </c>
      <c r="AZ919" t="s">
        <v>74</v>
      </c>
      <c r="BA919" t="s">
        <v>74</v>
      </c>
      <c r="BB919">
        <v>741</v>
      </c>
      <c r="BC919">
        <v>758</v>
      </c>
      <c r="BD919" t="s">
        <v>74</v>
      </c>
      <c r="BE919" t="s">
        <v>74</v>
      </c>
      <c r="BF919" t="s">
        <v>74</v>
      </c>
      <c r="BG919" t="s">
        <v>74</v>
      </c>
      <c r="BH919" t="s">
        <v>74</v>
      </c>
      <c r="BI919">
        <v>18</v>
      </c>
      <c r="BJ919" t="s">
        <v>1346</v>
      </c>
      <c r="BK919" t="s">
        <v>102</v>
      </c>
      <c r="BL919" t="s">
        <v>1348</v>
      </c>
      <c r="BM919" t="s">
        <v>16300</v>
      </c>
      <c r="BN919" t="s">
        <v>74</v>
      </c>
      <c r="BO919" t="s">
        <v>74</v>
      </c>
      <c r="BP919" t="s">
        <v>74</v>
      </c>
      <c r="BQ919" t="s">
        <v>74</v>
      </c>
      <c r="BR919" t="s">
        <v>105</v>
      </c>
      <c r="BS919" t="s">
        <v>16301</v>
      </c>
      <c r="BT919" t="str">
        <f>HYPERLINK("https%3A%2F%2Fwww.webofscience.com%2Fwos%2Fwoscc%2Ffull-record%2FWOS:000285679100013","View Full Record in Web of Science")</f>
        <v>View Full Record in Web of Science</v>
      </c>
    </row>
    <row r="920" spans="1:72" x14ac:dyDescent="0.15">
      <c r="A920" t="s">
        <v>72</v>
      </c>
      <c r="B920" t="s">
        <v>16302</v>
      </c>
      <c r="C920" t="s">
        <v>74</v>
      </c>
      <c r="D920" t="s">
        <v>74</v>
      </c>
      <c r="E920" t="s">
        <v>74</v>
      </c>
      <c r="F920" t="s">
        <v>16303</v>
      </c>
      <c r="G920" t="s">
        <v>74</v>
      </c>
      <c r="H920" t="s">
        <v>74</v>
      </c>
      <c r="I920" t="s">
        <v>16304</v>
      </c>
      <c r="J920" t="s">
        <v>16305</v>
      </c>
      <c r="K920" t="s">
        <v>74</v>
      </c>
      <c r="L920" t="s">
        <v>74</v>
      </c>
      <c r="M920" t="s">
        <v>78</v>
      </c>
      <c r="N920" t="s">
        <v>79</v>
      </c>
      <c r="O920" t="s">
        <v>74</v>
      </c>
      <c r="P920" t="s">
        <v>74</v>
      </c>
      <c r="Q920" t="s">
        <v>74</v>
      </c>
      <c r="R920" t="s">
        <v>74</v>
      </c>
      <c r="S920" t="s">
        <v>74</v>
      </c>
      <c r="T920" t="s">
        <v>16306</v>
      </c>
      <c r="U920" t="s">
        <v>16307</v>
      </c>
      <c r="V920" t="s">
        <v>16308</v>
      </c>
      <c r="W920" t="s">
        <v>16309</v>
      </c>
      <c r="X920" t="s">
        <v>16290</v>
      </c>
      <c r="Y920" t="s">
        <v>16310</v>
      </c>
      <c r="Z920" t="s">
        <v>16311</v>
      </c>
      <c r="AA920" t="s">
        <v>16312</v>
      </c>
      <c r="AB920" t="s">
        <v>16313</v>
      </c>
      <c r="AC920" t="s">
        <v>16314</v>
      </c>
      <c r="AD920" t="s">
        <v>74</v>
      </c>
      <c r="AE920" t="s">
        <v>16315</v>
      </c>
      <c r="AF920" t="s">
        <v>74</v>
      </c>
      <c r="AG920">
        <v>55</v>
      </c>
      <c r="AH920">
        <v>43</v>
      </c>
      <c r="AI920">
        <v>45</v>
      </c>
      <c r="AJ920">
        <v>0</v>
      </c>
      <c r="AK920">
        <v>22</v>
      </c>
      <c r="AL920" t="s">
        <v>16316</v>
      </c>
      <c r="AM920" t="s">
        <v>16317</v>
      </c>
      <c r="AN920" t="s">
        <v>16318</v>
      </c>
      <c r="AO920" t="s">
        <v>16319</v>
      </c>
      <c r="AP920" t="s">
        <v>16320</v>
      </c>
      <c r="AQ920" t="s">
        <v>74</v>
      </c>
      <c r="AR920" t="s">
        <v>16321</v>
      </c>
      <c r="AS920" t="s">
        <v>16322</v>
      </c>
      <c r="AT920" t="s">
        <v>74</v>
      </c>
      <c r="AU920">
        <v>2010</v>
      </c>
      <c r="AV920">
        <v>31</v>
      </c>
      <c r="AW920">
        <v>1</v>
      </c>
      <c r="AX920" t="s">
        <v>74</v>
      </c>
      <c r="AY920" t="s">
        <v>74</v>
      </c>
      <c r="AZ920" t="s">
        <v>74</v>
      </c>
      <c r="BA920" t="s">
        <v>74</v>
      </c>
      <c r="BB920">
        <v>45</v>
      </c>
      <c r="BC920">
        <v>60</v>
      </c>
      <c r="BD920" t="s">
        <v>74</v>
      </c>
      <c r="BE920" t="s">
        <v>16323</v>
      </c>
      <c r="BF920" t="str">
        <f>HYPERLINK("http://dx.doi.org/10.4202/ppres.2010.04","http://dx.doi.org/10.4202/ppres.2010.04")</f>
        <v>http://dx.doi.org/10.4202/ppres.2010.04</v>
      </c>
      <c r="BG920" t="s">
        <v>74</v>
      </c>
      <c r="BH920" t="s">
        <v>74</v>
      </c>
      <c r="BI920">
        <v>16</v>
      </c>
      <c r="BJ920" t="s">
        <v>10421</v>
      </c>
      <c r="BK920" t="s">
        <v>102</v>
      </c>
      <c r="BL920" t="s">
        <v>821</v>
      </c>
      <c r="BM920" t="s">
        <v>16324</v>
      </c>
      <c r="BN920" t="s">
        <v>74</v>
      </c>
      <c r="BO920" t="s">
        <v>8695</v>
      </c>
      <c r="BP920" t="s">
        <v>74</v>
      </c>
      <c r="BQ920" t="s">
        <v>74</v>
      </c>
      <c r="BR920" t="s">
        <v>105</v>
      </c>
      <c r="BS920" t="s">
        <v>16325</v>
      </c>
      <c r="BT920" t="str">
        <f>HYPERLINK("https%3A%2F%2Fwww.webofscience.com%2Fwos%2Fwoscc%2Ffull-record%2FWOS:000276314300004","View Full Record in Web of Science")</f>
        <v>View Full Record in Web of Science</v>
      </c>
    </row>
    <row r="921" spans="1:72" x14ac:dyDescent="0.15">
      <c r="A921" t="s">
        <v>72</v>
      </c>
      <c r="B921" t="s">
        <v>16326</v>
      </c>
      <c r="C921" t="s">
        <v>74</v>
      </c>
      <c r="D921" t="s">
        <v>74</v>
      </c>
      <c r="E921" t="s">
        <v>74</v>
      </c>
      <c r="F921" t="s">
        <v>16327</v>
      </c>
      <c r="G921" t="s">
        <v>74</v>
      </c>
      <c r="H921" t="s">
        <v>74</v>
      </c>
      <c r="I921" t="s">
        <v>16328</v>
      </c>
      <c r="J921" t="s">
        <v>16305</v>
      </c>
      <c r="K921" t="s">
        <v>74</v>
      </c>
      <c r="L921" t="s">
        <v>74</v>
      </c>
      <c r="M921" t="s">
        <v>78</v>
      </c>
      <c r="N921" t="s">
        <v>79</v>
      </c>
      <c r="O921" t="s">
        <v>74</v>
      </c>
      <c r="P921" t="s">
        <v>74</v>
      </c>
      <c r="Q921" t="s">
        <v>74</v>
      </c>
      <c r="R921" t="s">
        <v>74</v>
      </c>
      <c r="S921" t="s">
        <v>74</v>
      </c>
      <c r="T921" t="s">
        <v>16329</v>
      </c>
      <c r="U921" t="s">
        <v>16330</v>
      </c>
      <c r="V921" t="s">
        <v>16331</v>
      </c>
      <c r="W921" t="s">
        <v>16332</v>
      </c>
      <c r="X921" t="s">
        <v>16333</v>
      </c>
      <c r="Y921" t="s">
        <v>16334</v>
      </c>
      <c r="Z921" t="s">
        <v>16335</v>
      </c>
      <c r="AA921" t="s">
        <v>7284</v>
      </c>
      <c r="AB921" t="s">
        <v>7285</v>
      </c>
      <c r="AC921" t="s">
        <v>74</v>
      </c>
      <c r="AD921" t="s">
        <v>74</v>
      </c>
      <c r="AE921" t="s">
        <v>74</v>
      </c>
      <c r="AF921" t="s">
        <v>74</v>
      </c>
      <c r="AG921">
        <v>102</v>
      </c>
      <c r="AH921">
        <v>20</v>
      </c>
      <c r="AI921">
        <v>22</v>
      </c>
      <c r="AJ921">
        <v>0</v>
      </c>
      <c r="AK921">
        <v>4</v>
      </c>
      <c r="AL921" t="s">
        <v>16316</v>
      </c>
      <c r="AM921" t="s">
        <v>16317</v>
      </c>
      <c r="AN921" t="s">
        <v>16318</v>
      </c>
      <c r="AO921" t="s">
        <v>16319</v>
      </c>
      <c r="AP921" t="s">
        <v>16320</v>
      </c>
      <c r="AQ921" t="s">
        <v>74</v>
      </c>
      <c r="AR921" t="s">
        <v>16321</v>
      </c>
      <c r="AS921" t="s">
        <v>16322</v>
      </c>
      <c r="AT921" t="s">
        <v>74</v>
      </c>
      <c r="AU921">
        <v>2010</v>
      </c>
      <c r="AV921">
        <v>31</v>
      </c>
      <c r="AW921">
        <v>1</v>
      </c>
      <c r="AX921" t="s">
        <v>74</v>
      </c>
      <c r="AY921" t="s">
        <v>74</v>
      </c>
      <c r="AZ921" t="s">
        <v>74</v>
      </c>
      <c r="BA921" t="s">
        <v>74</v>
      </c>
      <c r="BB921">
        <v>61</v>
      </c>
      <c r="BC921">
        <v>82</v>
      </c>
      <c r="BD921" t="s">
        <v>74</v>
      </c>
      <c r="BE921" t="s">
        <v>16336</v>
      </c>
      <c r="BF921" t="str">
        <f>HYPERLINK("http://dx.doi.org/10.4202/ppres.2010.05","http://dx.doi.org/10.4202/ppres.2010.05")</f>
        <v>http://dx.doi.org/10.4202/ppres.2010.05</v>
      </c>
      <c r="BG921" t="s">
        <v>74</v>
      </c>
      <c r="BH921" t="s">
        <v>74</v>
      </c>
      <c r="BI921">
        <v>22</v>
      </c>
      <c r="BJ921" t="s">
        <v>10421</v>
      </c>
      <c r="BK921" t="s">
        <v>102</v>
      </c>
      <c r="BL921" t="s">
        <v>821</v>
      </c>
      <c r="BM921" t="s">
        <v>16324</v>
      </c>
      <c r="BN921" t="s">
        <v>74</v>
      </c>
      <c r="BO921" t="s">
        <v>5253</v>
      </c>
      <c r="BP921" t="s">
        <v>74</v>
      </c>
      <c r="BQ921" t="s">
        <v>74</v>
      </c>
      <c r="BR921" t="s">
        <v>105</v>
      </c>
      <c r="BS921" t="s">
        <v>16337</v>
      </c>
      <c r="BT921" t="str">
        <f>HYPERLINK("https%3A%2F%2Fwww.webofscience.com%2Fwos%2Fwoscc%2Ffull-record%2FWOS:000276314300005","View Full Record in Web of Science")</f>
        <v>View Full Record in Web of Science</v>
      </c>
    </row>
    <row r="922" spans="1:72" x14ac:dyDescent="0.15">
      <c r="A922" t="s">
        <v>72</v>
      </c>
      <c r="B922" t="s">
        <v>16338</v>
      </c>
      <c r="C922" t="s">
        <v>74</v>
      </c>
      <c r="D922" t="s">
        <v>74</v>
      </c>
      <c r="E922" t="s">
        <v>74</v>
      </c>
      <c r="F922" t="s">
        <v>16339</v>
      </c>
      <c r="G922" t="s">
        <v>74</v>
      </c>
      <c r="H922" t="s">
        <v>74</v>
      </c>
      <c r="I922" t="s">
        <v>16340</v>
      </c>
      <c r="J922" t="s">
        <v>16305</v>
      </c>
      <c r="K922" t="s">
        <v>74</v>
      </c>
      <c r="L922" t="s">
        <v>74</v>
      </c>
      <c r="M922" t="s">
        <v>78</v>
      </c>
      <c r="N922" t="s">
        <v>79</v>
      </c>
      <c r="O922" t="s">
        <v>74</v>
      </c>
      <c r="P922" t="s">
        <v>74</v>
      </c>
      <c r="Q922" t="s">
        <v>74</v>
      </c>
      <c r="R922" t="s">
        <v>74</v>
      </c>
      <c r="S922" t="s">
        <v>74</v>
      </c>
      <c r="T922" t="s">
        <v>16341</v>
      </c>
      <c r="U922" t="s">
        <v>16342</v>
      </c>
      <c r="V922" t="s">
        <v>16343</v>
      </c>
      <c r="W922" t="s">
        <v>16344</v>
      </c>
      <c r="X922" t="s">
        <v>16345</v>
      </c>
      <c r="Y922" t="s">
        <v>16346</v>
      </c>
      <c r="Z922" t="s">
        <v>16347</v>
      </c>
      <c r="AA922" t="s">
        <v>16348</v>
      </c>
      <c r="AB922" t="s">
        <v>16349</v>
      </c>
      <c r="AC922" t="s">
        <v>16350</v>
      </c>
      <c r="AD922" t="s">
        <v>16351</v>
      </c>
      <c r="AE922" t="s">
        <v>16352</v>
      </c>
      <c r="AF922" t="s">
        <v>74</v>
      </c>
      <c r="AG922">
        <v>71</v>
      </c>
      <c r="AH922">
        <v>22</v>
      </c>
      <c r="AI922">
        <v>23</v>
      </c>
      <c r="AJ922">
        <v>0</v>
      </c>
      <c r="AK922">
        <v>4</v>
      </c>
      <c r="AL922" t="s">
        <v>16316</v>
      </c>
      <c r="AM922" t="s">
        <v>16317</v>
      </c>
      <c r="AN922" t="s">
        <v>16318</v>
      </c>
      <c r="AO922" t="s">
        <v>16319</v>
      </c>
      <c r="AP922" t="s">
        <v>16320</v>
      </c>
      <c r="AQ922" t="s">
        <v>74</v>
      </c>
      <c r="AR922" t="s">
        <v>16321</v>
      </c>
      <c r="AS922" t="s">
        <v>16322</v>
      </c>
      <c r="AT922" t="s">
        <v>74</v>
      </c>
      <c r="AU922">
        <v>2010</v>
      </c>
      <c r="AV922">
        <v>31</v>
      </c>
      <c r="AW922">
        <v>1</v>
      </c>
      <c r="AX922" t="s">
        <v>74</v>
      </c>
      <c r="AY922" t="s">
        <v>74</v>
      </c>
      <c r="AZ922" t="s">
        <v>74</v>
      </c>
      <c r="BA922" t="s">
        <v>74</v>
      </c>
      <c r="BB922">
        <v>83</v>
      </c>
      <c r="BC922">
        <v>99</v>
      </c>
      <c r="BD922" t="s">
        <v>74</v>
      </c>
      <c r="BE922" t="s">
        <v>16353</v>
      </c>
      <c r="BF922" t="str">
        <f>HYPERLINK("http://dx.doi.org/10.4202/ppres.2010.06","http://dx.doi.org/10.4202/ppres.2010.06")</f>
        <v>http://dx.doi.org/10.4202/ppres.2010.06</v>
      </c>
      <c r="BG922" t="s">
        <v>74</v>
      </c>
      <c r="BH922" t="s">
        <v>74</v>
      </c>
      <c r="BI922">
        <v>17</v>
      </c>
      <c r="BJ922" t="s">
        <v>10421</v>
      </c>
      <c r="BK922" t="s">
        <v>102</v>
      </c>
      <c r="BL922" t="s">
        <v>821</v>
      </c>
      <c r="BM922" t="s">
        <v>16324</v>
      </c>
      <c r="BN922" t="s">
        <v>74</v>
      </c>
      <c r="BO922" t="s">
        <v>5253</v>
      </c>
      <c r="BP922" t="s">
        <v>74</v>
      </c>
      <c r="BQ922" t="s">
        <v>74</v>
      </c>
      <c r="BR922" t="s">
        <v>105</v>
      </c>
      <c r="BS922" t="s">
        <v>16354</v>
      </c>
      <c r="BT922" t="str">
        <f>HYPERLINK("https%3A%2F%2Fwww.webofscience.com%2Fwos%2Fwoscc%2Ffull-record%2FWOS:000276314300006","View Full Record in Web of Science")</f>
        <v>View Full Record in Web of Science</v>
      </c>
    </row>
    <row r="923" spans="1:72" x14ac:dyDescent="0.15">
      <c r="A923" t="s">
        <v>72</v>
      </c>
      <c r="B923" t="s">
        <v>16355</v>
      </c>
      <c r="C923" t="s">
        <v>74</v>
      </c>
      <c r="D923" t="s">
        <v>74</v>
      </c>
      <c r="E923" t="s">
        <v>74</v>
      </c>
      <c r="F923" t="s">
        <v>16356</v>
      </c>
      <c r="G923" t="s">
        <v>74</v>
      </c>
      <c r="H923" t="s">
        <v>74</v>
      </c>
      <c r="I923" t="s">
        <v>16357</v>
      </c>
      <c r="J923" t="s">
        <v>16305</v>
      </c>
      <c r="K923" t="s">
        <v>74</v>
      </c>
      <c r="L923" t="s">
        <v>74</v>
      </c>
      <c r="M923" t="s">
        <v>78</v>
      </c>
      <c r="N923" t="s">
        <v>79</v>
      </c>
      <c r="O923" t="s">
        <v>74</v>
      </c>
      <c r="P923" t="s">
        <v>74</v>
      </c>
      <c r="Q923" t="s">
        <v>74</v>
      </c>
      <c r="R923" t="s">
        <v>74</v>
      </c>
      <c r="S923" t="s">
        <v>74</v>
      </c>
      <c r="T923" t="s">
        <v>16358</v>
      </c>
      <c r="U923" t="s">
        <v>16359</v>
      </c>
      <c r="V923" t="s">
        <v>16360</v>
      </c>
      <c r="W923" t="s">
        <v>16361</v>
      </c>
      <c r="X923" t="s">
        <v>16362</v>
      </c>
      <c r="Y923" t="s">
        <v>16363</v>
      </c>
      <c r="Z923" t="s">
        <v>16364</v>
      </c>
      <c r="AA923" t="s">
        <v>74</v>
      </c>
      <c r="AB923" t="s">
        <v>74</v>
      </c>
      <c r="AC923" t="s">
        <v>16365</v>
      </c>
      <c r="AD923" t="s">
        <v>16366</v>
      </c>
      <c r="AE923" t="s">
        <v>16367</v>
      </c>
      <c r="AF923" t="s">
        <v>74</v>
      </c>
      <c r="AG923">
        <v>62</v>
      </c>
      <c r="AH923">
        <v>14</v>
      </c>
      <c r="AI923">
        <v>16</v>
      </c>
      <c r="AJ923">
        <v>0</v>
      </c>
      <c r="AK923">
        <v>18</v>
      </c>
      <c r="AL923" t="s">
        <v>16368</v>
      </c>
      <c r="AM923" t="s">
        <v>16369</v>
      </c>
      <c r="AN923" t="s">
        <v>16370</v>
      </c>
      <c r="AO923" t="s">
        <v>16319</v>
      </c>
      <c r="AP923" t="s">
        <v>74</v>
      </c>
      <c r="AQ923" t="s">
        <v>74</v>
      </c>
      <c r="AR923" t="s">
        <v>16321</v>
      </c>
      <c r="AS923" t="s">
        <v>16322</v>
      </c>
      <c r="AT923" t="s">
        <v>74</v>
      </c>
      <c r="AU923">
        <v>2010</v>
      </c>
      <c r="AV923">
        <v>31</v>
      </c>
      <c r="AW923">
        <v>3</v>
      </c>
      <c r="AX923" t="s">
        <v>74</v>
      </c>
      <c r="AY923" t="s">
        <v>74</v>
      </c>
      <c r="AZ923" t="s">
        <v>74</v>
      </c>
      <c r="BA923" t="s">
        <v>74</v>
      </c>
      <c r="BB923">
        <v>255</v>
      </c>
      <c r="BC923">
        <v>272</v>
      </c>
      <c r="BD923" t="s">
        <v>74</v>
      </c>
      <c r="BE923" t="s">
        <v>16371</v>
      </c>
      <c r="BF923" t="str">
        <f>HYPERLINK("http://dx.doi.org/10.2478/v10183-010-0004-2","http://dx.doi.org/10.2478/v10183-010-0004-2")</f>
        <v>http://dx.doi.org/10.2478/v10183-010-0004-2</v>
      </c>
      <c r="BG923" t="s">
        <v>74</v>
      </c>
      <c r="BH923" t="s">
        <v>74</v>
      </c>
      <c r="BI923">
        <v>18</v>
      </c>
      <c r="BJ923" t="s">
        <v>10421</v>
      </c>
      <c r="BK923" t="s">
        <v>102</v>
      </c>
      <c r="BL923" t="s">
        <v>821</v>
      </c>
      <c r="BM923" t="s">
        <v>16372</v>
      </c>
      <c r="BN923" t="s">
        <v>74</v>
      </c>
      <c r="BO923" t="s">
        <v>555</v>
      </c>
      <c r="BP923" t="s">
        <v>74</v>
      </c>
      <c r="BQ923" t="s">
        <v>74</v>
      </c>
      <c r="BR923" t="s">
        <v>105</v>
      </c>
      <c r="BS923" t="s">
        <v>16373</v>
      </c>
      <c r="BT923" t="str">
        <f>HYPERLINK("https%3A%2F%2Fwww.webofscience.com%2Fwos%2Fwoscc%2Ffull-record%2FWOS:000282843500004","View Full Record in Web of Science")</f>
        <v>View Full Record in Web of Science</v>
      </c>
    </row>
    <row r="924" spans="1:72" x14ac:dyDescent="0.15">
      <c r="A924" t="s">
        <v>72</v>
      </c>
      <c r="B924" t="s">
        <v>16374</v>
      </c>
      <c r="C924" t="s">
        <v>74</v>
      </c>
      <c r="D924" t="s">
        <v>74</v>
      </c>
      <c r="E924" t="s">
        <v>74</v>
      </c>
      <c r="F924" t="s">
        <v>16375</v>
      </c>
      <c r="G924" t="s">
        <v>74</v>
      </c>
      <c r="H924" t="s">
        <v>74</v>
      </c>
      <c r="I924" t="s">
        <v>16376</v>
      </c>
      <c r="J924" t="s">
        <v>16305</v>
      </c>
      <c r="K924" t="s">
        <v>74</v>
      </c>
      <c r="L924" t="s">
        <v>74</v>
      </c>
      <c r="M924" t="s">
        <v>78</v>
      </c>
      <c r="N924" t="s">
        <v>79</v>
      </c>
      <c r="O924" t="s">
        <v>74</v>
      </c>
      <c r="P924" t="s">
        <v>74</v>
      </c>
      <c r="Q924" t="s">
        <v>74</v>
      </c>
      <c r="R924" t="s">
        <v>74</v>
      </c>
      <c r="S924" t="s">
        <v>74</v>
      </c>
      <c r="T924" t="s">
        <v>16377</v>
      </c>
      <c r="U924" t="s">
        <v>16378</v>
      </c>
      <c r="V924" t="s">
        <v>16379</v>
      </c>
      <c r="W924" t="s">
        <v>16380</v>
      </c>
      <c r="X924" t="s">
        <v>16290</v>
      </c>
      <c r="Y924" t="s">
        <v>16381</v>
      </c>
      <c r="Z924" t="s">
        <v>16382</v>
      </c>
      <c r="AA924" t="s">
        <v>74</v>
      </c>
      <c r="AB924" t="s">
        <v>16383</v>
      </c>
      <c r="AC924" t="s">
        <v>74</v>
      </c>
      <c r="AD924" t="s">
        <v>74</v>
      </c>
      <c r="AE924" t="s">
        <v>74</v>
      </c>
      <c r="AF924" t="s">
        <v>74</v>
      </c>
      <c r="AG924">
        <v>39</v>
      </c>
      <c r="AH924">
        <v>21</v>
      </c>
      <c r="AI924">
        <v>22</v>
      </c>
      <c r="AJ924">
        <v>1</v>
      </c>
      <c r="AK924">
        <v>57</v>
      </c>
      <c r="AL924" t="s">
        <v>16368</v>
      </c>
      <c r="AM924" t="s">
        <v>16369</v>
      </c>
      <c r="AN924" t="s">
        <v>16370</v>
      </c>
      <c r="AO924" t="s">
        <v>16319</v>
      </c>
      <c r="AP924" t="s">
        <v>74</v>
      </c>
      <c r="AQ924" t="s">
        <v>74</v>
      </c>
      <c r="AR924" t="s">
        <v>16321</v>
      </c>
      <c r="AS924" t="s">
        <v>16322</v>
      </c>
      <c r="AT924" t="s">
        <v>74</v>
      </c>
      <c r="AU924">
        <v>2010</v>
      </c>
      <c r="AV924">
        <v>31</v>
      </c>
      <c r="AW924">
        <v>3</v>
      </c>
      <c r="AX924" t="s">
        <v>74</v>
      </c>
      <c r="AY924" t="s">
        <v>74</v>
      </c>
      <c r="AZ924" t="s">
        <v>74</v>
      </c>
      <c r="BA924" t="s">
        <v>74</v>
      </c>
      <c r="BB924">
        <v>273</v>
      </c>
      <c r="BC924">
        <v>284</v>
      </c>
      <c r="BD924" t="s">
        <v>74</v>
      </c>
      <c r="BE924" t="s">
        <v>16384</v>
      </c>
      <c r="BF924" t="str">
        <f>HYPERLINK("http://dx.doi.org/10.2478/v10183-010-0003-3","http://dx.doi.org/10.2478/v10183-010-0003-3")</f>
        <v>http://dx.doi.org/10.2478/v10183-010-0003-3</v>
      </c>
      <c r="BG924" t="s">
        <v>74</v>
      </c>
      <c r="BH924" t="s">
        <v>74</v>
      </c>
      <c r="BI924">
        <v>12</v>
      </c>
      <c r="BJ924" t="s">
        <v>10421</v>
      </c>
      <c r="BK924" t="s">
        <v>102</v>
      </c>
      <c r="BL924" t="s">
        <v>821</v>
      </c>
      <c r="BM924" t="s">
        <v>16372</v>
      </c>
      <c r="BN924" t="s">
        <v>74</v>
      </c>
      <c r="BO924" t="s">
        <v>555</v>
      </c>
      <c r="BP924" t="s">
        <v>74</v>
      </c>
      <c r="BQ924" t="s">
        <v>74</v>
      </c>
      <c r="BR924" t="s">
        <v>105</v>
      </c>
      <c r="BS924" t="s">
        <v>16385</v>
      </c>
      <c r="BT924" t="str">
        <f>HYPERLINK("https%3A%2F%2Fwww.webofscience.com%2Fwos%2Fwoscc%2Ffull-record%2FWOS:000282843500005","View Full Record in Web of Science")</f>
        <v>View Full Record in Web of Science</v>
      </c>
    </row>
    <row r="925" spans="1:72" x14ac:dyDescent="0.15">
      <c r="A925" t="s">
        <v>72</v>
      </c>
      <c r="B925" t="s">
        <v>16386</v>
      </c>
      <c r="C925" t="s">
        <v>74</v>
      </c>
      <c r="D925" t="s">
        <v>74</v>
      </c>
      <c r="E925" t="s">
        <v>74</v>
      </c>
      <c r="F925" t="s">
        <v>16387</v>
      </c>
      <c r="G925" t="s">
        <v>74</v>
      </c>
      <c r="H925" t="s">
        <v>74</v>
      </c>
      <c r="I925" t="s">
        <v>16388</v>
      </c>
      <c r="J925" t="s">
        <v>16305</v>
      </c>
      <c r="K925" t="s">
        <v>74</v>
      </c>
      <c r="L925" t="s">
        <v>74</v>
      </c>
      <c r="M925" t="s">
        <v>78</v>
      </c>
      <c r="N925" t="s">
        <v>79</v>
      </c>
      <c r="O925" t="s">
        <v>74</v>
      </c>
      <c r="P925" t="s">
        <v>74</v>
      </c>
      <c r="Q925" t="s">
        <v>74</v>
      </c>
      <c r="R925" t="s">
        <v>74</v>
      </c>
      <c r="S925" t="s">
        <v>74</v>
      </c>
      <c r="T925" t="s">
        <v>16389</v>
      </c>
      <c r="U925" t="s">
        <v>16390</v>
      </c>
      <c r="V925" t="s">
        <v>16391</v>
      </c>
      <c r="W925" t="s">
        <v>16392</v>
      </c>
      <c r="X925" t="s">
        <v>16393</v>
      </c>
      <c r="Y925" t="s">
        <v>16394</v>
      </c>
      <c r="Z925" t="s">
        <v>74</v>
      </c>
      <c r="AA925" t="s">
        <v>16395</v>
      </c>
      <c r="AB925" t="s">
        <v>16396</v>
      </c>
      <c r="AC925" t="s">
        <v>16397</v>
      </c>
      <c r="AD925" t="s">
        <v>16398</v>
      </c>
      <c r="AE925" t="s">
        <v>16399</v>
      </c>
      <c r="AF925" t="s">
        <v>74</v>
      </c>
      <c r="AG925">
        <v>31</v>
      </c>
      <c r="AH925">
        <v>12</v>
      </c>
      <c r="AI925">
        <v>14</v>
      </c>
      <c r="AJ925">
        <v>0</v>
      </c>
      <c r="AK925">
        <v>7</v>
      </c>
      <c r="AL925" t="s">
        <v>16368</v>
      </c>
      <c r="AM925" t="s">
        <v>16369</v>
      </c>
      <c r="AN925" t="s">
        <v>16370</v>
      </c>
      <c r="AO925" t="s">
        <v>16319</v>
      </c>
      <c r="AP925" t="s">
        <v>74</v>
      </c>
      <c r="AQ925" t="s">
        <v>74</v>
      </c>
      <c r="AR925" t="s">
        <v>16321</v>
      </c>
      <c r="AS925" t="s">
        <v>16322</v>
      </c>
      <c r="AT925" t="s">
        <v>74</v>
      </c>
      <c r="AU925">
        <v>2010</v>
      </c>
      <c r="AV925">
        <v>31</v>
      </c>
      <c r="AW925">
        <v>4</v>
      </c>
      <c r="AX925" t="s">
        <v>74</v>
      </c>
      <c r="AY925" t="s">
        <v>74</v>
      </c>
      <c r="AZ925" t="s">
        <v>74</v>
      </c>
      <c r="BA925" t="s">
        <v>74</v>
      </c>
      <c r="BB925">
        <v>291</v>
      </c>
      <c r="BC925">
        <v>302</v>
      </c>
      <c r="BD925" t="s">
        <v>74</v>
      </c>
      <c r="BE925" t="s">
        <v>16400</v>
      </c>
      <c r="BF925" t="str">
        <f>HYPERLINK("http://dx.doi.org/10.2478/v10183.010.0006.0","http://dx.doi.org/10.2478/v10183.010.0006.0")</f>
        <v>http://dx.doi.org/10.2478/v10183.010.0006.0</v>
      </c>
      <c r="BG925" t="s">
        <v>74</v>
      </c>
      <c r="BH925" t="s">
        <v>74</v>
      </c>
      <c r="BI925">
        <v>12</v>
      </c>
      <c r="BJ925" t="s">
        <v>10421</v>
      </c>
      <c r="BK925" t="s">
        <v>102</v>
      </c>
      <c r="BL925" t="s">
        <v>821</v>
      </c>
      <c r="BM925" t="s">
        <v>16401</v>
      </c>
      <c r="BN925" t="s">
        <v>74</v>
      </c>
      <c r="BO925" t="s">
        <v>74</v>
      </c>
      <c r="BP925" t="s">
        <v>74</v>
      </c>
      <c r="BQ925" t="s">
        <v>74</v>
      </c>
      <c r="BR925" t="s">
        <v>105</v>
      </c>
      <c r="BS925" t="s">
        <v>16402</v>
      </c>
      <c r="BT925" t="str">
        <f>HYPERLINK("https%3A%2F%2Fwww.webofscience.com%2Fwos%2Fwoscc%2Ffull-record%2FWOS:000285812600001","View Full Record in Web of Science")</f>
        <v>View Full Record in Web of Science</v>
      </c>
    </row>
    <row r="926" spans="1:72" x14ac:dyDescent="0.15">
      <c r="A926" t="s">
        <v>72</v>
      </c>
      <c r="B926" t="s">
        <v>16403</v>
      </c>
      <c r="C926" t="s">
        <v>74</v>
      </c>
      <c r="D926" t="s">
        <v>74</v>
      </c>
      <c r="E926" t="s">
        <v>74</v>
      </c>
      <c r="F926" t="s">
        <v>16404</v>
      </c>
      <c r="G926" t="s">
        <v>74</v>
      </c>
      <c r="H926" t="s">
        <v>74</v>
      </c>
      <c r="I926" t="s">
        <v>16405</v>
      </c>
      <c r="J926" t="s">
        <v>16305</v>
      </c>
      <c r="K926" t="s">
        <v>74</v>
      </c>
      <c r="L926" t="s">
        <v>74</v>
      </c>
      <c r="M926" t="s">
        <v>78</v>
      </c>
      <c r="N926" t="s">
        <v>79</v>
      </c>
      <c r="O926" t="s">
        <v>74</v>
      </c>
      <c r="P926" t="s">
        <v>74</v>
      </c>
      <c r="Q926" t="s">
        <v>74</v>
      </c>
      <c r="R926" t="s">
        <v>74</v>
      </c>
      <c r="S926" t="s">
        <v>74</v>
      </c>
      <c r="T926" t="s">
        <v>16406</v>
      </c>
      <c r="U926" t="s">
        <v>74</v>
      </c>
      <c r="V926" t="s">
        <v>16407</v>
      </c>
      <c r="W926" t="s">
        <v>16408</v>
      </c>
      <c r="X926" t="s">
        <v>16409</v>
      </c>
      <c r="Y926" t="s">
        <v>16410</v>
      </c>
      <c r="Z926" t="s">
        <v>74</v>
      </c>
      <c r="AA926" t="s">
        <v>16411</v>
      </c>
      <c r="AB926" t="s">
        <v>16412</v>
      </c>
      <c r="AC926" t="s">
        <v>74</v>
      </c>
      <c r="AD926" t="s">
        <v>74</v>
      </c>
      <c r="AE926" t="s">
        <v>74</v>
      </c>
      <c r="AF926" t="s">
        <v>74</v>
      </c>
      <c r="AG926">
        <v>8</v>
      </c>
      <c r="AH926">
        <v>3</v>
      </c>
      <c r="AI926">
        <v>4</v>
      </c>
      <c r="AJ926">
        <v>0</v>
      </c>
      <c r="AK926">
        <v>6</v>
      </c>
      <c r="AL926" t="s">
        <v>16316</v>
      </c>
      <c r="AM926" t="s">
        <v>16317</v>
      </c>
      <c r="AN926" t="s">
        <v>16318</v>
      </c>
      <c r="AO926" t="s">
        <v>16319</v>
      </c>
      <c r="AP926" t="s">
        <v>16320</v>
      </c>
      <c r="AQ926" t="s">
        <v>74</v>
      </c>
      <c r="AR926" t="s">
        <v>16321</v>
      </c>
      <c r="AS926" t="s">
        <v>16322</v>
      </c>
      <c r="AT926" t="s">
        <v>74</v>
      </c>
      <c r="AU926">
        <v>2010</v>
      </c>
      <c r="AV926">
        <v>31</v>
      </c>
      <c r="AW926">
        <v>4</v>
      </c>
      <c r="AX926" t="s">
        <v>74</v>
      </c>
      <c r="AY926" t="s">
        <v>74</v>
      </c>
      <c r="AZ926" t="s">
        <v>74</v>
      </c>
      <c r="BA926" t="s">
        <v>74</v>
      </c>
      <c r="BB926">
        <v>303</v>
      </c>
      <c r="BC926">
        <v>308</v>
      </c>
      <c r="BD926" t="s">
        <v>74</v>
      </c>
      <c r="BE926" t="s">
        <v>16413</v>
      </c>
      <c r="BF926" t="str">
        <f>HYPERLINK("http://dx.doi.org/10.2478/v10183-010-0007-z","http://dx.doi.org/10.2478/v10183-010-0007-z")</f>
        <v>http://dx.doi.org/10.2478/v10183-010-0007-z</v>
      </c>
      <c r="BG926" t="s">
        <v>74</v>
      </c>
      <c r="BH926" t="s">
        <v>74</v>
      </c>
      <c r="BI926">
        <v>6</v>
      </c>
      <c r="BJ926" t="s">
        <v>10421</v>
      </c>
      <c r="BK926" t="s">
        <v>102</v>
      </c>
      <c r="BL926" t="s">
        <v>821</v>
      </c>
      <c r="BM926" t="s">
        <v>16401</v>
      </c>
      <c r="BN926" t="s">
        <v>74</v>
      </c>
      <c r="BO926" t="s">
        <v>74</v>
      </c>
      <c r="BP926" t="s">
        <v>74</v>
      </c>
      <c r="BQ926" t="s">
        <v>74</v>
      </c>
      <c r="BR926" t="s">
        <v>105</v>
      </c>
      <c r="BS926" t="s">
        <v>16414</v>
      </c>
      <c r="BT926" t="str">
        <f>HYPERLINK("https%3A%2F%2Fwww.webofscience.com%2Fwos%2Fwoscc%2Ffull-record%2FWOS:000285812600002","View Full Record in Web of Science")</f>
        <v>View Full Record in Web of Science</v>
      </c>
    </row>
    <row r="927" spans="1:72" x14ac:dyDescent="0.15">
      <c r="A927" t="s">
        <v>8257</v>
      </c>
      <c r="B927" t="s">
        <v>16415</v>
      </c>
      <c r="C927" t="s">
        <v>74</v>
      </c>
      <c r="D927" t="s">
        <v>16416</v>
      </c>
      <c r="E927" t="s">
        <v>74</v>
      </c>
      <c r="F927" t="s">
        <v>16417</v>
      </c>
      <c r="G927" t="s">
        <v>74</v>
      </c>
      <c r="H927" t="s">
        <v>74</v>
      </c>
      <c r="I927" t="s">
        <v>16418</v>
      </c>
      <c r="J927" t="s">
        <v>16419</v>
      </c>
      <c r="K927" t="s">
        <v>74</v>
      </c>
      <c r="L927" t="s">
        <v>74</v>
      </c>
      <c r="M927" t="s">
        <v>78</v>
      </c>
      <c r="N927" t="s">
        <v>8264</v>
      </c>
      <c r="O927" t="s">
        <v>16420</v>
      </c>
      <c r="P927" t="s">
        <v>16421</v>
      </c>
      <c r="Q927" t="s">
        <v>16422</v>
      </c>
      <c r="R927" t="s">
        <v>74</v>
      </c>
      <c r="S927" t="s">
        <v>74</v>
      </c>
      <c r="T927" t="s">
        <v>16423</v>
      </c>
      <c r="U927" t="s">
        <v>74</v>
      </c>
      <c r="V927" t="s">
        <v>16424</v>
      </c>
      <c r="W927" t="s">
        <v>16425</v>
      </c>
      <c r="X927" t="s">
        <v>16426</v>
      </c>
      <c r="Y927" t="s">
        <v>16427</v>
      </c>
      <c r="Z927" t="s">
        <v>16428</v>
      </c>
      <c r="AA927" t="s">
        <v>16429</v>
      </c>
      <c r="AB927" t="s">
        <v>16430</v>
      </c>
      <c r="AC927" t="s">
        <v>74</v>
      </c>
      <c r="AD927" t="s">
        <v>74</v>
      </c>
      <c r="AE927" t="s">
        <v>74</v>
      </c>
      <c r="AF927" t="s">
        <v>74</v>
      </c>
      <c r="AG927">
        <v>16</v>
      </c>
      <c r="AH927">
        <v>0</v>
      </c>
      <c r="AI927">
        <v>0</v>
      </c>
      <c r="AJ927">
        <v>0</v>
      </c>
      <c r="AK927">
        <v>2</v>
      </c>
      <c r="AL927" t="s">
        <v>16431</v>
      </c>
      <c r="AM927" t="s">
        <v>16432</v>
      </c>
      <c r="AN927" t="s">
        <v>16433</v>
      </c>
      <c r="AO927" t="s">
        <v>74</v>
      </c>
      <c r="AP927" t="s">
        <v>74</v>
      </c>
      <c r="AQ927" t="s">
        <v>16434</v>
      </c>
      <c r="AR927" t="s">
        <v>74</v>
      </c>
      <c r="AS927" t="s">
        <v>74</v>
      </c>
      <c r="AT927" t="s">
        <v>74</v>
      </c>
      <c r="AU927">
        <v>2010</v>
      </c>
      <c r="AV927" t="s">
        <v>74</v>
      </c>
      <c r="AW927" t="s">
        <v>74</v>
      </c>
      <c r="AX927" t="s">
        <v>74</v>
      </c>
      <c r="AY927" t="s">
        <v>74</v>
      </c>
      <c r="AZ927" t="s">
        <v>74</v>
      </c>
      <c r="BA927" t="s">
        <v>74</v>
      </c>
      <c r="BB927">
        <v>156</v>
      </c>
      <c r="BC927">
        <v>160</v>
      </c>
      <c r="BD927" t="s">
        <v>74</v>
      </c>
      <c r="BE927" t="s">
        <v>74</v>
      </c>
      <c r="BF927" t="s">
        <v>74</v>
      </c>
      <c r="BG927" t="s">
        <v>74</v>
      </c>
      <c r="BH927" t="s">
        <v>74</v>
      </c>
      <c r="BI927">
        <v>5</v>
      </c>
      <c r="BJ927" t="s">
        <v>16435</v>
      </c>
      <c r="BK927" t="s">
        <v>8281</v>
      </c>
      <c r="BL927" t="s">
        <v>16436</v>
      </c>
      <c r="BM927" t="s">
        <v>16437</v>
      </c>
      <c r="BN927" t="s">
        <v>74</v>
      </c>
      <c r="BO927" t="s">
        <v>74</v>
      </c>
      <c r="BP927" t="s">
        <v>74</v>
      </c>
      <c r="BQ927" t="s">
        <v>74</v>
      </c>
      <c r="BR927" t="s">
        <v>105</v>
      </c>
      <c r="BS927" t="s">
        <v>16438</v>
      </c>
      <c r="BT927" t="str">
        <f>HYPERLINK("https%3A%2F%2Fwww.webofscience.com%2Fwos%2Fwoscc%2Ffull-record%2FWOS:000279588900028","View Full Record in Web of Science")</f>
        <v>View Full Record in Web of Science</v>
      </c>
    </row>
    <row r="928" spans="1:72" x14ac:dyDescent="0.15">
      <c r="A928" t="s">
        <v>8257</v>
      </c>
      <c r="B928" t="s">
        <v>16439</v>
      </c>
      <c r="C928" t="s">
        <v>74</v>
      </c>
      <c r="D928" t="s">
        <v>16440</v>
      </c>
      <c r="E928" t="s">
        <v>74</v>
      </c>
      <c r="F928" t="s">
        <v>16441</v>
      </c>
      <c r="G928" t="s">
        <v>74</v>
      </c>
      <c r="H928" t="s">
        <v>74</v>
      </c>
      <c r="I928" t="s">
        <v>16442</v>
      </c>
      <c r="J928" t="s">
        <v>16443</v>
      </c>
      <c r="K928" t="s">
        <v>74</v>
      </c>
      <c r="L928" t="s">
        <v>74</v>
      </c>
      <c r="M928" t="s">
        <v>78</v>
      </c>
      <c r="N928" t="s">
        <v>8264</v>
      </c>
      <c r="O928" t="s">
        <v>16444</v>
      </c>
      <c r="P928" t="s">
        <v>16445</v>
      </c>
      <c r="Q928" t="s">
        <v>16446</v>
      </c>
      <c r="R928" t="s">
        <v>74</v>
      </c>
      <c r="S928" t="s">
        <v>74</v>
      </c>
      <c r="T928" t="s">
        <v>74</v>
      </c>
      <c r="U928" t="s">
        <v>16447</v>
      </c>
      <c r="V928" t="s">
        <v>16448</v>
      </c>
      <c r="W928" t="s">
        <v>16449</v>
      </c>
      <c r="X928" t="s">
        <v>16450</v>
      </c>
      <c r="Y928" t="s">
        <v>16451</v>
      </c>
      <c r="Z928" t="s">
        <v>74</v>
      </c>
      <c r="AA928" t="s">
        <v>16452</v>
      </c>
      <c r="AB928" t="s">
        <v>16453</v>
      </c>
      <c r="AC928" t="s">
        <v>16454</v>
      </c>
      <c r="AD928" t="s">
        <v>16455</v>
      </c>
      <c r="AE928" t="s">
        <v>16456</v>
      </c>
      <c r="AF928" t="s">
        <v>74</v>
      </c>
      <c r="AG928">
        <v>6</v>
      </c>
      <c r="AH928">
        <v>0</v>
      </c>
      <c r="AI928">
        <v>0</v>
      </c>
      <c r="AJ928">
        <v>0</v>
      </c>
      <c r="AK928">
        <v>0</v>
      </c>
      <c r="AL928" t="s">
        <v>16457</v>
      </c>
      <c r="AM928" t="s">
        <v>16458</v>
      </c>
      <c r="AN928" t="s">
        <v>16459</v>
      </c>
      <c r="AO928" t="s">
        <v>74</v>
      </c>
      <c r="AP928" t="s">
        <v>74</v>
      </c>
      <c r="AQ928" t="s">
        <v>16460</v>
      </c>
      <c r="AR928" t="s">
        <v>74</v>
      </c>
      <c r="AS928" t="s">
        <v>74</v>
      </c>
      <c r="AT928" t="s">
        <v>74</v>
      </c>
      <c r="AU928">
        <v>2010</v>
      </c>
      <c r="AV928" t="s">
        <v>74</v>
      </c>
      <c r="AW928" t="s">
        <v>74</v>
      </c>
      <c r="AX928" t="s">
        <v>74</v>
      </c>
      <c r="AY928" t="s">
        <v>74</v>
      </c>
      <c r="AZ928" t="s">
        <v>74</v>
      </c>
      <c r="BA928" t="s">
        <v>74</v>
      </c>
      <c r="BB928">
        <v>143</v>
      </c>
      <c r="BC928">
        <v>147</v>
      </c>
      <c r="BD928" t="s">
        <v>74</v>
      </c>
      <c r="BE928" t="s">
        <v>74</v>
      </c>
      <c r="BF928" t="s">
        <v>74</v>
      </c>
      <c r="BG928" t="s">
        <v>74</v>
      </c>
      <c r="BH928" t="s">
        <v>74</v>
      </c>
      <c r="BI928">
        <v>5</v>
      </c>
      <c r="BJ928" t="s">
        <v>16461</v>
      </c>
      <c r="BK928" t="s">
        <v>8281</v>
      </c>
      <c r="BL928" t="s">
        <v>16462</v>
      </c>
      <c r="BM928" t="s">
        <v>16463</v>
      </c>
      <c r="BN928" t="s">
        <v>74</v>
      </c>
      <c r="BO928" t="s">
        <v>74</v>
      </c>
      <c r="BP928" t="s">
        <v>74</v>
      </c>
      <c r="BQ928" t="s">
        <v>74</v>
      </c>
      <c r="BR928" t="s">
        <v>105</v>
      </c>
      <c r="BS928" t="s">
        <v>16464</v>
      </c>
      <c r="BT928" t="str">
        <f>HYPERLINK("https%3A%2F%2Fwww.webofscience.com%2Fwos%2Fwoscc%2Ffull-record%2FWOS:000394208800027","View Full Record in Web of Science")</f>
        <v>View Full Record in Web of Science</v>
      </c>
    </row>
    <row r="929" spans="1:72" x14ac:dyDescent="0.15">
      <c r="A929" t="s">
        <v>8257</v>
      </c>
      <c r="B929" t="s">
        <v>16465</v>
      </c>
      <c r="C929" t="s">
        <v>74</v>
      </c>
      <c r="D929" t="s">
        <v>16466</v>
      </c>
      <c r="E929" t="s">
        <v>74</v>
      </c>
      <c r="F929" t="s">
        <v>16467</v>
      </c>
      <c r="G929" t="s">
        <v>74</v>
      </c>
      <c r="H929" t="s">
        <v>74</v>
      </c>
      <c r="I929" t="s">
        <v>16468</v>
      </c>
      <c r="J929" t="s">
        <v>16469</v>
      </c>
      <c r="K929" t="s">
        <v>74</v>
      </c>
      <c r="L929" t="s">
        <v>74</v>
      </c>
      <c r="M929" t="s">
        <v>78</v>
      </c>
      <c r="N929" t="s">
        <v>8264</v>
      </c>
      <c r="O929" t="s">
        <v>16470</v>
      </c>
      <c r="P929" t="s">
        <v>16471</v>
      </c>
      <c r="Q929" t="s">
        <v>16472</v>
      </c>
      <c r="R929" t="s">
        <v>74</v>
      </c>
      <c r="S929" t="s">
        <v>74</v>
      </c>
      <c r="T929" t="s">
        <v>16473</v>
      </c>
      <c r="U929" t="s">
        <v>74</v>
      </c>
      <c r="V929" t="s">
        <v>16474</v>
      </c>
      <c r="W929" t="s">
        <v>16475</v>
      </c>
      <c r="X929" t="s">
        <v>16476</v>
      </c>
      <c r="Y929" t="s">
        <v>16477</v>
      </c>
      <c r="Z929" t="s">
        <v>74</v>
      </c>
      <c r="AA929" t="s">
        <v>74</v>
      </c>
      <c r="AB929" t="s">
        <v>74</v>
      </c>
      <c r="AC929" t="s">
        <v>74</v>
      </c>
      <c r="AD929" t="s">
        <v>74</v>
      </c>
      <c r="AE929" t="s">
        <v>74</v>
      </c>
      <c r="AF929" t="s">
        <v>74</v>
      </c>
      <c r="AG929">
        <v>5</v>
      </c>
      <c r="AH929">
        <v>0</v>
      </c>
      <c r="AI929">
        <v>0</v>
      </c>
      <c r="AJ929">
        <v>0</v>
      </c>
      <c r="AK929">
        <v>0</v>
      </c>
      <c r="AL929" t="s">
        <v>16478</v>
      </c>
      <c r="AM929" t="s">
        <v>934</v>
      </c>
      <c r="AN929" t="s">
        <v>16479</v>
      </c>
      <c r="AO929" t="s">
        <v>74</v>
      </c>
      <c r="AP929" t="s">
        <v>74</v>
      </c>
      <c r="AQ929" t="s">
        <v>16480</v>
      </c>
      <c r="AR929" t="s">
        <v>74</v>
      </c>
      <c r="AS929" t="s">
        <v>74</v>
      </c>
      <c r="AT929" t="s">
        <v>74</v>
      </c>
      <c r="AU929">
        <v>2010</v>
      </c>
      <c r="AV929" t="s">
        <v>74</v>
      </c>
      <c r="AW929" t="s">
        <v>74</v>
      </c>
      <c r="AX929" t="s">
        <v>74</v>
      </c>
      <c r="AY929" t="s">
        <v>74</v>
      </c>
      <c r="AZ929" t="s">
        <v>74</v>
      </c>
      <c r="BA929" t="s">
        <v>74</v>
      </c>
      <c r="BB929">
        <v>988</v>
      </c>
      <c r="BC929">
        <v>992</v>
      </c>
      <c r="BD929" t="s">
        <v>74</v>
      </c>
      <c r="BE929" t="s">
        <v>74</v>
      </c>
      <c r="BF929" t="s">
        <v>74</v>
      </c>
      <c r="BG929" t="s">
        <v>74</v>
      </c>
      <c r="BH929" t="s">
        <v>74</v>
      </c>
      <c r="BI929">
        <v>5</v>
      </c>
      <c r="BJ929" t="s">
        <v>16481</v>
      </c>
      <c r="BK929" t="s">
        <v>8281</v>
      </c>
      <c r="BL929" t="s">
        <v>16482</v>
      </c>
      <c r="BM929" t="s">
        <v>16483</v>
      </c>
      <c r="BN929" t="s">
        <v>74</v>
      </c>
      <c r="BO929" t="s">
        <v>74</v>
      </c>
      <c r="BP929" t="s">
        <v>74</v>
      </c>
      <c r="BQ929" t="s">
        <v>74</v>
      </c>
      <c r="BR929" t="s">
        <v>105</v>
      </c>
      <c r="BS929" t="s">
        <v>16484</v>
      </c>
      <c r="BT929" t="str">
        <f>HYPERLINK("https%3A%2F%2Fwww.webofscience.com%2Fwos%2Fwoscc%2Ffull-record%2FWOS:000292890600169","View Full Record in Web of Science")</f>
        <v>View Full Record in Web of Science</v>
      </c>
    </row>
    <row r="930" spans="1:72" x14ac:dyDescent="0.15">
      <c r="A930" t="s">
        <v>72</v>
      </c>
      <c r="B930" t="s">
        <v>16485</v>
      </c>
      <c r="C930" t="s">
        <v>74</v>
      </c>
      <c r="D930" t="s">
        <v>74</v>
      </c>
      <c r="E930" t="s">
        <v>74</v>
      </c>
      <c r="F930" t="s">
        <v>16486</v>
      </c>
      <c r="G930" t="s">
        <v>74</v>
      </c>
      <c r="H930" t="s">
        <v>74</v>
      </c>
      <c r="I930" t="s">
        <v>16487</v>
      </c>
      <c r="J930" t="s">
        <v>16488</v>
      </c>
      <c r="K930" t="s">
        <v>74</v>
      </c>
      <c r="L930" t="s">
        <v>74</v>
      </c>
      <c r="M930" t="s">
        <v>78</v>
      </c>
      <c r="N930" t="s">
        <v>536</v>
      </c>
      <c r="O930" t="s">
        <v>74</v>
      </c>
      <c r="P930" t="s">
        <v>74</v>
      </c>
      <c r="Q930" t="s">
        <v>74</v>
      </c>
      <c r="R930" t="s">
        <v>74</v>
      </c>
      <c r="S930" t="s">
        <v>74</v>
      </c>
      <c r="T930" t="s">
        <v>74</v>
      </c>
      <c r="U930" t="s">
        <v>16489</v>
      </c>
      <c r="V930" t="s">
        <v>16490</v>
      </c>
      <c r="W930" t="s">
        <v>16491</v>
      </c>
      <c r="X930" t="s">
        <v>16492</v>
      </c>
      <c r="Y930" t="s">
        <v>16493</v>
      </c>
      <c r="Z930" t="s">
        <v>16494</v>
      </c>
      <c r="AA930" t="s">
        <v>16495</v>
      </c>
      <c r="AB930" t="s">
        <v>16496</v>
      </c>
      <c r="AC930" t="s">
        <v>74</v>
      </c>
      <c r="AD930" t="s">
        <v>74</v>
      </c>
      <c r="AE930" t="s">
        <v>74</v>
      </c>
      <c r="AF930" t="s">
        <v>74</v>
      </c>
      <c r="AG930">
        <v>51</v>
      </c>
      <c r="AH930">
        <v>3</v>
      </c>
      <c r="AI930">
        <v>3</v>
      </c>
      <c r="AJ930">
        <v>1</v>
      </c>
      <c r="AK930">
        <v>66</v>
      </c>
      <c r="AL930" t="s">
        <v>2285</v>
      </c>
      <c r="AM930" t="s">
        <v>1064</v>
      </c>
      <c r="AN930" t="s">
        <v>2286</v>
      </c>
      <c r="AO930" t="s">
        <v>16497</v>
      </c>
      <c r="AP930" t="s">
        <v>74</v>
      </c>
      <c r="AQ930" t="s">
        <v>74</v>
      </c>
      <c r="AR930" t="s">
        <v>16498</v>
      </c>
      <c r="AS930" t="s">
        <v>16499</v>
      </c>
      <c r="AT930" t="s">
        <v>74</v>
      </c>
      <c r="AU930">
        <v>2010</v>
      </c>
      <c r="AV930">
        <v>121</v>
      </c>
      <c r="AW930">
        <v>4</v>
      </c>
      <c r="AX930" t="s">
        <v>74</v>
      </c>
      <c r="AY930" t="s">
        <v>74</v>
      </c>
      <c r="AZ930" t="s">
        <v>152</v>
      </c>
      <c r="BA930" t="s">
        <v>74</v>
      </c>
      <c r="BB930">
        <v>364</v>
      </c>
      <c r="BC930">
        <v>368</v>
      </c>
      <c r="BD930" t="s">
        <v>74</v>
      </c>
      <c r="BE930" t="s">
        <v>16500</v>
      </c>
      <c r="BF930" t="str">
        <f>HYPERLINK("http://dx.doi.org/10.1016/j.pgeola.2010.09.007","http://dx.doi.org/10.1016/j.pgeola.2010.09.007")</f>
        <v>http://dx.doi.org/10.1016/j.pgeola.2010.09.007</v>
      </c>
      <c r="BG930" t="s">
        <v>74</v>
      </c>
      <c r="BH930" t="s">
        <v>74</v>
      </c>
      <c r="BI930">
        <v>5</v>
      </c>
      <c r="BJ930" t="s">
        <v>10561</v>
      </c>
      <c r="BK930" t="s">
        <v>102</v>
      </c>
      <c r="BL930" t="s">
        <v>10561</v>
      </c>
      <c r="BM930" t="s">
        <v>16501</v>
      </c>
      <c r="BN930" t="s">
        <v>74</v>
      </c>
      <c r="BO930" t="s">
        <v>74</v>
      </c>
      <c r="BP930" t="s">
        <v>74</v>
      </c>
      <c r="BQ930" t="s">
        <v>74</v>
      </c>
      <c r="BR930" t="s">
        <v>105</v>
      </c>
      <c r="BS930" t="s">
        <v>16502</v>
      </c>
      <c r="BT930" t="str">
        <f>HYPERLINK("https%3A%2F%2Fwww.webofscience.com%2Fwos%2Fwoscc%2Ffull-record%2FWOS:000284788100002","View Full Record in Web of Science")</f>
        <v>View Full Record in Web of Science</v>
      </c>
    </row>
    <row r="931" spans="1:72" x14ac:dyDescent="0.15">
      <c r="A931" t="s">
        <v>72</v>
      </c>
      <c r="B931" t="s">
        <v>16503</v>
      </c>
      <c r="C931" t="s">
        <v>74</v>
      </c>
      <c r="D931" t="s">
        <v>74</v>
      </c>
      <c r="E931" t="s">
        <v>74</v>
      </c>
      <c r="F931" t="s">
        <v>16504</v>
      </c>
      <c r="G931" t="s">
        <v>74</v>
      </c>
      <c r="H931" t="s">
        <v>74</v>
      </c>
      <c r="I931" t="s">
        <v>16505</v>
      </c>
      <c r="J931" t="s">
        <v>16506</v>
      </c>
      <c r="K931" t="s">
        <v>74</v>
      </c>
      <c r="L931" t="s">
        <v>74</v>
      </c>
      <c r="M931" t="s">
        <v>78</v>
      </c>
      <c r="N931" t="s">
        <v>79</v>
      </c>
      <c r="O931" t="s">
        <v>74</v>
      </c>
      <c r="P931" t="s">
        <v>74</v>
      </c>
      <c r="Q931" t="s">
        <v>74</v>
      </c>
      <c r="R931" t="s">
        <v>74</v>
      </c>
      <c r="S931" t="s">
        <v>74</v>
      </c>
      <c r="T931" t="s">
        <v>16507</v>
      </c>
      <c r="U931" t="s">
        <v>74</v>
      </c>
      <c r="V931" t="s">
        <v>16508</v>
      </c>
      <c r="W931" t="s">
        <v>16509</v>
      </c>
      <c r="X931" t="s">
        <v>16510</v>
      </c>
      <c r="Y931" t="s">
        <v>16511</v>
      </c>
      <c r="Z931" t="s">
        <v>16512</v>
      </c>
      <c r="AA931" t="s">
        <v>74</v>
      </c>
      <c r="AB931" t="s">
        <v>74</v>
      </c>
      <c r="AC931" t="s">
        <v>16513</v>
      </c>
      <c r="AD931" t="s">
        <v>16514</v>
      </c>
      <c r="AE931" t="s">
        <v>16515</v>
      </c>
      <c r="AF931" t="s">
        <v>74</v>
      </c>
      <c r="AG931">
        <v>16</v>
      </c>
      <c r="AH931">
        <v>13</v>
      </c>
      <c r="AI931">
        <v>15</v>
      </c>
      <c r="AJ931">
        <v>1</v>
      </c>
      <c r="AK931">
        <v>18</v>
      </c>
      <c r="AL931" t="s">
        <v>16516</v>
      </c>
      <c r="AM931" t="s">
        <v>407</v>
      </c>
      <c r="AN931" t="s">
        <v>16517</v>
      </c>
      <c r="AO931" t="s">
        <v>16518</v>
      </c>
      <c r="AP931" t="s">
        <v>16519</v>
      </c>
      <c r="AQ931" t="s">
        <v>74</v>
      </c>
      <c r="AR931" t="s">
        <v>16520</v>
      </c>
      <c r="AS931" t="s">
        <v>16521</v>
      </c>
      <c r="AT931" t="s">
        <v>74</v>
      </c>
      <c r="AU931">
        <v>2010</v>
      </c>
      <c r="AV931">
        <v>224</v>
      </c>
      <c r="AW931" t="s">
        <v>16522</v>
      </c>
      <c r="AX931" t="s">
        <v>74</v>
      </c>
      <c r="AY931" t="s">
        <v>74</v>
      </c>
      <c r="AZ931" t="s">
        <v>152</v>
      </c>
      <c r="BA931" t="s">
        <v>74</v>
      </c>
      <c r="BB931">
        <v>341</v>
      </c>
      <c r="BC931">
        <v>361</v>
      </c>
      <c r="BD931" t="s">
        <v>74</v>
      </c>
      <c r="BE931" t="s">
        <v>16523</v>
      </c>
      <c r="BF931" t="str">
        <f>HYPERLINK("http://dx.doi.org/10.1243/14750902JEME214","http://dx.doi.org/10.1243/14750902JEME214")</f>
        <v>http://dx.doi.org/10.1243/14750902JEME214</v>
      </c>
      <c r="BG931" t="s">
        <v>74</v>
      </c>
      <c r="BH931" t="s">
        <v>74</v>
      </c>
      <c r="BI931">
        <v>21</v>
      </c>
      <c r="BJ931" t="s">
        <v>16524</v>
      </c>
      <c r="BK931" t="s">
        <v>102</v>
      </c>
      <c r="BL931" t="s">
        <v>3741</v>
      </c>
      <c r="BM931" t="s">
        <v>16525</v>
      </c>
      <c r="BN931" t="s">
        <v>74</v>
      </c>
      <c r="BO931" t="s">
        <v>74</v>
      </c>
      <c r="BP931" t="s">
        <v>74</v>
      </c>
      <c r="BQ931" t="s">
        <v>74</v>
      </c>
      <c r="BR931" t="s">
        <v>105</v>
      </c>
      <c r="BS931" t="s">
        <v>16526</v>
      </c>
      <c r="BT931" t="str">
        <f>HYPERLINK("https%3A%2F%2Fwww.webofscience.com%2Fwos%2Fwoscc%2Ffull-record%2FWOS:000284090900009","View Full Record in Web of Science")</f>
        <v>View Full Record in Web of Science</v>
      </c>
    </row>
    <row r="932" spans="1:72" x14ac:dyDescent="0.15">
      <c r="A932" t="s">
        <v>8257</v>
      </c>
      <c r="B932" t="s">
        <v>16527</v>
      </c>
      <c r="C932" t="s">
        <v>74</v>
      </c>
      <c r="D932" t="s">
        <v>74</v>
      </c>
      <c r="E932" t="s">
        <v>16528</v>
      </c>
      <c r="F932" t="s">
        <v>16529</v>
      </c>
      <c r="G932" t="s">
        <v>74</v>
      </c>
      <c r="H932" t="s">
        <v>74</v>
      </c>
      <c r="I932" t="s">
        <v>16530</v>
      </c>
      <c r="J932" t="s">
        <v>16531</v>
      </c>
      <c r="K932" t="s">
        <v>74</v>
      </c>
      <c r="L932" t="s">
        <v>74</v>
      </c>
      <c r="M932" t="s">
        <v>78</v>
      </c>
      <c r="N932" t="s">
        <v>8264</v>
      </c>
      <c r="O932" t="s">
        <v>16532</v>
      </c>
      <c r="P932" t="s">
        <v>16533</v>
      </c>
      <c r="Q932" t="s">
        <v>8469</v>
      </c>
      <c r="R932" t="s">
        <v>74</v>
      </c>
      <c r="S932" t="s">
        <v>74</v>
      </c>
      <c r="T932" t="s">
        <v>16534</v>
      </c>
      <c r="U932" t="s">
        <v>74</v>
      </c>
      <c r="V932" t="s">
        <v>16535</v>
      </c>
      <c r="W932" t="s">
        <v>16536</v>
      </c>
      <c r="X932" t="s">
        <v>8473</v>
      </c>
      <c r="Y932" t="s">
        <v>16537</v>
      </c>
      <c r="Z932" t="s">
        <v>16538</v>
      </c>
      <c r="AA932" t="s">
        <v>16539</v>
      </c>
      <c r="AB932" t="s">
        <v>74</v>
      </c>
      <c r="AC932" t="s">
        <v>74</v>
      </c>
      <c r="AD932" t="s">
        <v>74</v>
      </c>
      <c r="AE932" t="s">
        <v>74</v>
      </c>
      <c r="AF932" t="s">
        <v>74</v>
      </c>
      <c r="AG932">
        <v>9</v>
      </c>
      <c r="AH932">
        <v>0</v>
      </c>
      <c r="AI932">
        <v>0</v>
      </c>
      <c r="AJ932">
        <v>0</v>
      </c>
      <c r="AK932">
        <v>2</v>
      </c>
      <c r="AL932" t="s">
        <v>16540</v>
      </c>
      <c r="AM932" t="s">
        <v>225</v>
      </c>
      <c r="AN932" t="s">
        <v>16541</v>
      </c>
      <c r="AO932" t="s">
        <v>74</v>
      </c>
      <c r="AP932" t="s">
        <v>74</v>
      </c>
      <c r="AQ932" t="s">
        <v>16542</v>
      </c>
      <c r="AR932" t="s">
        <v>74</v>
      </c>
      <c r="AS932" t="s">
        <v>74</v>
      </c>
      <c r="AT932" t="s">
        <v>74</v>
      </c>
      <c r="AU932">
        <v>2010</v>
      </c>
      <c r="AV932" t="s">
        <v>74</v>
      </c>
      <c r="AW932" t="s">
        <v>74</v>
      </c>
      <c r="AX932" t="s">
        <v>74</v>
      </c>
      <c r="AY932" t="s">
        <v>74</v>
      </c>
      <c r="AZ932" t="s">
        <v>74</v>
      </c>
      <c r="BA932" t="s">
        <v>74</v>
      </c>
      <c r="BB932">
        <v>57</v>
      </c>
      <c r="BC932">
        <v>61</v>
      </c>
      <c r="BD932" t="s">
        <v>74</v>
      </c>
      <c r="BE932" t="s">
        <v>74</v>
      </c>
      <c r="BF932" t="s">
        <v>74</v>
      </c>
      <c r="BG932" t="s">
        <v>74</v>
      </c>
      <c r="BH932" t="s">
        <v>74</v>
      </c>
      <c r="BI932">
        <v>5</v>
      </c>
      <c r="BJ932" t="s">
        <v>16543</v>
      </c>
      <c r="BK932" t="s">
        <v>8281</v>
      </c>
      <c r="BL932" t="s">
        <v>8458</v>
      </c>
      <c r="BM932" t="s">
        <v>16544</v>
      </c>
      <c r="BN932" t="s">
        <v>74</v>
      </c>
      <c r="BO932" t="s">
        <v>74</v>
      </c>
      <c r="BP932" t="s">
        <v>74</v>
      </c>
      <c r="BQ932" t="s">
        <v>74</v>
      </c>
      <c r="BR932" t="s">
        <v>105</v>
      </c>
      <c r="BS932" t="s">
        <v>16545</v>
      </c>
      <c r="BT932" t="str">
        <f>HYPERLINK("https%3A%2F%2Fwww.webofscience.com%2Fwos%2Fwoscc%2Ffull-record%2FWOS:000310556300012","View Full Record in Web of Science")</f>
        <v>View Full Record in Web of Science</v>
      </c>
    </row>
    <row r="933" spans="1:72" x14ac:dyDescent="0.15">
      <c r="A933" t="s">
        <v>72</v>
      </c>
      <c r="B933" t="s">
        <v>16546</v>
      </c>
      <c r="C933" t="s">
        <v>74</v>
      </c>
      <c r="D933" t="s">
        <v>74</v>
      </c>
      <c r="E933" t="s">
        <v>74</v>
      </c>
      <c r="F933" t="s">
        <v>16547</v>
      </c>
      <c r="G933" t="s">
        <v>74</v>
      </c>
      <c r="H933" t="s">
        <v>74</v>
      </c>
      <c r="I933" t="s">
        <v>16548</v>
      </c>
      <c r="J933" t="s">
        <v>2887</v>
      </c>
      <c r="K933" t="s">
        <v>74</v>
      </c>
      <c r="L933" t="s">
        <v>74</v>
      </c>
      <c r="M933" t="s">
        <v>78</v>
      </c>
      <c r="N933" t="s">
        <v>536</v>
      </c>
      <c r="O933" t="s">
        <v>74</v>
      </c>
      <c r="P933" t="s">
        <v>74</v>
      </c>
      <c r="Q933" t="s">
        <v>74</v>
      </c>
      <c r="R933" t="s">
        <v>74</v>
      </c>
      <c r="S933" t="s">
        <v>74</v>
      </c>
      <c r="T933" t="s">
        <v>74</v>
      </c>
      <c r="U933" t="s">
        <v>16549</v>
      </c>
      <c r="V933" t="s">
        <v>74</v>
      </c>
      <c r="W933" t="s">
        <v>16550</v>
      </c>
      <c r="X933" t="s">
        <v>16551</v>
      </c>
      <c r="Y933" t="s">
        <v>16552</v>
      </c>
      <c r="Z933" t="s">
        <v>16553</v>
      </c>
      <c r="AA933" t="s">
        <v>16554</v>
      </c>
      <c r="AB933" t="s">
        <v>16555</v>
      </c>
      <c r="AC933" t="s">
        <v>16556</v>
      </c>
      <c r="AD933" t="s">
        <v>1972</v>
      </c>
      <c r="AE933" t="s">
        <v>74</v>
      </c>
      <c r="AF933" t="s">
        <v>74</v>
      </c>
      <c r="AG933">
        <v>45</v>
      </c>
      <c r="AH933">
        <v>15</v>
      </c>
      <c r="AI933">
        <v>15</v>
      </c>
      <c r="AJ933">
        <v>1</v>
      </c>
      <c r="AK933">
        <v>11</v>
      </c>
      <c r="AL933" t="s">
        <v>1063</v>
      </c>
      <c r="AM933" t="s">
        <v>1064</v>
      </c>
      <c r="AN933" t="s">
        <v>1065</v>
      </c>
      <c r="AO933" t="s">
        <v>2897</v>
      </c>
      <c r="AP933" t="s">
        <v>74</v>
      </c>
      <c r="AQ933" t="s">
        <v>74</v>
      </c>
      <c r="AR933" t="s">
        <v>2898</v>
      </c>
      <c r="AS933" t="s">
        <v>2899</v>
      </c>
      <c r="AT933" t="s">
        <v>8958</v>
      </c>
      <c r="AU933">
        <v>2010</v>
      </c>
      <c r="AV933">
        <v>29</v>
      </c>
      <c r="AW933" t="s">
        <v>1854</v>
      </c>
      <c r="AX933" t="s">
        <v>74</v>
      </c>
      <c r="AY933" t="s">
        <v>74</v>
      </c>
      <c r="AZ933" t="s">
        <v>152</v>
      </c>
      <c r="BA933" t="s">
        <v>74</v>
      </c>
      <c r="BB933">
        <v>1</v>
      </c>
      <c r="BC933">
        <v>7</v>
      </c>
      <c r="BD933" t="s">
        <v>74</v>
      </c>
      <c r="BE933" t="s">
        <v>16557</v>
      </c>
      <c r="BF933" t="str">
        <f>HYPERLINK("http://dx.doi.org/10.1016/j.quascirev.2009.11.025","http://dx.doi.org/10.1016/j.quascirev.2009.11.025")</f>
        <v>http://dx.doi.org/10.1016/j.quascirev.2009.11.025</v>
      </c>
      <c r="BG933" t="s">
        <v>74</v>
      </c>
      <c r="BH933" t="s">
        <v>74</v>
      </c>
      <c r="BI933">
        <v>7</v>
      </c>
      <c r="BJ933" t="s">
        <v>2881</v>
      </c>
      <c r="BK933" t="s">
        <v>102</v>
      </c>
      <c r="BL933" t="s">
        <v>2628</v>
      </c>
      <c r="BM933" t="s">
        <v>16558</v>
      </c>
      <c r="BN933" t="s">
        <v>74</v>
      </c>
      <c r="BO933" t="s">
        <v>74</v>
      </c>
      <c r="BP933" t="s">
        <v>74</v>
      </c>
      <c r="BQ933" t="s">
        <v>74</v>
      </c>
      <c r="BR933" t="s">
        <v>105</v>
      </c>
      <c r="BS933" t="s">
        <v>16559</v>
      </c>
      <c r="BT933" t="str">
        <f>HYPERLINK("https%3A%2F%2Fwww.webofscience.com%2Fwos%2Fwoscc%2Ffull-record%2FWOS:000274958000001","View Full Record in Web of Science")</f>
        <v>View Full Record in Web of Science</v>
      </c>
    </row>
    <row r="934" spans="1:72" x14ac:dyDescent="0.15">
      <c r="A934" t="s">
        <v>72</v>
      </c>
      <c r="B934" t="s">
        <v>16560</v>
      </c>
      <c r="C934" t="s">
        <v>74</v>
      </c>
      <c r="D934" t="s">
        <v>74</v>
      </c>
      <c r="E934" t="s">
        <v>74</v>
      </c>
      <c r="F934" t="s">
        <v>16561</v>
      </c>
      <c r="G934" t="s">
        <v>74</v>
      </c>
      <c r="H934" t="s">
        <v>74</v>
      </c>
      <c r="I934" t="s">
        <v>16562</v>
      </c>
      <c r="J934" t="s">
        <v>2887</v>
      </c>
      <c r="K934" t="s">
        <v>74</v>
      </c>
      <c r="L934" t="s">
        <v>74</v>
      </c>
      <c r="M934" t="s">
        <v>78</v>
      </c>
      <c r="N934" t="s">
        <v>79</v>
      </c>
      <c r="O934" t="s">
        <v>74</v>
      </c>
      <c r="P934" t="s">
        <v>74</v>
      </c>
      <c r="Q934" t="s">
        <v>74</v>
      </c>
      <c r="R934" t="s">
        <v>74</v>
      </c>
      <c r="S934" t="s">
        <v>74</v>
      </c>
      <c r="T934" t="s">
        <v>74</v>
      </c>
      <c r="U934" t="s">
        <v>16563</v>
      </c>
      <c r="V934" t="s">
        <v>16564</v>
      </c>
      <c r="W934" t="s">
        <v>16565</v>
      </c>
      <c r="X934" t="s">
        <v>16566</v>
      </c>
      <c r="Y934" t="s">
        <v>16567</v>
      </c>
      <c r="Z934" t="s">
        <v>16568</v>
      </c>
      <c r="AA934" t="s">
        <v>16569</v>
      </c>
      <c r="AB934" t="s">
        <v>16570</v>
      </c>
      <c r="AC934" t="s">
        <v>16571</v>
      </c>
      <c r="AD934" t="s">
        <v>16572</v>
      </c>
      <c r="AE934" t="s">
        <v>16573</v>
      </c>
      <c r="AF934" t="s">
        <v>74</v>
      </c>
      <c r="AG934">
        <v>54</v>
      </c>
      <c r="AH934">
        <v>192</v>
      </c>
      <c r="AI934">
        <v>215</v>
      </c>
      <c r="AJ934">
        <v>0</v>
      </c>
      <c r="AK934">
        <v>104</v>
      </c>
      <c r="AL934" t="s">
        <v>1063</v>
      </c>
      <c r="AM934" t="s">
        <v>1064</v>
      </c>
      <c r="AN934" t="s">
        <v>1065</v>
      </c>
      <c r="AO934" t="s">
        <v>2897</v>
      </c>
      <c r="AP934" t="s">
        <v>74</v>
      </c>
      <c r="AQ934" t="s">
        <v>74</v>
      </c>
      <c r="AR934" t="s">
        <v>2898</v>
      </c>
      <c r="AS934" t="s">
        <v>2899</v>
      </c>
      <c r="AT934" t="s">
        <v>8958</v>
      </c>
      <c r="AU934">
        <v>2010</v>
      </c>
      <c r="AV934">
        <v>29</v>
      </c>
      <c r="AW934" t="s">
        <v>1854</v>
      </c>
      <c r="AX934" t="s">
        <v>74</v>
      </c>
      <c r="AY934" t="s">
        <v>74</v>
      </c>
      <c r="AZ934" t="s">
        <v>152</v>
      </c>
      <c r="BA934" t="s">
        <v>74</v>
      </c>
      <c r="BB934">
        <v>8</v>
      </c>
      <c r="BC934">
        <v>20</v>
      </c>
      <c r="BD934" t="s">
        <v>74</v>
      </c>
      <c r="BE934" t="s">
        <v>16574</v>
      </c>
      <c r="BF934" t="str">
        <f>HYPERLINK("http://dx.doi.org/10.1016/j.quascirev.2009.11.010","http://dx.doi.org/10.1016/j.quascirev.2009.11.010")</f>
        <v>http://dx.doi.org/10.1016/j.quascirev.2009.11.010</v>
      </c>
      <c r="BG934" t="s">
        <v>74</v>
      </c>
      <c r="BH934" t="s">
        <v>74</v>
      </c>
      <c r="BI934">
        <v>13</v>
      </c>
      <c r="BJ934" t="s">
        <v>2881</v>
      </c>
      <c r="BK934" t="s">
        <v>102</v>
      </c>
      <c r="BL934" t="s">
        <v>2628</v>
      </c>
      <c r="BM934" t="s">
        <v>16558</v>
      </c>
      <c r="BN934" t="s">
        <v>74</v>
      </c>
      <c r="BO934" t="s">
        <v>74</v>
      </c>
      <c r="BP934" t="s">
        <v>74</v>
      </c>
      <c r="BQ934" t="s">
        <v>74</v>
      </c>
      <c r="BR934" t="s">
        <v>105</v>
      </c>
      <c r="BS934" t="s">
        <v>16575</v>
      </c>
      <c r="BT934" t="str">
        <f>HYPERLINK("https%3A%2F%2Fwww.webofscience.com%2Fwos%2Fwoscc%2Ffull-record%2FWOS:000274958000002","View Full Record in Web of Science")</f>
        <v>View Full Record in Web of Science</v>
      </c>
    </row>
    <row r="935" spans="1:72" x14ac:dyDescent="0.15">
      <c r="A935" t="s">
        <v>72</v>
      </c>
      <c r="B935" t="s">
        <v>16576</v>
      </c>
      <c r="C935" t="s">
        <v>74</v>
      </c>
      <c r="D935" t="s">
        <v>74</v>
      </c>
      <c r="E935" t="s">
        <v>74</v>
      </c>
      <c r="F935" t="s">
        <v>16577</v>
      </c>
      <c r="G935" t="s">
        <v>74</v>
      </c>
      <c r="H935" t="s">
        <v>74</v>
      </c>
      <c r="I935" t="s">
        <v>16578</v>
      </c>
      <c r="J935" t="s">
        <v>2887</v>
      </c>
      <c r="K935" t="s">
        <v>74</v>
      </c>
      <c r="L935" t="s">
        <v>74</v>
      </c>
      <c r="M935" t="s">
        <v>78</v>
      </c>
      <c r="N935" t="s">
        <v>79</v>
      </c>
      <c r="O935" t="s">
        <v>74</v>
      </c>
      <c r="P935" t="s">
        <v>74</v>
      </c>
      <c r="Q935" t="s">
        <v>74</v>
      </c>
      <c r="R935" t="s">
        <v>74</v>
      </c>
      <c r="S935" t="s">
        <v>74</v>
      </c>
      <c r="T935" t="s">
        <v>74</v>
      </c>
      <c r="U935" t="s">
        <v>16579</v>
      </c>
      <c r="V935" t="s">
        <v>16580</v>
      </c>
      <c r="W935" t="s">
        <v>16581</v>
      </c>
      <c r="X935" t="s">
        <v>16582</v>
      </c>
      <c r="Y935" t="s">
        <v>16583</v>
      </c>
      <c r="Z935" t="s">
        <v>16584</v>
      </c>
      <c r="AA935" t="s">
        <v>16585</v>
      </c>
      <c r="AB935" t="s">
        <v>16586</v>
      </c>
      <c r="AC935" t="s">
        <v>16587</v>
      </c>
      <c r="AD935" t="s">
        <v>16588</v>
      </c>
      <c r="AE935" t="s">
        <v>16589</v>
      </c>
      <c r="AF935" t="s">
        <v>74</v>
      </c>
      <c r="AG935">
        <v>30</v>
      </c>
      <c r="AH935">
        <v>29</v>
      </c>
      <c r="AI935">
        <v>30</v>
      </c>
      <c r="AJ935">
        <v>0</v>
      </c>
      <c r="AK935">
        <v>10</v>
      </c>
      <c r="AL935" t="s">
        <v>1063</v>
      </c>
      <c r="AM935" t="s">
        <v>1064</v>
      </c>
      <c r="AN935" t="s">
        <v>1065</v>
      </c>
      <c r="AO935" t="s">
        <v>2897</v>
      </c>
      <c r="AP935" t="s">
        <v>74</v>
      </c>
      <c r="AQ935" t="s">
        <v>74</v>
      </c>
      <c r="AR935" t="s">
        <v>2898</v>
      </c>
      <c r="AS935" t="s">
        <v>2899</v>
      </c>
      <c r="AT935" t="s">
        <v>8958</v>
      </c>
      <c r="AU935">
        <v>2010</v>
      </c>
      <c r="AV935">
        <v>29</v>
      </c>
      <c r="AW935" t="s">
        <v>1854</v>
      </c>
      <c r="AX935" t="s">
        <v>74</v>
      </c>
      <c r="AY935" t="s">
        <v>74</v>
      </c>
      <c r="AZ935" t="s">
        <v>152</v>
      </c>
      <c r="BA935" t="s">
        <v>74</v>
      </c>
      <c r="BB935">
        <v>21</v>
      </c>
      <c r="BC935">
        <v>27</v>
      </c>
      <c r="BD935" t="s">
        <v>74</v>
      </c>
      <c r="BE935" t="s">
        <v>16590</v>
      </c>
      <c r="BF935" t="str">
        <f>HYPERLINK("http://dx.doi.org/10.1016/j.quascirev.2009.07.009","http://dx.doi.org/10.1016/j.quascirev.2009.07.009")</f>
        <v>http://dx.doi.org/10.1016/j.quascirev.2009.07.009</v>
      </c>
      <c r="BG935" t="s">
        <v>74</v>
      </c>
      <c r="BH935" t="s">
        <v>74</v>
      </c>
      <c r="BI935">
        <v>7</v>
      </c>
      <c r="BJ935" t="s">
        <v>2881</v>
      </c>
      <c r="BK935" t="s">
        <v>102</v>
      </c>
      <c r="BL935" t="s">
        <v>2628</v>
      </c>
      <c r="BM935" t="s">
        <v>16558</v>
      </c>
      <c r="BN935" t="s">
        <v>74</v>
      </c>
      <c r="BO935" t="s">
        <v>74</v>
      </c>
      <c r="BP935" t="s">
        <v>74</v>
      </c>
      <c r="BQ935" t="s">
        <v>74</v>
      </c>
      <c r="BR935" t="s">
        <v>105</v>
      </c>
      <c r="BS935" t="s">
        <v>16591</v>
      </c>
      <c r="BT935" t="str">
        <f>HYPERLINK("https%3A%2F%2Fwww.webofscience.com%2Fwos%2Fwoscc%2Ffull-record%2FWOS:000274958000003","View Full Record in Web of Science")</f>
        <v>View Full Record in Web of Science</v>
      </c>
    </row>
    <row r="936" spans="1:72" x14ac:dyDescent="0.15">
      <c r="A936" t="s">
        <v>72</v>
      </c>
      <c r="B936" t="s">
        <v>16592</v>
      </c>
      <c r="C936" t="s">
        <v>74</v>
      </c>
      <c r="D936" t="s">
        <v>74</v>
      </c>
      <c r="E936" t="s">
        <v>74</v>
      </c>
      <c r="F936" t="s">
        <v>16593</v>
      </c>
      <c r="G936" t="s">
        <v>74</v>
      </c>
      <c r="H936" t="s">
        <v>74</v>
      </c>
      <c r="I936" t="s">
        <v>16594</v>
      </c>
      <c r="J936" t="s">
        <v>2887</v>
      </c>
      <c r="K936" t="s">
        <v>74</v>
      </c>
      <c r="L936" t="s">
        <v>74</v>
      </c>
      <c r="M936" t="s">
        <v>78</v>
      </c>
      <c r="N936" t="s">
        <v>79</v>
      </c>
      <c r="O936" t="s">
        <v>74</v>
      </c>
      <c r="P936" t="s">
        <v>74</v>
      </c>
      <c r="Q936" t="s">
        <v>74</v>
      </c>
      <c r="R936" t="s">
        <v>74</v>
      </c>
      <c r="S936" t="s">
        <v>74</v>
      </c>
      <c r="T936" t="s">
        <v>74</v>
      </c>
      <c r="U936" t="s">
        <v>16595</v>
      </c>
      <c r="V936" t="s">
        <v>16596</v>
      </c>
      <c r="W936" t="s">
        <v>16597</v>
      </c>
      <c r="X936" t="s">
        <v>16598</v>
      </c>
      <c r="Y936" t="s">
        <v>16599</v>
      </c>
      <c r="Z936" t="s">
        <v>16600</v>
      </c>
      <c r="AA936" t="s">
        <v>16601</v>
      </c>
      <c r="AB936" t="s">
        <v>16602</v>
      </c>
      <c r="AC936" t="s">
        <v>16603</v>
      </c>
      <c r="AD936" t="s">
        <v>16604</v>
      </c>
      <c r="AE936" t="s">
        <v>16605</v>
      </c>
      <c r="AF936" t="s">
        <v>74</v>
      </c>
      <c r="AG936">
        <v>70</v>
      </c>
      <c r="AH936">
        <v>36</v>
      </c>
      <c r="AI936">
        <v>39</v>
      </c>
      <c r="AJ936">
        <v>0</v>
      </c>
      <c r="AK936">
        <v>19</v>
      </c>
      <c r="AL936" t="s">
        <v>1063</v>
      </c>
      <c r="AM936" t="s">
        <v>1064</v>
      </c>
      <c r="AN936" t="s">
        <v>1065</v>
      </c>
      <c r="AO936" t="s">
        <v>2897</v>
      </c>
      <c r="AP936" t="s">
        <v>74</v>
      </c>
      <c r="AQ936" t="s">
        <v>74</v>
      </c>
      <c r="AR936" t="s">
        <v>2898</v>
      </c>
      <c r="AS936" t="s">
        <v>2899</v>
      </c>
      <c r="AT936" t="s">
        <v>8958</v>
      </c>
      <c r="AU936">
        <v>2010</v>
      </c>
      <c r="AV936">
        <v>29</v>
      </c>
      <c r="AW936" t="s">
        <v>1854</v>
      </c>
      <c r="AX936" t="s">
        <v>74</v>
      </c>
      <c r="AY936" t="s">
        <v>74</v>
      </c>
      <c r="AZ936" t="s">
        <v>152</v>
      </c>
      <c r="BA936" t="s">
        <v>74</v>
      </c>
      <c r="BB936">
        <v>28</v>
      </c>
      <c r="BC936">
        <v>42</v>
      </c>
      <c r="BD936" t="s">
        <v>74</v>
      </c>
      <c r="BE936" t="s">
        <v>16606</v>
      </c>
      <c r="BF936" t="str">
        <f>HYPERLINK("http://dx.doi.org/10.1016/j.quascirev.2009.10.012","http://dx.doi.org/10.1016/j.quascirev.2009.10.012")</f>
        <v>http://dx.doi.org/10.1016/j.quascirev.2009.10.012</v>
      </c>
      <c r="BG936" t="s">
        <v>74</v>
      </c>
      <c r="BH936" t="s">
        <v>74</v>
      </c>
      <c r="BI936">
        <v>15</v>
      </c>
      <c r="BJ936" t="s">
        <v>2881</v>
      </c>
      <c r="BK936" t="s">
        <v>102</v>
      </c>
      <c r="BL936" t="s">
        <v>2628</v>
      </c>
      <c r="BM936" t="s">
        <v>16558</v>
      </c>
      <c r="BN936" t="s">
        <v>74</v>
      </c>
      <c r="BO936" t="s">
        <v>74</v>
      </c>
      <c r="BP936" t="s">
        <v>74</v>
      </c>
      <c r="BQ936" t="s">
        <v>74</v>
      </c>
      <c r="BR936" t="s">
        <v>105</v>
      </c>
      <c r="BS936" t="s">
        <v>16607</v>
      </c>
      <c r="BT936" t="str">
        <f>HYPERLINK("https%3A%2F%2Fwww.webofscience.com%2Fwos%2Fwoscc%2Ffull-record%2FWOS:000274958000004","View Full Record in Web of Science")</f>
        <v>View Full Record in Web of Science</v>
      </c>
    </row>
    <row r="937" spans="1:72" x14ac:dyDescent="0.15">
      <c r="A937" t="s">
        <v>72</v>
      </c>
      <c r="B937" t="s">
        <v>16608</v>
      </c>
      <c r="C937" t="s">
        <v>74</v>
      </c>
      <c r="D937" t="s">
        <v>74</v>
      </c>
      <c r="E937" t="s">
        <v>74</v>
      </c>
      <c r="F937" t="s">
        <v>16609</v>
      </c>
      <c r="G937" t="s">
        <v>74</v>
      </c>
      <c r="H937" t="s">
        <v>74</v>
      </c>
      <c r="I937" t="s">
        <v>16610</v>
      </c>
      <c r="J937" t="s">
        <v>2887</v>
      </c>
      <c r="K937" t="s">
        <v>74</v>
      </c>
      <c r="L937" t="s">
        <v>74</v>
      </c>
      <c r="M937" t="s">
        <v>78</v>
      </c>
      <c r="N937" t="s">
        <v>79</v>
      </c>
      <c r="O937" t="s">
        <v>74</v>
      </c>
      <c r="P937" t="s">
        <v>74</v>
      </c>
      <c r="Q937" t="s">
        <v>74</v>
      </c>
      <c r="R937" t="s">
        <v>74</v>
      </c>
      <c r="S937" t="s">
        <v>74</v>
      </c>
      <c r="T937" t="s">
        <v>74</v>
      </c>
      <c r="U937" t="s">
        <v>16611</v>
      </c>
      <c r="V937" t="s">
        <v>16612</v>
      </c>
      <c r="W937" t="s">
        <v>16613</v>
      </c>
      <c r="X937" t="s">
        <v>9176</v>
      </c>
      <c r="Y937" t="s">
        <v>16614</v>
      </c>
      <c r="Z937" t="s">
        <v>16615</v>
      </c>
      <c r="AA937" t="s">
        <v>16616</v>
      </c>
      <c r="AB937" t="s">
        <v>16617</v>
      </c>
      <c r="AC937" t="s">
        <v>16618</v>
      </c>
      <c r="AD937" t="s">
        <v>4729</v>
      </c>
      <c r="AE937" t="s">
        <v>74</v>
      </c>
      <c r="AF937" t="s">
        <v>74</v>
      </c>
      <c r="AG937">
        <v>69</v>
      </c>
      <c r="AH937">
        <v>181</v>
      </c>
      <c r="AI937">
        <v>189</v>
      </c>
      <c r="AJ937">
        <v>1</v>
      </c>
      <c r="AK937">
        <v>60</v>
      </c>
      <c r="AL937" t="s">
        <v>1063</v>
      </c>
      <c r="AM937" t="s">
        <v>1064</v>
      </c>
      <c r="AN937" t="s">
        <v>1065</v>
      </c>
      <c r="AO937" t="s">
        <v>2897</v>
      </c>
      <c r="AP937" t="s">
        <v>74</v>
      </c>
      <c r="AQ937" t="s">
        <v>74</v>
      </c>
      <c r="AR937" t="s">
        <v>2898</v>
      </c>
      <c r="AS937" t="s">
        <v>2899</v>
      </c>
      <c r="AT937" t="s">
        <v>8958</v>
      </c>
      <c r="AU937">
        <v>2010</v>
      </c>
      <c r="AV937">
        <v>29</v>
      </c>
      <c r="AW937" t="s">
        <v>1854</v>
      </c>
      <c r="AX937" t="s">
        <v>74</v>
      </c>
      <c r="AY937" t="s">
        <v>74</v>
      </c>
      <c r="AZ937" t="s">
        <v>152</v>
      </c>
      <c r="BA937" t="s">
        <v>74</v>
      </c>
      <c r="BB937">
        <v>43</v>
      </c>
      <c r="BC937">
        <v>55</v>
      </c>
      <c r="BD937" t="s">
        <v>74</v>
      </c>
      <c r="BE937" t="s">
        <v>16619</v>
      </c>
      <c r="BF937" t="str">
        <f>HYPERLINK("http://dx.doi.org/10.1016/j.quascirev.2009.10.011","http://dx.doi.org/10.1016/j.quascirev.2009.10.011")</f>
        <v>http://dx.doi.org/10.1016/j.quascirev.2009.10.011</v>
      </c>
      <c r="BG937" t="s">
        <v>74</v>
      </c>
      <c r="BH937" t="s">
        <v>74</v>
      </c>
      <c r="BI937">
        <v>13</v>
      </c>
      <c r="BJ937" t="s">
        <v>2881</v>
      </c>
      <c r="BK937" t="s">
        <v>102</v>
      </c>
      <c r="BL937" t="s">
        <v>2628</v>
      </c>
      <c r="BM937" t="s">
        <v>16558</v>
      </c>
      <c r="BN937" t="s">
        <v>74</v>
      </c>
      <c r="BO937" t="s">
        <v>74</v>
      </c>
      <c r="BP937" t="s">
        <v>74</v>
      </c>
      <c r="BQ937" t="s">
        <v>74</v>
      </c>
      <c r="BR937" t="s">
        <v>105</v>
      </c>
      <c r="BS937" t="s">
        <v>16620</v>
      </c>
      <c r="BT937" t="str">
        <f>HYPERLINK("https%3A%2F%2Fwww.webofscience.com%2Fwos%2Fwoscc%2Ffull-record%2FWOS:000274958000005","View Full Record in Web of Science")</f>
        <v>View Full Record in Web of Science</v>
      </c>
    </row>
    <row r="938" spans="1:72" x14ac:dyDescent="0.15">
      <c r="A938" t="s">
        <v>72</v>
      </c>
      <c r="B938" t="s">
        <v>16621</v>
      </c>
      <c r="C938" t="s">
        <v>74</v>
      </c>
      <c r="D938" t="s">
        <v>74</v>
      </c>
      <c r="E938" t="s">
        <v>74</v>
      </c>
      <c r="F938" t="s">
        <v>16622</v>
      </c>
      <c r="G938" t="s">
        <v>74</v>
      </c>
      <c r="H938" t="s">
        <v>74</v>
      </c>
      <c r="I938" t="s">
        <v>16623</v>
      </c>
      <c r="J938" t="s">
        <v>2887</v>
      </c>
      <c r="K938" t="s">
        <v>74</v>
      </c>
      <c r="L938" t="s">
        <v>74</v>
      </c>
      <c r="M938" t="s">
        <v>78</v>
      </c>
      <c r="N938" t="s">
        <v>79</v>
      </c>
      <c r="O938" t="s">
        <v>74</v>
      </c>
      <c r="P938" t="s">
        <v>74</v>
      </c>
      <c r="Q938" t="s">
        <v>74</v>
      </c>
      <c r="R938" t="s">
        <v>74</v>
      </c>
      <c r="S938" t="s">
        <v>74</v>
      </c>
      <c r="T938" t="s">
        <v>74</v>
      </c>
      <c r="U938" t="s">
        <v>16624</v>
      </c>
      <c r="V938" t="s">
        <v>16625</v>
      </c>
      <c r="W938" t="s">
        <v>16626</v>
      </c>
      <c r="X938" t="s">
        <v>16627</v>
      </c>
      <c r="Y938" t="s">
        <v>16628</v>
      </c>
      <c r="Z938" t="s">
        <v>16629</v>
      </c>
      <c r="AA938" t="s">
        <v>16630</v>
      </c>
      <c r="AB938" t="s">
        <v>16631</v>
      </c>
      <c r="AC938" t="s">
        <v>16632</v>
      </c>
      <c r="AD938" t="s">
        <v>16633</v>
      </c>
      <c r="AE938" t="s">
        <v>16634</v>
      </c>
      <c r="AF938" t="s">
        <v>74</v>
      </c>
      <c r="AG938">
        <v>74</v>
      </c>
      <c r="AH938">
        <v>31</v>
      </c>
      <c r="AI938">
        <v>32</v>
      </c>
      <c r="AJ938">
        <v>1</v>
      </c>
      <c r="AK938">
        <v>26</v>
      </c>
      <c r="AL938" t="s">
        <v>1063</v>
      </c>
      <c r="AM938" t="s">
        <v>1064</v>
      </c>
      <c r="AN938" t="s">
        <v>1065</v>
      </c>
      <c r="AO938" t="s">
        <v>2897</v>
      </c>
      <c r="AP938" t="s">
        <v>74</v>
      </c>
      <c r="AQ938" t="s">
        <v>74</v>
      </c>
      <c r="AR938" t="s">
        <v>2898</v>
      </c>
      <c r="AS938" t="s">
        <v>2899</v>
      </c>
      <c r="AT938" t="s">
        <v>8958</v>
      </c>
      <c r="AU938">
        <v>2010</v>
      </c>
      <c r="AV938">
        <v>29</v>
      </c>
      <c r="AW938" t="s">
        <v>1854</v>
      </c>
      <c r="AX938" t="s">
        <v>74</v>
      </c>
      <c r="AY938" t="s">
        <v>74</v>
      </c>
      <c r="AZ938" t="s">
        <v>152</v>
      </c>
      <c r="BA938" t="s">
        <v>74</v>
      </c>
      <c r="BB938">
        <v>74</v>
      </c>
      <c r="BC938">
        <v>85</v>
      </c>
      <c r="BD938" t="s">
        <v>74</v>
      </c>
      <c r="BE938" t="s">
        <v>16635</v>
      </c>
      <c r="BF938" t="str">
        <f>HYPERLINK("http://dx.doi.org/10.1016/j.quascirev.2009.06.021","http://dx.doi.org/10.1016/j.quascirev.2009.06.021")</f>
        <v>http://dx.doi.org/10.1016/j.quascirev.2009.06.021</v>
      </c>
      <c r="BG938" t="s">
        <v>74</v>
      </c>
      <c r="BH938" t="s">
        <v>74</v>
      </c>
      <c r="BI938">
        <v>12</v>
      </c>
      <c r="BJ938" t="s">
        <v>2881</v>
      </c>
      <c r="BK938" t="s">
        <v>102</v>
      </c>
      <c r="BL938" t="s">
        <v>2628</v>
      </c>
      <c r="BM938" t="s">
        <v>16558</v>
      </c>
      <c r="BN938" t="s">
        <v>74</v>
      </c>
      <c r="BO938" t="s">
        <v>74</v>
      </c>
      <c r="BP938" t="s">
        <v>74</v>
      </c>
      <c r="BQ938" t="s">
        <v>74</v>
      </c>
      <c r="BR938" t="s">
        <v>105</v>
      </c>
      <c r="BS938" t="s">
        <v>16636</v>
      </c>
      <c r="BT938" t="str">
        <f>HYPERLINK("https%3A%2F%2Fwww.webofscience.com%2Fwos%2Fwoscc%2Ffull-record%2FWOS:000274958000007","View Full Record in Web of Science")</f>
        <v>View Full Record in Web of Science</v>
      </c>
    </row>
    <row r="939" spans="1:72" x14ac:dyDescent="0.15">
      <c r="A939" t="s">
        <v>72</v>
      </c>
      <c r="B939" t="s">
        <v>16637</v>
      </c>
      <c r="C939" t="s">
        <v>74</v>
      </c>
      <c r="D939" t="s">
        <v>74</v>
      </c>
      <c r="E939" t="s">
        <v>74</v>
      </c>
      <c r="F939" t="s">
        <v>16638</v>
      </c>
      <c r="G939" t="s">
        <v>74</v>
      </c>
      <c r="H939" t="s">
        <v>74</v>
      </c>
      <c r="I939" t="s">
        <v>16639</v>
      </c>
      <c r="J939" t="s">
        <v>2887</v>
      </c>
      <c r="K939" t="s">
        <v>74</v>
      </c>
      <c r="L939" t="s">
        <v>74</v>
      </c>
      <c r="M939" t="s">
        <v>78</v>
      </c>
      <c r="N939" t="s">
        <v>79</v>
      </c>
      <c r="O939" t="s">
        <v>74</v>
      </c>
      <c r="P939" t="s">
        <v>74</v>
      </c>
      <c r="Q939" t="s">
        <v>74</v>
      </c>
      <c r="R939" t="s">
        <v>74</v>
      </c>
      <c r="S939" t="s">
        <v>74</v>
      </c>
      <c r="T939" t="s">
        <v>74</v>
      </c>
      <c r="U939" t="s">
        <v>16640</v>
      </c>
      <c r="V939" t="s">
        <v>16641</v>
      </c>
      <c r="W939" t="s">
        <v>16642</v>
      </c>
      <c r="X939" t="s">
        <v>16643</v>
      </c>
      <c r="Y939" t="s">
        <v>16644</v>
      </c>
      <c r="Z939" t="s">
        <v>16645</v>
      </c>
      <c r="AA939" t="s">
        <v>16646</v>
      </c>
      <c r="AB939" t="s">
        <v>16647</v>
      </c>
      <c r="AC939" t="s">
        <v>16648</v>
      </c>
      <c r="AD939" t="s">
        <v>16649</v>
      </c>
      <c r="AE939" t="s">
        <v>16650</v>
      </c>
      <c r="AF939" t="s">
        <v>74</v>
      </c>
      <c r="AG939">
        <v>95</v>
      </c>
      <c r="AH939">
        <v>167</v>
      </c>
      <c r="AI939">
        <v>174</v>
      </c>
      <c r="AJ939">
        <v>3</v>
      </c>
      <c r="AK939">
        <v>91</v>
      </c>
      <c r="AL939" t="s">
        <v>1063</v>
      </c>
      <c r="AM939" t="s">
        <v>1064</v>
      </c>
      <c r="AN939" t="s">
        <v>1065</v>
      </c>
      <c r="AO939" t="s">
        <v>2897</v>
      </c>
      <c r="AP939" t="s">
        <v>16651</v>
      </c>
      <c r="AQ939" t="s">
        <v>74</v>
      </c>
      <c r="AR939" t="s">
        <v>2898</v>
      </c>
      <c r="AS939" t="s">
        <v>2899</v>
      </c>
      <c r="AT939" t="s">
        <v>8958</v>
      </c>
      <c r="AU939">
        <v>2010</v>
      </c>
      <c r="AV939">
        <v>29</v>
      </c>
      <c r="AW939" t="s">
        <v>1854</v>
      </c>
      <c r="AX939" t="s">
        <v>74</v>
      </c>
      <c r="AY939" t="s">
        <v>74</v>
      </c>
      <c r="AZ939" t="s">
        <v>152</v>
      </c>
      <c r="BA939" t="s">
        <v>74</v>
      </c>
      <c r="BB939">
        <v>113</v>
      </c>
      <c r="BC939">
        <v>128</v>
      </c>
      <c r="BD939" t="s">
        <v>74</v>
      </c>
      <c r="BE939" t="s">
        <v>16652</v>
      </c>
      <c r="BF939" t="str">
        <f>HYPERLINK("http://dx.doi.org/10.1016/j.quascirev.2009.09.030","http://dx.doi.org/10.1016/j.quascirev.2009.09.030")</f>
        <v>http://dx.doi.org/10.1016/j.quascirev.2009.09.030</v>
      </c>
      <c r="BG939" t="s">
        <v>74</v>
      </c>
      <c r="BH939" t="s">
        <v>74</v>
      </c>
      <c r="BI939">
        <v>16</v>
      </c>
      <c r="BJ939" t="s">
        <v>2881</v>
      </c>
      <c r="BK939" t="s">
        <v>102</v>
      </c>
      <c r="BL939" t="s">
        <v>2628</v>
      </c>
      <c r="BM939" t="s">
        <v>16558</v>
      </c>
      <c r="BN939" t="s">
        <v>74</v>
      </c>
      <c r="BO939" t="s">
        <v>74</v>
      </c>
      <c r="BP939" t="s">
        <v>74</v>
      </c>
      <c r="BQ939" t="s">
        <v>74</v>
      </c>
      <c r="BR939" t="s">
        <v>105</v>
      </c>
      <c r="BS939" t="s">
        <v>16653</v>
      </c>
      <c r="BT939" t="str">
        <f>HYPERLINK("https%3A%2F%2Fwww.webofscience.com%2Fwos%2Fwoscc%2Ffull-record%2FWOS:000274958000010","View Full Record in Web of Science")</f>
        <v>View Full Record in Web of Science</v>
      </c>
    </row>
    <row r="940" spans="1:72" x14ac:dyDescent="0.15">
      <c r="A940" t="s">
        <v>72</v>
      </c>
      <c r="B940" t="s">
        <v>16654</v>
      </c>
      <c r="C940" t="s">
        <v>74</v>
      </c>
      <c r="D940" t="s">
        <v>74</v>
      </c>
      <c r="E940" t="s">
        <v>74</v>
      </c>
      <c r="F940" t="s">
        <v>16655</v>
      </c>
      <c r="G940" t="s">
        <v>74</v>
      </c>
      <c r="H940" t="s">
        <v>74</v>
      </c>
      <c r="I940" t="s">
        <v>16656</v>
      </c>
      <c r="J940" t="s">
        <v>2887</v>
      </c>
      <c r="K940" t="s">
        <v>74</v>
      </c>
      <c r="L940" t="s">
        <v>74</v>
      </c>
      <c r="M940" t="s">
        <v>78</v>
      </c>
      <c r="N940" t="s">
        <v>79</v>
      </c>
      <c r="O940" t="s">
        <v>74</v>
      </c>
      <c r="P940" t="s">
        <v>74</v>
      </c>
      <c r="Q940" t="s">
        <v>74</v>
      </c>
      <c r="R940" t="s">
        <v>74</v>
      </c>
      <c r="S940" t="s">
        <v>74</v>
      </c>
      <c r="T940" t="s">
        <v>74</v>
      </c>
      <c r="U940" t="s">
        <v>16657</v>
      </c>
      <c r="V940" t="s">
        <v>16658</v>
      </c>
      <c r="W940" t="s">
        <v>16659</v>
      </c>
      <c r="X940" t="s">
        <v>16660</v>
      </c>
      <c r="Y940" t="s">
        <v>16661</v>
      </c>
      <c r="Z940" t="s">
        <v>16662</v>
      </c>
      <c r="AA940" t="s">
        <v>16663</v>
      </c>
      <c r="AB940" t="s">
        <v>16664</v>
      </c>
      <c r="AC940" t="s">
        <v>16665</v>
      </c>
      <c r="AD940" t="s">
        <v>16666</v>
      </c>
      <c r="AE940" t="s">
        <v>16667</v>
      </c>
      <c r="AF940" t="s">
        <v>74</v>
      </c>
      <c r="AG940">
        <v>164</v>
      </c>
      <c r="AH940">
        <v>115</v>
      </c>
      <c r="AI940">
        <v>120</v>
      </c>
      <c r="AJ940">
        <v>2</v>
      </c>
      <c r="AK940">
        <v>78</v>
      </c>
      <c r="AL940" t="s">
        <v>1063</v>
      </c>
      <c r="AM940" t="s">
        <v>1064</v>
      </c>
      <c r="AN940" t="s">
        <v>1065</v>
      </c>
      <c r="AO940" t="s">
        <v>2897</v>
      </c>
      <c r="AP940" t="s">
        <v>16651</v>
      </c>
      <c r="AQ940" t="s">
        <v>74</v>
      </c>
      <c r="AR940" t="s">
        <v>2898</v>
      </c>
      <c r="AS940" t="s">
        <v>2899</v>
      </c>
      <c r="AT940" t="s">
        <v>8958</v>
      </c>
      <c r="AU940">
        <v>2010</v>
      </c>
      <c r="AV940">
        <v>29</v>
      </c>
      <c r="AW940" t="s">
        <v>1854</v>
      </c>
      <c r="AX940" t="s">
        <v>74</v>
      </c>
      <c r="AY940" t="s">
        <v>74</v>
      </c>
      <c r="AZ940" t="s">
        <v>152</v>
      </c>
      <c r="BA940" t="s">
        <v>74</v>
      </c>
      <c r="BB940">
        <v>129</v>
      </c>
      <c r="BC940">
        <v>145</v>
      </c>
      <c r="BD940" t="s">
        <v>74</v>
      </c>
      <c r="BE940" t="s">
        <v>16668</v>
      </c>
      <c r="BF940" t="str">
        <f>HYPERLINK("http://dx.doi.org/10.1016/j.quascirev.2009.09.026","http://dx.doi.org/10.1016/j.quascirev.2009.09.026")</f>
        <v>http://dx.doi.org/10.1016/j.quascirev.2009.09.026</v>
      </c>
      <c r="BG940" t="s">
        <v>74</v>
      </c>
      <c r="BH940" t="s">
        <v>74</v>
      </c>
      <c r="BI940">
        <v>17</v>
      </c>
      <c r="BJ940" t="s">
        <v>2881</v>
      </c>
      <c r="BK940" t="s">
        <v>102</v>
      </c>
      <c r="BL940" t="s">
        <v>2628</v>
      </c>
      <c r="BM940" t="s">
        <v>16558</v>
      </c>
      <c r="BN940" t="s">
        <v>74</v>
      </c>
      <c r="BO940" t="s">
        <v>555</v>
      </c>
      <c r="BP940" t="s">
        <v>74</v>
      </c>
      <c r="BQ940" t="s">
        <v>74</v>
      </c>
      <c r="BR940" t="s">
        <v>105</v>
      </c>
      <c r="BS940" t="s">
        <v>16669</v>
      </c>
      <c r="BT940" t="str">
        <f>HYPERLINK("https%3A%2F%2Fwww.webofscience.com%2Fwos%2Fwoscc%2Ffull-record%2FWOS:000274958000011","View Full Record in Web of Science")</f>
        <v>View Full Record in Web of Science</v>
      </c>
    </row>
    <row r="941" spans="1:72" x14ac:dyDescent="0.15">
      <c r="A941" t="s">
        <v>72</v>
      </c>
      <c r="B941" t="s">
        <v>16670</v>
      </c>
      <c r="C941" t="s">
        <v>74</v>
      </c>
      <c r="D941" t="s">
        <v>74</v>
      </c>
      <c r="E941" t="s">
        <v>74</v>
      </c>
      <c r="F941" t="s">
        <v>16671</v>
      </c>
      <c r="G941" t="s">
        <v>74</v>
      </c>
      <c r="H941" t="s">
        <v>74</v>
      </c>
      <c r="I941" t="s">
        <v>16672</v>
      </c>
      <c r="J941" t="s">
        <v>2887</v>
      </c>
      <c r="K941" t="s">
        <v>74</v>
      </c>
      <c r="L941" t="s">
        <v>74</v>
      </c>
      <c r="M941" t="s">
        <v>78</v>
      </c>
      <c r="N941" t="s">
        <v>79</v>
      </c>
      <c r="O941" t="s">
        <v>74</v>
      </c>
      <c r="P941" t="s">
        <v>74</v>
      </c>
      <c r="Q941" t="s">
        <v>74</v>
      </c>
      <c r="R941" t="s">
        <v>74</v>
      </c>
      <c r="S941" t="s">
        <v>74</v>
      </c>
      <c r="T941" t="s">
        <v>74</v>
      </c>
      <c r="U941" t="s">
        <v>16673</v>
      </c>
      <c r="V941" t="s">
        <v>16674</v>
      </c>
      <c r="W941" t="s">
        <v>16675</v>
      </c>
      <c r="X941" t="s">
        <v>16676</v>
      </c>
      <c r="Y941" t="s">
        <v>16677</v>
      </c>
      <c r="Z941" t="s">
        <v>16678</v>
      </c>
      <c r="AA941" t="s">
        <v>16679</v>
      </c>
      <c r="AB941" t="s">
        <v>16680</v>
      </c>
      <c r="AC941" t="s">
        <v>16681</v>
      </c>
      <c r="AD941" t="s">
        <v>16682</v>
      </c>
      <c r="AE941" t="s">
        <v>16683</v>
      </c>
      <c r="AF941" t="s">
        <v>74</v>
      </c>
      <c r="AG941">
        <v>81</v>
      </c>
      <c r="AH941">
        <v>168</v>
      </c>
      <c r="AI941">
        <v>182</v>
      </c>
      <c r="AJ941">
        <v>1</v>
      </c>
      <c r="AK941">
        <v>63</v>
      </c>
      <c r="AL941" t="s">
        <v>1063</v>
      </c>
      <c r="AM941" t="s">
        <v>1064</v>
      </c>
      <c r="AN941" t="s">
        <v>1065</v>
      </c>
      <c r="AO941" t="s">
        <v>2897</v>
      </c>
      <c r="AP941" t="s">
        <v>16651</v>
      </c>
      <c r="AQ941" t="s">
        <v>74</v>
      </c>
      <c r="AR941" t="s">
        <v>2898</v>
      </c>
      <c r="AS941" t="s">
        <v>2899</v>
      </c>
      <c r="AT941" t="s">
        <v>8958</v>
      </c>
      <c r="AU941">
        <v>2010</v>
      </c>
      <c r="AV941">
        <v>29</v>
      </c>
      <c r="AW941" t="s">
        <v>1854</v>
      </c>
      <c r="AX941" t="s">
        <v>74</v>
      </c>
      <c r="AY941" t="s">
        <v>74</v>
      </c>
      <c r="AZ941" t="s">
        <v>152</v>
      </c>
      <c r="BA941" t="s">
        <v>74</v>
      </c>
      <c r="BB941">
        <v>146</v>
      </c>
      <c r="BC941">
        <v>159</v>
      </c>
      <c r="BD941" t="s">
        <v>74</v>
      </c>
      <c r="BE941" t="s">
        <v>16684</v>
      </c>
      <c r="BF941" t="str">
        <f>HYPERLINK("http://dx.doi.org/10.1016/j.quascirev.2009.10.009","http://dx.doi.org/10.1016/j.quascirev.2009.10.009")</f>
        <v>http://dx.doi.org/10.1016/j.quascirev.2009.10.009</v>
      </c>
      <c r="BG941" t="s">
        <v>74</v>
      </c>
      <c r="BH941" t="s">
        <v>74</v>
      </c>
      <c r="BI941">
        <v>14</v>
      </c>
      <c r="BJ941" t="s">
        <v>2881</v>
      </c>
      <c r="BK941" t="s">
        <v>102</v>
      </c>
      <c r="BL941" t="s">
        <v>2628</v>
      </c>
      <c r="BM941" t="s">
        <v>16558</v>
      </c>
      <c r="BN941" t="s">
        <v>74</v>
      </c>
      <c r="BO941" t="s">
        <v>326</v>
      </c>
      <c r="BP941" t="s">
        <v>74</v>
      </c>
      <c r="BQ941" t="s">
        <v>74</v>
      </c>
      <c r="BR941" t="s">
        <v>105</v>
      </c>
      <c r="BS941" t="s">
        <v>16685</v>
      </c>
      <c r="BT941" t="str">
        <f>HYPERLINK("https%3A%2F%2Fwww.webofscience.com%2Fwos%2Fwoscc%2Ffull-record%2FWOS:000274958000012","View Full Record in Web of Science")</f>
        <v>View Full Record in Web of Science</v>
      </c>
    </row>
    <row r="942" spans="1:72" x14ac:dyDescent="0.15">
      <c r="A942" t="s">
        <v>72</v>
      </c>
      <c r="B942" t="s">
        <v>16686</v>
      </c>
      <c r="C942" t="s">
        <v>74</v>
      </c>
      <c r="D942" t="s">
        <v>74</v>
      </c>
      <c r="E942" t="s">
        <v>74</v>
      </c>
      <c r="F942" t="s">
        <v>16687</v>
      </c>
      <c r="G942" t="s">
        <v>74</v>
      </c>
      <c r="H942" t="s">
        <v>74</v>
      </c>
      <c r="I942" t="s">
        <v>16688</v>
      </c>
      <c r="J942" t="s">
        <v>2887</v>
      </c>
      <c r="K942" t="s">
        <v>74</v>
      </c>
      <c r="L942" t="s">
        <v>74</v>
      </c>
      <c r="M942" t="s">
        <v>78</v>
      </c>
      <c r="N942" t="s">
        <v>79</v>
      </c>
      <c r="O942" t="s">
        <v>74</v>
      </c>
      <c r="P942" t="s">
        <v>74</v>
      </c>
      <c r="Q942" t="s">
        <v>74</v>
      </c>
      <c r="R942" t="s">
        <v>74</v>
      </c>
      <c r="S942" t="s">
        <v>74</v>
      </c>
      <c r="T942" t="s">
        <v>74</v>
      </c>
      <c r="U942" t="s">
        <v>16689</v>
      </c>
      <c r="V942" t="s">
        <v>16690</v>
      </c>
      <c r="W942" t="s">
        <v>16691</v>
      </c>
      <c r="X942" t="s">
        <v>16692</v>
      </c>
      <c r="Y942" t="s">
        <v>7683</v>
      </c>
      <c r="Z942" t="s">
        <v>10837</v>
      </c>
      <c r="AA942" t="s">
        <v>16693</v>
      </c>
      <c r="AB942" t="s">
        <v>16694</v>
      </c>
      <c r="AC942" t="s">
        <v>74</v>
      </c>
      <c r="AD942" t="s">
        <v>74</v>
      </c>
      <c r="AE942" t="s">
        <v>74</v>
      </c>
      <c r="AF942" t="s">
        <v>74</v>
      </c>
      <c r="AG942">
        <v>78</v>
      </c>
      <c r="AH942">
        <v>47</v>
      </c>
      <c r="AI942">
        <v>53</v>
      </c>
      <c r="AJ942">
        <v>1</v>
      </c>
      <c r="AK942">
        <v>28</v>
      </c>
      <c r="AL942" t="s">
        <v>1063</v>
      </c>
      <c r="AM942" t="s">
        <v>1064</v>
      </c>
      <c r="AN942" t="s">
        <v>1065</v>
      </c>
      <c r="AO942" t="s">
        <v>2897</v>
      </c>
      <c r="AP942" t="s">
        <v>16651</v>
      </c>
      <c r="AQ942" t="s">
        <v>74</v>
      </c>
      <c r="AR942" t="s">
        <v>2898</v>
      </c>
      <c r="AS942" t="s">
        <v>2899</v>
      </c>
      <c r="AT942" t="s">
        <v>8958</v>
      </c>
      <c r="AU942">
        <v>2010</v>
      </c>
      <c r="AV942">
        <v>29</v>
      </c>
      <c r="AW942" t="s">
        <v>1854</v>
      </c>
      <c r="AX942" t="s">
        <v>74</v>
      </c>
      <c r="AY942" t="s">
        <v>74</v>
      </c>
      <c r="AZ942" t="s">
        <v>152</v>
      </c>
      <c r="BA942" t="s">
        <v>74</v>
      </c>
      <c r="BB942">
        <v>170</v>
      </c>
      <c r="BC942">
        <v>181</v>
      </c>
      <c r="BD942" t="s">
        <v>74</v>
      </c>
      <c r="BE942" t="s">
        <v>16695</v>
      </c>
      <c r="BF942" t="str">
        <f>HYPERLINK("http://dx.doi.org/10.1016/j.quascirev.2009.05.011","http://dx.doi.org/10.1016/j.quascirev.2009.05.011")</f>
        <v>http://dx.doi.org/10.1016/j.quascirev.2009.05.011</v>
      </c>
      <c r="BG942" t="s">
        <v>74</v>
      </c>
      <c r="BH942" t="s">
        <v>74</v>
      </c>
      <c r="BI942">
        <v>12</v>
      </c>
      <c r="BJ942" t="s">
        <v>2881</v>
      </c>
      <c r="BK942" t="s">
        <v>102</v>
      </c>
      <c r="BL942" t="s">
        <v>2628</v>
      </c>
      <c r="BM942" t="s">
        <v>16558</v>
      </c>
      <c r="BN942" t="s">
        <v>74</v>
      </c>
      <c r="BO942" t="s">
        <v>74</v>
      </c>
      <c r="BP942" t="s">
        <v>74</v>
      </c>
      <c r="BQ942" t="s">
        <v>74</v>
      </c>
      <c r="BR942" t="s">
        <v>105</v>
      </c>
      <c r="BS942" t="s">
        <v>16696</v>
      </c>
      <c r="BT942" t="str">
        <f>HYPERLINK("https%3A%2F%2Fwww.webofscience.com%2Fwos%2Fwoscc%2Ffull-record%2FWOS:000274958000014","View Full Record in Web of Science")</f>
        <v>View Full Record in Web of Science</v>
      </c>
    </row>
    <row r="943" spans="1:72" x14ac:dyDescent="0.15">
      <c r="A943" t="s">
        <v>72</v>
      </c>
      <c r="B943" t="s">
        <v>16697</v>
      </c>
      <c r="C943" t="s">
        <v>74</v>
      </c>
      <c r="D943" t="s">
        <v>74</v>
      </c>
      <c r="E943" t="s">
        <v>74</v>
      </c>
      <c r="F943" t="s">
        <v>16698</v>
      </c>
      <c r="G943" t="s">
        <v>74</v>
      </c>
      <c r="H943" t="s">
        <v>74</v>
      </c>
      <c r="I943" t="s">
        <v>16699</v>
      </c>
      <c r="J943" t="s">
        <v>2887</v>
      </c>
      <c r="K943" t="s">
        <v>74</v>
      </c>
      <c r="L943" t="s">
        <v>74</v>
      </c>
      <c r="M943" t="s">
        <v>78</v>
      </c>
      <c r="N943" t="s">
        <v>79</v>
      </c>
      <c r="O943" t="s">
        <v>74</v>
      </c>
      <c r="P943" t="s">
        <v>74</v>
      </c>
      <c r="Q943" t="s">
        <v>74</v>
      </c>
      <c r="R943" t="s">
        <v>74</v>
      </c>
      <c r="S943" t="s">
        <v>74</v>
      </c>
      <c r="T943" t="s">
        <v>74</v>
      </c>
      <c r="U943" t="s">
        <v>16700</v>
      </c>
      <c r="V943" t="s">
        <v>16701</v>
      </c>
      <c r="W943" t="s">
        <v>16702</v>
      </c>
      <c r="X943" t="s">
        <v>16703</v>
      </c>
      <c r="Y943" t="s">
        <v>16704</v>
      </c>
      <c r="Z943" t="s">
        <v>16705</v>
      </c>
      <c r="AA943" t="s">
        <v>16706</v>
      </c>
      <c r="AB943" t="s">
        <v>16707</v>
      </c>
      <c r="AC943" t="s">
        <v>16708</v>
      </c>
      <c r="AD943" t="s">
        <v>16709</v>
      </c>
      <c r="AE943" t="s">
        <v>16710</v>
      </c>
      <c r="AF943" t="s">
        <v>74</v>
      </c>
      <c r="AG943">
        <v>100</v>
      </c>
      <c r="AH943">
        <v>91</v>
      </c>
      <c r="AI943">
        <v>101</v>
      </c>
      <c r="AJ943">
        <v>0</v>
      </c>
      <c r="AK943">
        <v>64</v>
      </c>
      <c r="AL943" t="s">
        <v>1063</v>
      </c>
      <c r="AM943" t="s">
        <v>1064</v>
      </c>
      <c r="AN943" t="s">
        <v>1065</v>
      </c>
      <c r="AO943" t="s">
        <v>2897</v>
      </c>
      <c r="AP943" t="s">
        <v>16651</v>
      </c>
      <c r="AQ943" t="s">
        <v>74</v>
      </c>
      <c r="AR943" t="s">
        <v>2898</v>
      </c>
      <c r="AS943" t="s">
        <v>2899</v>
      </c>
      <c r="AT943" t="s">
        <v>8958</v>
      </c>
      <c r="AU943">
        <v>2010</v>
      </c>
      <c r="AV943">
        <v>29</v>
      </c>
      <c r="AW943" t="s">
        <v>1854</v>
      </c>
      <c r="AX943" t="s">
        <v>74</v>
      </c>
      <c r="AY943" t="s">
        <v>74</v>
      </c>
      <c r="AZ943" t="s">
        <v>152</v>
      </c>
      <c r="BA943" t="s">
        <v>74</v>
      </c>
      <c r="BB943">
        <v>193</v>
      </c>
      <c r="BC943">
        <v>205</v>
      </c>
      <c r="BD943" t="s">
        <v>74</v>
      </c>
      <c r="BE943" t="s">
        <v>16711</v>
      </c>
      <c r="BF943" t="str">
        <f>HYPERLINK("http://dx.doi.org/10.1016/j.quascirev.2009.06.007","http://dx.doi.org/10.1016/j.quascirev.2009.06.007")</f>
        <v>http://dx.doi.org/10.1016/j.quascirev.2009.06.007</v>
      </c>
      <c r="BG943" t="s">
        <v>74</v>
      </c>
      <c r="BH943" t="s">
        <v>74</v>
      </c>
      <c r="BI943">
        <v>13</v>
      </c>
      <c r="BJ943" t="s">
        <v>2881</v>
      </c>
      <c r="BK943" t="s">
        <v>102</v>
      </c>
      <c r="BL943" t="s">
        <v>2628</v>
      </c>
      <c r="BM943" t="s">
        <v>16558</v>
      </c>
      <c r="BN943" t="s">
        <v>74</v>
      </c>
      <c r="BO943" t="s">
        <v>74</v>
      </c>
      <c r="BP943" t="s">
        <v>74</v>
      </c>
      <c r="BQ943" t="s">
        <v>74</v>
      </c>
      <c r="BR943" t="s">
        <v>105</v>
      </c>
      <c r="BS943" t="s">
        <v>16712</v>
      </c>
      <c r="BT943" t="str">
        <f>HYPERLINK("https%3A%2F%2Fwww.webofscience.com%2Fwos%2Fwoscc%2Ffull-record%2FWOS:000274958000016","View Full Record in Web of Science")</f>
        <v>View Full Record in Web of Science</v>
      </c>
    </row>
    <row r="944" spans="1:72" x14ac:dyDescent="0.15">
      <c r="A944" t="s">
        <v>72</v>
      </c>
      <c r="B944" t="s">
        <v>16713</v>
      </c>
      <c r="C944" t="s">
        <v>74</v>
      </c>
      <c r="D944" t="s">
        <v>74</v>
      </c>
      <c r="E944" t="s">
        <v>74</v>
      </c>
      <c r="F944" t="s">
        <v>16714</v>
      </c>
      <c r="G944" t="s">
        <v>74</v>
      </c>
      <c r="H944" t="s">
        <v>74</v>
      </c>
      <c r="I944" t="s">
        <v>16715</v>
      </c>
      <c r="J944" t="s">
        <v>2887</v>
      </c>
      <c r="K944" t="s">
        <v>74</v>
      </c>
      <c r="L944" t="s">
        <v>74</v>
      </c>
      <c r="M944" t="s">
        <v>78</v>
      </c>
      <c r="N944" t="s">
        <v>79</v>
      </c>
      <c r="O944" t="s">
        <v>74</v>
      </c>
      <c r="P944" t="s">
        <v>74</v>
      </c>
      <c r="Q944" t="s">
        <v>74</v>
      </c>
      <c r="R944" t="s">
        <v>74</v>
      </c>
      <c r="S944" t="s">
        <v>74</v>
      </c>
      <c r="T944" t="s">
        <v>74</v>
      </c>
      <c r="U944" t="s">
        <v>16716</v>
      </c>
      <c r="V944" t="s">
        <v>16717</v>
      </c>
      <c r="W944" t="s">
        <v>16718</v>
      </c>
      <c r="X944" t="s">
        <v>16719</v>
      </c>
      <c r="Y944" t="s">
        <v>16720</v>
      </c>
      <c r="Z944" t="s">
        <v>16721</v>
      </c>
      <c r="AA944" t="s">
        <v>16722</v>
      </c>
      <c r="AB944" t="s">
        <v>16723</v>
      </c>
      <c r="AC944" t="s">
        <v>3794</v>
      </c>
      <c r="AD944" t="s">
        <v>3795</v>
      </c>
      <c r="AE944" t="s">
        <v>16724</v>
      </c>
      <c r="AF944" t="s">
        <v>74</v>
      </c>
      <c r="AG944">
        <v>70</v>
      </c>
      <c r="AH944">
        <v>65</v>
      </c>
      <c r="AI944">
        <v>75</v>
      </c>
      <c r="AJ944">
        <v>2</v>
      </c>
      <c r="AK944">
        <v>42</v>
      </c>
      <c r="AL944" t="s">
        <v>1063</v>
      </c>
      <c r="AM944" t="s">
        <v>1064</v>
      </c>
      <c r="AN944" t="s">
        <v>1065</v>
      </c>
      <c r="AO944" t="s">
        <v>2897</v>
      </c>
      <c r="AP944" t="s">
        <v>74</v>
      </c>
      <c r="AQ944" t="s">
        <v>74</v>
      </c>
      <c r="AR944" t="s">
        <v>2898</v>
      </c>
      <c r="AS944" t="s">
        <v>2899</v>
      </c>
      <c r="AT944" t="s">
        <v>8958</v>
      </c>
      <c r="AU944">
        <v>2010</v>
      </c>
      <c r="AV944">
        <v>29</v>
      </c>
      <c r="AW944" t="s">
        <v>1854</v>
      </c>
      <c r="AX944" t="s">
        <v>74</v>
      </c>
      <c r="AY944" t="s">
        <v>74</v>
      </c>
      <c r="AZ944" t="s">
        <v>152</v>
      </c>
      <c r="BA944" t="s">
        <v>74</v>
      </c>
      <c r="BB944">
        <v>206</v>
      </c>
      <c r="BC944">
        <v>212</v>
      </c>
      <c r="BD944" t="s">
        <v>74</v>
      </c>
      <c r="BE944" t="s">
        <v>16725</v>
      </c>
      <c r="BF944" t="str">
        <f>HYPERLINK("http://dx.doi.org/10.1016/j.quascirev.2009.10.007","http://dx.doi.org/10.1016/j.quascirev.2009.10.007")</f>
        <v>http://dx.doi.org/10.1016/j.quascirev.2009.10.007</v>
      </c>
      <c r="BG944" t="s">
        <v>74</v>
      </c>
      <c r="BH944" t="s">
        <v>74</v>
      </c>
      <c r="BI944">
        <v>7</v>
      </c>
      <c r="BJ944" t="s">
        <v>2881</v>
      </c>
      <c r="BK944" t="s">
        <v>102</v>
      </c>
      <c r="BL944" t="s">
        <v>2628</v>
      </c>
      <c r="BM944" t="s">
        <v>16558</v>
      </c>
      <c r="BN944" t="s">
        <v>74</v>
      </c>
      <c r="BO944" t="s">
        <v>74</v>
      </c>
      <c r="BP944" t="s">
        <v>74</v>
      </c>
      <c r="BQ944" t="s">
        <v>74</v>
      </c>
      <c r="BR944" t="s">
        <v>105</v>
      </c>
      <c r="BS944" t="s">
        <v>16726</v>
      </c>
      <c r="BT944" t="str">
        <f>HYPERLINK("https%3A%2F%2Fwww.webofscience.com%2Fwos%2Fwoscc%2Ffull-record%2FWOS:000274958000017","View Full Record in Web of Science")</f>
        <v>View Full Record in Web of Science</v>
      </c>
    </row>
    <row r="945" spans="1:72" x14ac:dyDescent="0.15">
      <c r="A945" t="s">
        <v>72</v>
      </c>
      <c r="B945" t="s">
        <v>16727</v>
      </c>
      <c r="C945" t="s">
        <v>74</v>
      </c>
      <c r="D945" t="s">
        <v>74</v>
      </c>
      <c r="E945" t="s">
        <v>74</v>
      </c>
      <c r="F945" t="s">
        <v>16728</v>
      </c>
      <c r="G945" t="s">
        <v>74</v>
      </c>
      <c r="H945" t="s">
        <v>74</v>
      </c>
      <c r="I945" t="s">
        <v>16729</v>
      </c>
      <c r="J945" t="s">
        <v>2887</v>
      </c>
      <c r="K945" t="s">
        <v>74</v>
      </c>
      <c r="L945" t="s">
        <v>74</v>
      </c>
      <c r="M945" t="s">
        <v>78</v>
      </c>
      <c r="N945" t="s">
        <v>79</v>
      </c>
      <c r="O945" t="s">
        <v>74</v>
      </c>
      <c r="P945" t="s">
        <v>74</v>
      </c>
      <c r="Q945" t="s">
        <v>74</v>
      </c>
      <c r="R945" t="s">
        <v>74</v>
      </c>
      <c r="S945" t="s">
        <v>74</v>
      </c>
      <c r="T945" t="s">
        <v>74</v>
      </c>
      <c r="U945" t="s">
        <v>16730</v>
      </c>
      <c r="V945" t="s">
        <v>16731</v>
      </c>
      <c r="W945" t="s">
        <v>16732</v>
      </c>
      <c r="X945" t="s">
        <v>16733</v>
      </c>
      <c r="Y945" t="s">
        <v>16734</v>
      </c>
      <c r="Z945" t="s">
        <v>10860</v>
      </c>
      <c r="AA945" t="s">
        <v>16735</v>
      </c>
      <c r="AB945" t="s">
        <v>16736</v>
      </c>
      <c r="AC945" t="s">
        <v>74</v>
      </c>
      <c r="AD945" t="s">
        <v>74</v>
      </c>
      <c r="AE945" t="s">
        <v>74</v>
      </c>
      <c r="AF945" t="s">
        <v>74</v>
      </c>
      <c r="AG945">
        <v>78</v>
      </c>
      <c r="AH945">
        <v>69</v>
      </c>
      <c r="AI945">
        <v>73</v>
      </c>
      <c r="AJ945">
        <v>0</v>
      </c>
      <c r="AK945">
        <v>43</v>
      </c>
      <c r="AL945" t="s">
        <v>1063</v>
      </c>
      <c r="AM945" t="s">
        <v>1064</v>
      </c>
      <c r="AN945" t="s">
        <v>1065</v>
      </c>
      <c r="AO945" t="s">
        <v>2897</v>
      </c>
      <c r="AP945" t="s">
        <v>74</v>
      </c>
      <c r="AQ945" t="s">
        <v>74</v>
      </c>
      <c r="AR945" t="s">
        <v>2898</v>
      </c>
      <c r="AS945" t="s">
        <v>2899</v>
      </c>
      <c r="AT945" t="s">
        <v>8958</v>
      </c>
      <c r="AU945">
        <v>2010</v>
      </c>
      <c r="AV945">
        <v>29</v>
      </c>
      <c r="AW945" t="s">
        <v>1854</v>
      </c>
      <c r="AX945" t="s">
        <v>74</v>
      </c>
      <c r="AY945" t="s">
        <v>74</v>
      </c>
      <c r="AZ945" t="s">
        <v>152</v>
      </c>
      <c r="BA945" t="s">
        <v>74</v>
      </c>
      <c r="BB945">
        <v>222</v>
      </c>
      <c r="BC945">
        <v>234</v>
      </c>
      <c r="BD945" t="s">
        <v>74</v>
      </c>
      <c r="BE945" t="s">
        <v>16737</v>
      </c>
      <c r="BF945" t="str">
        <f>HYPERLINK("http://dx.doi.org/10.1016/j.quascirev.2009.07.014","http://dx.doi.org/10.1016/j.quascirev.2009.07.014")</f>
        <v>http://dx.doi.org/10.1016/j.quascirev.2009.07.014</v>
      </c>
      <c r="BG945" t="s">
        <v>74</v>
      </c>
      <c r="BH945" t="s">
        <v>74</v>
      </c>
      <c r="BI945">
        <v>13</v>
      </c>
      <c r="BJ945" t="s">
        <v>2881</v>
      </c>
      <c r="BK945" t="s">
        <v>102</v>
      </c>
      <c r="BL945" t="s">
        <v>2628</v>
      </c>
      <c r="BM945" t="s">
        <v>16558</v>
      </c>
      <c r="BN945" t="s">
        <v>74</v>
      </c>
      <c r="BO945" t="s">
        <v>74</v>
      </c>
      <c r="BP945" t="s">
        <v>74</v>
      </c>
      <c r="BQ945" t="s">
        <v>74</v>
      </c>
      <c r="BR945" t="s">
        <v>105</v>
      </c>
      <c r="BS945" t="s">
        <v>16738</v>
      </c>
      <c r="BT945" t="str">
        <f>HYPERLINK("https%3A%2F%2Fwww.webofscience.com%2Fwos%2Fwoscc%2Ffull-record%2FWOS:000274958000019","View Full Record in Web of Science")</f>
        <v>View Full Record in Web of Science</v>
      </c>
    </row>
    <row r="946" spans="1:72" x14ac:dyDescent="0.15">
      <c r="A946" t="s">
        <v>72</v>
      </c>
      <c r="B946" t="s">
        <v>16739</v>
      </c>
      <c r="C946" t="s">
        <v>74</v>
      </c>
      <c r="D946" t="s">
        <v>74</v>
      </c>
      <c r="E946" t="s">
        <v>74</v>
      </c>
      <c r="F946" t="s">
        <v>16740</v>
      </c>
      <c r="G946" t="s">
        <v>74</v>
      </c>
      <c r="H946" t="s">
        <v>74</v>
      </c>
      <c r="I946" t="s">
        <v>16741</v>
      </c>
      <c r="J946" t="s">
        <v>2887</v>
      </c>
      <c r="K946" t="s">
        <v>74</v>
      </c>
      <c r="L946" t="s">
        <v>74</v>
      </c>
      <c r="M946" t="s">
        <v>78</v>
      </c>
      <c r="N946" t="s">
        <v>79</v>
      </c>
      <c r="O946" t="s">
        <v>74</v>
      </c>
      <c r="P946" t="s">
        <v>74</v>
      </c>
      <c r="Q946" t="s">
        <v>74</v>
      </c>
      <c r="R946" t="s">
        <v>74</v>
      </c>
      <c r="S946" t="s">
        <v>74</v>
      </c>
      <c r="T946" t="s">
        <v>74</v>
      </c>
      <c r="U946" t="s">
        <v>16742</v>
      </c>
      <c r="V946" t="s">
        <v>16743</v>
      </c>
      <c r="W946" t="s">
        <v>16744</v>
      </c>
      <c r="X946" t="s">
        <v>16745</v>
      </c>
      <c r="Y946" t="s">
        <v>16746</v>
      </c>
      <c r="Z946" t="s">
        <v>16747</v>
      </c>
      <c r="AA946" t="s">
        <v>16748</v>
      </c>
      <c r="AB946" t="s">
        <v>16749</v>
      </c>
      <c r="AC946" t="s">
        <v>16750</v>
      </c>
      <c r="AD946" t="s">
        <v>16751</v>
      </c>
      <c r="AE946" t="s">
        <v>16752</v>
      </c>
      <c r="AF946" t="s">
        <v>74</v>
      </c>
      <c r="AG946">
        <v>95</v>
      </c>
      <c r="AH946">
        <v>58</v>
      </c>
      <c r="AI946">
        <v>63</v>
      </c>
      <c r="AJ946">
        <v>0</v>
      </c>
      <c r="AK946">
        <v>62</v>
      </c>
      <c r="AL946" t="s">
        <v>1063</v>
      </c>
      <c r="AM946" t="s">
        <v>1064</v>
      </c>
      <c r="AN946" t="s">
        <v>1065</v>
      </c>
      <c r="AO946" t="s">
        <v>2897</v>
      </c>
      <c r="AP946" t="s">
        <v>16651</v>
      </c>
      <c r="AQ946" t="s">
        <v>74</v>
      </c>
      <c r="AR946" t="s">
        <v>2898</v>
      </c>
      <c r="AS946" t="s">
        <v>2899</v>
      </c>
      <c r="AT946" t="s">
        <v>8958</v>
      </c>
      <c r="AU946">
        <v>2010</v>
      </c>
      <c r="AV946">
        <v>29</v>
      </c>
      <c r="AW946" t="s">
        <v>1854</v>
      </c>
      <c r="AX946" t="s">
        <v>74</v>
      </c>
      <c r="AY946" t="s">
        <v>74</v>
      </c>
      <c r="AZ946" t="s">
        <v>152</v>
      </c>
      <c r="BA946" t="s">
        <v>74</v>
      </c>
      <c r="BB946">
        <v>235</v>
      </c>
      <c r="BC946">
        <v>246</v>
      </c>
      <c r="BD946" t="s">
        <v>74</v>
      </c>
      <c r="BE946" t="s">
        <v>16753</v>
      </c>
      <c r="BF946" t="str">
        <f>HYPERLINK("http://dx.doi.org/10.1016/j.quascirev.2009.07.005","http://dx.doi.org/10.1016/j.quascirev.2009.07.005")</f>
        <v>http://dx.doi.org/10.1016/j.quascirev.2009.07.005</v>
      </c>
      <c r="BG946" t="s">
        <v>74</v>
      </c>
      <c r="BH946" t="s">
        <v>74</v>
      </c>
      <c r="BI946">
        <v>12</v>
      </c>
      <c r="BJ946" t="s">
        <v>2881</v>
      </c>
      <c r="BK946" t="s">
        <v>102</v>
      </c>
      <c r="BL946" t="s">
        <v>2628</v>
      </c>
      <c r="BM946" t="s">
        <v>16558</v>
      </c>
      <c r="BN946" t="s">
        <v>74</v>
      </c>
      <c r="BO946" t="s">
        <v>74</v>
      </c>
      <c r="BP946" t="s">
        <v>74</v>
      </c>
      <c r="BQ946" t="s">
        <v>74</v>
      </c>
      <c r="BR946" t="s">
        <v>105</v>
      </c>
      <c r="BS946" t="s">
        <v>16754</v>
      </c>
      <c r="BT946" t="str">
        <f>HYPERLINK("https%3A%2F%2Fwww.webofscience.com%2Fwos%2Fwoscc%2Ffull-record%2FWOS:000274958000020","View Full Record in Web of Science")</f>
        <v>View Full Record in Web of Science</v>
      </c>
    </row>
    <row r="947" spans="1:72" x14ac:dyDescent="0.15">
      <c r="A947" t="s">
        <v>72</v>
      </c>
      <c r="B947" t="s">
        <v>16755</v>
      </c>
      <c r="C947" t="s">
        <v>74</v>
      </c>
      <c r="D947" t="s">
        <v>74</v>
      </c>
      <c r="E947" t="s">
        <v>74</v>
      </c>
      <c r="F947" t="s">
        <v>16756</v>
      </c>
      <c r="G947" t="s">
        <v>74</v>
      </c>
      <c r="H947" t="s">
        <v>74</v>
      </c>
      <c r="I947" t="s">
        <v>16757</v>
      </c>
      <c r="J947" t="s">
        <v>2887</v>
      </c>
      <c r="K947" t="s">
        <v>74</v>
      </c>
      <c r="L947" t="s">
        <v>74</v>
      </c>
      <c r="M947" t="s">
        <v>78</v>
      </c>
      <c r="N947" t="s">
        <v>79</v>
      </c>
      <c r="O947" t="s">
        <v>74</v>
      </c>
      <c r="P947" t="s">
        <v>74</v>
      </c>
      <c r="Q947" t="s">
        <v>74</v>
      </c>
      <c r="R947" t="s">
        <v>74</v>
      </c>
      <c r="S947" t="s">
        <v>74</v>
      </c>
      <c r="T947" t="s">
        <v>74</v>
      </c>
      <c r="U947" t="s">
        <v>16758</v>
      </c>
      <c r="V947" t="s">
        <v>16759</v>
      </c>
      <c r="W947" t="s">
        <v>16760</v>
      </c>
      <c r="X947" t="s">
        <v>16761</v>
      </c>
      <c r="Y947" t="s">
        <v>16762</v>
      </c>
      <c r="Z947" t="s">
        <v>16763</v>
      </c>
      <c r="AA947" t="s">
        <v>16764</v>
      </c>
      <c r="AB947" t="s">
        <v>16765</v>
      </c>
      <c r="AC947" t="s">
        <v>16766</v>
      </c>
      <c r="AD947" t="s">
        <v>16767</v>
      </c>
      <c r="AE947" t="s">
        <v>16768</v>
      </c>
      <c r="AF947" t="s">
        <v>74</v>
      </c>
      <c r="AG947">
        <v>47</v>
      </c>
      <c r="AH947">
        <v>73</v>
      </c>
      <c r="AI947">
        <v>78</v>
      </c>
      <c r="AJ947">
        <v>1</v>
      </c>
      <c r="AK947">
        <v>36</v>
      </c>
      <c r="AL947" t="s">
        <v>1063</v>
      </c>
      <c r="AM947" t="s">
        <v>1064</v>
      </c>
      <c r="AN947" t="s">
        <v>1065</v>
      </c>
      <c r="AO947" t="s">
        <v>2897</v>
      </c>
      <c r="AP947" t="s">
        <v>74</v>
      </c>
      <c r="AQ947" t="s">
        <v>74</v>
      </c>
      <c r="AR947" t="s">
        <v>2898</v>
      </c>
      <c r="AS947" t="s">
        <v>2899</v>
      </c>
      <c r="AT947" t="s">
        <v>8958</v>
      </c>
      <c r="AU947">
        <v>2010</v>
      </c>
      <c r="AV947">
        <v>29</v>
      </c>
      <c r="AW947" t="s">
        <v>1854</v>
      </c>
      <c r="AX947" t="s">
        <v>74</v>
      </c>
      <c r="AY947" t="s">
        <v>74</v>
      </c>
      <c r="AZ947" t="s">
        <v>152</v>
      </c>
      <c r="BA947" t="s">
        <v>74</v>
      </c>
      <c r="BB947">
        <v>247</v>
      </c>
      <c r="BC947">
        <v>255</v>
      </c>
      <c r="BD947" t="s">
        <v>74</v>
      </c>
      <c r="BE947" t="s">
        <v>16769</v>
      </c>
      <c r="BF947" t="str">
        <f>HYPERLINK("http://dx.doi.org/10.1016/j.quascirev.2009.06.019","http://dx.doi.org/10.1016/j.quascirev.2009.06.019")</f>
        <v>http://dx.doi.org/10.1016/j.quascirev.2009.06.019</v>
      </c>
      <c r="BG947" t="s">
        <v>74</v>
      </c>
      <c r="BH947" t="s">
        <v>74</v>
      </c>
      <c r="BI947">
        <v>9</v>
      </c>
      <c r="BJ947" t="s">
        <v>2881</v>
      </c>
      <c r="BK947" t="s">
        <v>102</v>
      </c>
      <c r="BL947" t="s">
        <v>2628</v>
      </c>
      <c r="BM947" t="s">
        <v>16558</v>
      </c>
      <c r="BN947" t="s">
        <v>74</v>
      </c>
      <c r="BO947" t="s">
        <v>326</v>
      </c>
      <c r="BP947" t="s">
        <v>74</v>
      </c>
      <c r="BQ947" t="s">
        <v>74</v>
      </c>
      <c r="BR947" t="s">
        <v>105</v>
      </c>
      <c r="BS947" t="s">
        <v>16770</v>
      </c>
      <c r="BT947" t="str">
        <f>HYPERLINK("https%3A%2F%2Fwww.webofscience.com%2Fwos%2Fwoscc%2Ffull-record%2FWOS:000274958000021","View Full Record in Web of Science")</f>
        <v>View Full Record in Web of Science</v>
      </c>
    </row>
    <row r="948" spans="1:72" x14ac:dyDescent="0.15">
      <c r="A948" t="s">
        <v>72</v>
      </c>
      <c r="B948" t="s">
        <v>16771</v>
      </c>
      <c r="C948" t="s">
        <v>74</v>
      </c>
      <c r="D948" t="s">
        <v>74</v>
      </c>
      <c r="E948" t="s">
        <v>74</v>
      </c>
      <c r="F948" t="s">
        <v>16772</v>
      </c>
      <c r="G948" t="s">
        <v>74</v>
      </c>
      <c r="H948" t="s">
        <v>74</v>
      </c>
      <c r="I948" t="s">
        <v>16773</v>
      </c>
      <c r="J948" t="s">
        <v>2887</v>
      </c>
      <c r="K948" t="s">
        <v>74</v>
      </c>
      <c r="L948" t="s">
        <v>74</v>
      </c>
      <c r="M948" t="s">
        <v>78</v>
      </c>
      <c r="N948" t="s">
        <v>79</v>
      </c>
      <c r="O948" t="s">
        <v>74</v>
      </c>
      <c r="P948" t="s">
        <v>74</v>
      </c>
      <c r="Q948" t="s">
        <v>74</v>
      </c>
      <c r="R948" t="s">
        <v>74</v>
      </c>
      <c r="S948" t="s">
        <v>74</v>
      </c>
      <c r="T948" t="s">
        <v>74</v>
      </c>
      <c r="U948" t="s">
        <v>16774</v>
      </c>
      <c r="V948" t="s">
        <v>16775</v>
      </c>
      <c r="W948" t="s">
        <v>16776</v>
      </c>
      <c r="X948" t="s">
        <v>16777</v>
      </c>
      <c r="Y948" t="s">
        <v>16778</v>
      </c>
      <c r="Z948" t="s">
        <v>16779</v>
      </c>
      <c r="AA948" t="s">
        <v>16780</v>
      </c>
      <c r="AB948" t="s">
        <v>16781</v>
      </c>
      <c r="AC948" t="s">
        <v>16782</v>
      </c>
      <c r="AD948" t="s">
        <v>16783</v>
      </c>
      <c r="AE948" t="s">
        <v>16784</v>
      </c>
      <c r="AF948" t="s">
        <v>74</v>
      </c>
      <c r="AG948">
        <v>35</v>
      </c>
      <c r="AH948">
        <v>80</v>
      </c>
      <c r="AI948">
        <v>83</v>
      </c>
      <c r="AJ948">
        <v>0</v>
      </c>
      <c r="AK948">
        <v>34</v>
      </c>
      <c r="AL948" t="s">
        <v>1063</v>
      </c>
      <c r="AM948" t="s">
        <v>1064</v>
      </c>
      <c r="AN948" t="s">
        <v>1065</v>
      </c>
      <c r="AO948" t="s">
        <v>2897</v>
      </c>
      <c r="AP948" t="s">
        <v>74</v>
      </c>
      <c r="AQ948" t="s">
        <v>74</v>
      </c>
      <c r="AR948" t="s">
        <v>2898</v>
      </c>
      <c r="AS948" t="s">
        <v>2899</v>
      </c>
      <c r="AT948" t="s">
        <v>8958</v>
      </c>
      <c r="AU948">
        <v>2010</v>
      </c>
      <c r="AV948">
        <v>29</v>
      </c>
      <c r="AW948" t="s">
        <v>1854</v>
      </c>
      <c r="AX948" t="s">
        <v>74</v>
      </c>
      <c r="AY948" t="s">
        <v>74</v>
      </c>
      <c r="AZ948" t="s">
        <v>152</v>
      </c>
      <c r="BA948" t="s">
        <v>74</v>
      </c>
      <c r="BB948">
        <v>256</v>
      </c>
      <c r="BC948">
        <v>264</v>
      </c>
      <c r="BD948" t="s">
        <v>74</v>
      </c>
      <c r="BE948" t="s">
        <v>16785</v>
      </c>
      <c r="BF948" t="str">
        <f>HYPERLINK("http://dx.doi.org/10.1016/j.quascirev.2009.05.010","http://dx.doi.org/10.1016/j.quascirev.2009.05.010")</f>
        <v>http://dx.doi.org/10.1016/j.quascirev.2009.05.010</v>
      </c>
      <c r="BG948" t="s">
        <v>74</v>
      </c>
      <c r="BH948" t="s">
        <v>74</v>
      </c>
      <c r="BI948">
        <v>9</v>
      </c>
      <c r="BJ948" t="s">
        <v>2881</v>
      </c>
      <c r="BK948" t="s">
        <v>102</v>
      </c>
      <c r="BL948" t="s">
        <v>2628</v>
      </c>
      <c r="BM948" t="s">
        <v>16558</v>
      </c>
      <c r="BN948" t="s">
        <v>74</v>
      </c>
      <c r="BO948" t="s">
        <v>326</v>
      </c>
      <c r="BP948" t="s">
        <v>74</v>
      </c>
      <c r="BQ948" t="s">
        <v>74</v>
      </c>
      <c r="BR948" t="s">
        <v>105</v>
      </c>
      <c r="BS948" t="s">
        <v>16786</v>
      </c>
      <c r="BT948" t="str">
        <f>HYPERLINK("https%3A%2F%2Fwww.webofscience.com%2Fwos%2Fwoscc%2Ffull-record%2FWOS:000274958000022","View Full Record in Web of Science")</f>
        <v>View Full Record in Web of Science</v>
      </c>
    </row>
    <row r="949" spans="1:72" x14ac:dyDescent="0.15">
      <c r="A949" t="s">
        <v>72</v>
      </c>
      <c r="B949" t="s">
        <v>16787</v>
      </c>
      <c r="C949" t="s">
        <v>74</v>
      </c>
      <c r="D949" t="s">
        <v>74</v>
      </c>
      <c r="E949" t="s">
        <v>74</v>
      </c>
      <c r="F949" t="s">
        <v>16788</v>
      </c>
      <c r="G949" t="s">
        <v>74</v>
      </c>
      <c r="H949" t="s">
        <v>74</v>
      </c>
      <c r="I949" t="s">
        <v>16789</v>
      </c>
      <c r="J949" t="s">
        <v>2887</v>
      </c>
      <c r="K949" t="s">
        <v>74</v>
      </c>
      <c r="L949" t="s">
        <v>74</v>
      </c>
      <c r="M949" t="s">
        <v>78</v>
      </c>
      <c r="N949" t="s">
        <v>79</v>
      </c>
      <c r="O949" t="s">
        <v>74</v>
      </c>
      <c r="P949" t="s">
        <v>74</v>
      </c>
      <c r="Q949" t="s">
        <v>74</v>
      </c>
      <c r="R949" t="s">
        <v>74</v>
      </c>
      <c r="S949" t="s">
        <v>74</v>
      </c>
      <c r="T949" t="s">
        <v>74</v>
      </c>
      <c r="U949" t="s">
        <v>16790</v>
      </c>
      <c r="V949" t="s">
        <v>16791</v>
      </c>
      <c r="W949" t="s">
        <v>16792</v>
      </c>
      <c r="X949" t="s">
        <v>16793</v>
      </c>
      <c r="Y949" t="s">
        <v>16794</v>
      </c>
      <c r="Z949" t="s">
        <v>16795</v>
      </c>
      <c r="AA949" t="s">
        <v>16796</v>
      </c>
      <c r="AB949" t="s">
        <v>16797</v>
      </c>
      <c r="AC949" t="s">
        <v>16798</v>
      </c>
      <c r="AD949" t="s">
        <v>16799</v>
      </c>
      <c r="AE949" t="s">
        <v>16800</v>
      </c>
      <c r="AF949" t="s">
        <v>74</v>
      </c>
      <c r="AG949">
        <v>50</v>
      </c>
      <c r="AH949">
        <v>78</v>
      </c>
      <c r="AI949">
        <v>86</v>
      </c>
      <c r="AJ949">
        <v>1</v>
      </c>
      <c r="AK949">
        <v>36</v>
      </c>
      <c r="AL949" t="s">
        <v>1063</v>
      </c>
      <c r="AM949" t="s">
        <v>1064</v>
      </c>
      <c r="AN949" t="s">
        <v>1065</v>
      </c>
      <c r="AO949" t="s">
        <v>2897</v>
      </c>
      <c r="AP949" t="s">
        <v>74</v>
      </c>
      <c r="AQ949" t="s">
        <v>74</v>
      </c>
      <c r="AR949" t="s">
        <v>2898</v>
      </c>
      <c r="AS949" t="s">
        <v>2899</v>
      </c>
      <c r="AT949" t="s">
        <v>8958</v>
      </c>
      <c r="AU949">
        <v>2010</v>
      </c>
      <c r="AV949">
        <v>29</v>
      </c>
      <c r="AW949" t="s">
        <v>1854</v>
      </c>
      <c r="AX949" t="s">
        <v>74</v>
      </c>
      <c r="AY949" t="s">
        <v>74</v>
      </c>
      <c r="AZ949" t="s">
        <v>152</v>
      </c>
      <c r="BA949" t="s">
        <v>74</v>
      </c>
      <c r="BB949">
        <v>265</v>
      </c>
      <c r="BC949">
        <v>273</v>
      </c>
      <c r="BD949" t="s">
        <v>74</v>
      </c>
      <c r="BE949" t="s">
        <v>16801</v>
      </c>
      <c r="BF949" t="str">
        <f>HYPERLINK("http://dx.doi.org/10.1016/j.quascirev.2009.09.002","http://dx.doi.org/10.1016/j.quascirev.2009.09.002")</f>
        <v>http://dx.doi.org/10.1016/j.quascirev.2009.09.002</v>
      </c>
      <c r="BG949" t="s">
        <v>74</v>
      </c>
      <c r="BH949" t="s">
        <v>74</v>
      </c>
      <c r="BI949">
        <v>9</v>
      </c>
      <c r="BJ949" t="s">
        <v>2881</v>
      </c>
      <c r="BK949" t="s">
        <v>102</v>
      </c>
      <c r="BL949" t="s">
        <v>2628</v>
      </c>
      <c r="BM949" t="s">
        <v>16558</v>
      </c>
      <c r="BN949" t="s">
        <v>74</v>
      </c>
      <c r="BO949" t="s">
        <v>555</v>
      </c>
      <c r="BP949" t="s">
        <v>74</v>
      </c>
      <c r="BQ949" t="s">
        <v>74</v>
      </c>
      <c r="BR949" t="s">
        <v>105</v>
      </c>
      <c r="BS949" t="s">
        <v>16802</v>
      </c>
      <c r="BT949" t="str">
        <f>HYPERLINK("https%3A%2F%2Fwww.webofscience.com%2Fwos%2Fwoscc%2Ffull-record%2FWOS:000274958000023","View Full Record in Web of Science")</f>
        <v>View Full Record in Web of Science</v>
      </c>
    </row>
    <row r="950" spans="1:72" x14ac:dyDescent="0.15">
      <c r="A950" t="s">
        <v>72</v>
      </c>
      <c r="B950" t="s">
        <v>16803</v>
      </c>
      <c r="C950" t="s">
        <v>74</v>
      </c>
      <c r="D950" t="s">
        <v>74</v>
      </c>
      <c r="E950" t="s">
        <v>74</v>
      </c>
      <c r="F950" t="s">
        <v>16804</v>
      </c>
      <c r="G950" t="s">
        <v>74</v>
      </c>
      <c r="H950" t="s">
        <v>74</v>
      </c>
      <c r="I950" t="s">
        <v>16805</v>
      </c>
      <c r="J950" t="s">
        <v>2887</v>
      </c>
      <c r="K950" t="s">
        <v>74</v>
      </c>
      <c r="L950" t="s">
        <v>74</v>
      </c>
      <c r="M950" t="s">
        <v>78</v>
      </c>
      <c r="N950" t="s">
        <v>79</v>
      </c>
      <c r="O950" t="s">
        <v>74</v>
      </c>
      <c r="P950" t="s">
        <v>74</v>
      </c>
      <c r="Q950" t="s">
        <v>74</v>
      </c>
      <c r="R950" t="s">
        <v>74</v>
      </c>
      <c r="S950" t="s">
        <v>74</v>
      </c>
      <c r="T950" t="s">
        <v>74</v>
      </c>
      <c r="U950" t="s">
        <v>16806</v>
      </c>
      <c r="V950" t="s">
        <v>16807</v>
      </c>
      <c r="W950" t="s">
        <v>16808</v>
      </c>
      <c r="X950" t="s">
        <v>16809</v>
      </c>
      <c r="Y950" t="s">
        <v>16810</v>
      </c>
      <c r="Z950" t="s">
        <v>16811</v>
      </c>
      <c r="AA950" t="s">
        <v>16812</v>
      </c>
      <c r="AB950" t="s">
        <v>16813</v>
      </c>
      <c r="AC950" t="s">
        <v>16814</v>
      </c>
      <c r="AD950" t="s">
        <v>16815</v>
      </c>
      <c r="AE950" t="s">
        <v>16816</v>
      </c>
      <c r="AF950" t="s">
        <v>74</v>
      </c>
      <c r="AG950">
        <v>35</v>
      </c>
      <c r="AH950">
        <v>29</v>
      </c>
      <c r="AI950">
        <v>34</v>
      </c>
      <c r="AJ950">
        <v>0</v>
      </c>
      <c r="AK950">
        <v>5</v>
      </c>
      <c r="AL950" t="s">
        <v>1063</v>
      </c>
      <c r="AM950" t="s">
        <v>1064</v>
      </c>
      <c r="AN950" t="s">
        <v>1065</v>
      </c>
      <c r="AO950" t="s">
        <v>2897</v>
      </c>
      <c r="AP950" t="s">
        <v>74</v>
      </c>
      <c r="AQ950" t="s">
        <v>74</v>
      </c>
      <c r="AR950" t="s">
        <v>2898</v>
      </c>
      <c r="AS950" t="s">
        <v>2899</v>
      </c>
      <c r="AT950" t="s">
        <v>8958</v>
      </c>
      <c r="AU950">
        <v>2010</v>
      </c>
      <c r="AV950">
        <v>29</v>
      </c>
      <c r="AW950" t="s">
        <v>1854</v>
      </c>
      <c r="AX950" t="s">
        <v>74</v>
      </c>
      <c r="AY950" t="s">
        <v>74</v>
      </c>
      <c r="AZ950" t="s">
        <v>152</v>
      </c>
      <c r="BA950" t="s">
        <v>74</v>
      </c>
      <c r="BB950">
        <v>274</v>
      </c>
      <c r="BC950">
        <v>284</v>
      </c>
      <c r="BD950" t="s">
        <v>74</v>
      </c>
      <c r="BE950" t="s">
        <v>16817</v>
      </c>
      <c r="BF950" t="str">
        <f>HYPERLINK("http://dx.doi.org/10.1016/j.quascirev.2009.06.020","http://dx.doi.org/10.1016/j.quascirev.2009.06.020")</f>
        <v>http://dx.doi.org/10.1016/j.quascirev.2009.06.020</v>
      </c>
      <c r="BG950" t="s">
        <v>74</v>
      </c>
      <c r="BH950" t="s">
        <v>74</v>
      </c>
      <c r="BI950">
        <v>11</v>
      </c>
      <c r="BJ950" t="s">
        <v>2881</v>
      </c>
      <c r="BK950" t="s">
        <v>102</v>
      </c>
      <c r="BL950" t="s">
        <v>2628</v>
      </c>
      <c r="BM950" t="s">
        <v>16558</v>
      </c>
      <c r="BN950" t="s">
        <v>74</v>
      </c>
      <c r="BO950" t="s">
        <v>74</v>
      </c>
      <c r="BP950" t="s">
        <v>74</v>
      </c>
      <c r="BQ950" t="s">
        <v>74</v>
      </c>
      <c r="BR950" t="s">
        <v>105</v>
      </c>
      <c r="BS950" t="s">
        <v>16818</v>
      </c>
      <c r="BT950" t="str">
        <f>HYPERLINK("https%3A%2F%2Fwww.webofscience.com%2Fwos%2Fwoscc%2Ffull-record%2FWOS:000274958000024","View Full Record in Web of Science")</f>
        <v>View Full Record in Web of Science</v>
      </c>
    </row>
    <row r="951" spans="1:72" x14ac:dyDescent="0.15">
      <c r="A951" t="s">
        <v>72</v>
      </c>
      <c r="B951" t="s">
        <v>16819</v>
      </c>
      <c r="C951" t="s">
        <v>74</v>
      </c>
      <c r="D951" t="s">
        <v>74</v>
      </c>
      <c r="E951" t="s">
        <v>74</v>
      </c>
      <c r="F951" t="s">
        <v>16820</v>
      </c>
      <c r="G951" t="s">
        <v>74</v>
      </c>
      <c r="H951" t="s">
        <v>74</v>
      </c>
      <c r="I951" t="s">
        <v>16821</v>
      </c>
      <c r="J951" t="s">
        <v>2887</v>
      </c>
      <c r="K951" t="s">
        <v>74</v>
      </c>
      <c r="L951" t="s">
        <v>74</v>
      </c>
      <c r="M951" t="s">
        <v>78</v>
      </c>
      <c r="N951" t="s">
        <v>79</v>
      </c>
      <c r="O951" t="s">
        <v>74</v>
      </c>
      <c r="P951" t="s">
        <v>74</v>
      </c>
      <c r="Q951" t="s">
        <v>74</v>
      </c>
      <c r="R951" t="s">
        <v>74</v>
      </c>
      <c r="S951" t="s">
        <v>74</v>
      </c>
      <c r="T951" t="s">
        <v>74</v>
      </c>
      <c r="U951" t="s">
        <v>16822</v>
      </c>
      <c r="V951" t="s">
        <v>16823</v>
      </c>
      <c r="W951" t="s">
        <v>16824</v>
      </c>
      <c r="X951" t="s">
        <v>16825</v>
      </c>
      <c r="Y951" t="s">
        <v>16826</v>
      </c>
      <c r="Z951" t="s">
        <v>16827</v>
      </c>
      <c r="AA951" t="s">
        <v>16828</v>
      </c>
      <c r="AB951" t="s">
        <v>16829</v>
      </c>
      <c r="AC951" t="s">
        <v>16830</v>
      </c>
      <c r="AD951" t="s">
        <v>16831</v>
      </c>
      <c r="AE951" t="s">
        <v>16832</v>
      </c>
      <c r="AF951" t="s">
        <v>74</v>
      </c>
      <c r="AG951">
        <v>72</v>
      </c>
      <c r="AH951">
        <v>138</v>
      </c>
      <c r="AI951">
        <v>153</v>
      </c>
      <c r="AJ951">
        <v>1</v>
      </c>
      <c r="AK951">
        <v>83</v>
      </c>
      <c r="AL951" t="s">
        <v>1063</v>
      </c>
      <c r="AM951" t="s">
        <v>1064</v>
      </c>
      <c r="AN951" t="s">
        <v>1065</v>
      </c>
      <c r="AO951" t="s">
        <v>2897</v>
      </c>
      <c r="AP951" t="s">
        <v>74</v>
      </c>
      <c r="AQ951" t="s">
        <v>74</v>
      </c>
      <c r="AR951" t="s">
        <v>2898</v>
      </c>
      <c r="AS951" t="s">
        <v>2899</v>
      </c>
      <c r="AT951" t="s">
        <v>8958</v>
      </c>
      <c r="AU951">
        <v>2010</v>
      </c>
      <c r="AV951">
        <v>29</v>
      </c>
      <c r="AW951" t="s">
        <v>1854</v>
      </c>
      <c r="AX951" t="s">
        <v>74</v>
      </c>
      <c r="AY951" t="s">
        <v>74</v>
      </c>
      <c r="AZ951" t="s">
        <v>152</v>
      </c>
      <c r="BA951" t="s">
        <v>74</v>
      </c>
      <c r="BB951">
        <v>285</v>
      </c>
      <c r="BC951">
        <v>295</v>
      </c>
      <c r="BD951" t="s">
        <v>74</v>
      </c>
      <c r="BE951" t="s">
        <v>16833</v>
      </c>
      <c r="BF951" t="str">
        <f>HYPERLINK("http://dx.doi.org/10.1016/j.quascirev.2009.06.013","http://dx.doi.org/10.1016/j.quascirev.2009.06.013")</f>
        <v>http://dx.doi.org/10.1016/j.quascirev.2009.06.013</v>
      </c>
      <c r="BG951" t="s">
        <v>74</v>
      </c>
      <c r="BH951" t="s">
        <v>74</v>
      </c>
      <c r="BI951">
        <v>11</v>
      </c>
      <c r="BJ951" t="s">
        <v>2881</v>
      </c>
      <c r="BK951" t="s">
        <v>102</v>
      </c>
      <c r="BL951" t="s">
        <v>2628</v>
      </c>
      <c r="BM951" t="s">
        <v>16558</v>
      </c>
      <c r="BN951" t="s">
        <v>74</v>
      </c>
      <c r="BO951" t="s">
        <v>326</v>
      </c>
      <c r="BP951" t="s">
        <v>74</v>
      </c>
      <c r="BQ951" t="s">
        <v>74</v>
      </c>
      <c r="BR951" t="s">
        <v>105</v>
      </c>
      <c r="BS951" t="s">
        <v>16834</v>
      </c>
      <c r="BT951" t="str">
        <f>HYPERLINK("https%3A%2F%2Fwww.webofscience.com%2Fwos%2Fwoscc%2Ffull-record%2FWOS:000274958000025","View Full Record in Web of Science")</f>
        <v>View Full Record in Web of Science</v>
      </c>
    </row>
    <row r="952" spans="1:72" x14ac:dyDescent="0.15">
      <c r="A952" t="s">
        <v>72</v>
      </c>
      <c r="B952" t="s">
        <v>16835</v>
      </c>
      <c r="C952" t="s">
        <v>74</v>
      </c>
      <c r="D952" t="s">
        <v>74</v>
      </c>
      <c r="E952" t="s">
        <v>74</v>
      </c>
      <c r="F952" t="s">
        <v>16836</v>
      </c>
      <c r="G952" t="s">
        <v>74</v>
      </c>
      <c r="H952" t="s">
        <v>74</v>
      </c>
      <c r="I952" t="s">
        <v>16837</v>
      </c>
      <c r="J952" t="s">
        <v>2887</v>
      </c>
      <c r="K952" t="s">
        <v>74</v>
      </c>
      <c r="L952" t="s">
        <v>74</v>
      </c>
      <c r="M952" t="s">
        <v>78</v>
      </c>
      <c r="N952" t="s">
        <v>79</v>
      </c>
      <c r="O952" t="s">
        <v>74</v>
      </c>
      <c r="P952" t="s">
        <v>74</v>
      </c>
      <c r="Q952" t="s">
        <v>74</v>
      </c>
      <c r="R952" t="s">
        <v>74</v>
      </c>
      <c r="S952" t="s">
        <v>74</v>
      </c>
      <c r="T952" t="s">
        <v>74</v>
      </c>
      <c r="U952" t="s">
        <v>16838</v>
      </c>
      <c r="V952" t="s">
        <v>16839</v>
      </c>
      <c r="W952" t="s">
        <v>16840</v>
      </c>
      <c r="X952" t="s">
        <v>16841</v>
      </c>
      <c r="Y952" t="s">
        <v>16842</v>
      </c>
      <c r="Z952" t="s">
        <v>16843</v>
      </c>
      <c r="AA952" t="s">
        <v>16844</v>
      </c>
      <c r="AB952" t="s">
        <v>16845</v>
      </c>
      <c r="AC952" t="s">
        <v>16846</v>
      </c>
      <c r="AD952" t="s">
        <v>16847</v>
      </c>
      <c r="AE952" t="s">
        <v>16848</v>
      </c>
      <c r="AF952" t="s">
        <v>74</v>
      </c>
      <c r="AG952">
        <v>56</v>
      </c>
      <c r="AH952">
        <v>41</v>
      </c>
      <c r="AI952">
        <v>47</v>
      </c>
      <c r="AJ952">
        <v>0</v>
      </c>
      <c r="AK952">
        <v>45</v>
      </c>
      <c r="AL952" t="s">
        <v>1063</v>
      </c>
      <c r="AM952" t="s">
        <v>1064</v>
      </c>
      <c r="AN952" t="s">
        <v>1065</v>
      </c>
      <c r="AO952" t="s">
        <v>2897</v>
      </c>
      <c r="AP952" t="s">
        <v>74</v>
      </c>
      <c r="AQ952" t="s">
        <v>74</v>
      </c>
      <c r="AR952" t="s">
        <v>2898</v>
      </c>
      <c r="AS952" t="s">
        <v>2899</v>
      </c>
      <c r="AT952" t="s">
        <v>8958</v>
      </c>
      <c r="AU952">
        <v>2010</v>
      </c>
      <c r="AV952">
        <v>29</v>
      </c>
      <c r="AW952" t="s">
        <v>1854</v>
      </c>
      <c r="AX952" t="s">
        <v>74</v>
      </c>
      <c r="AY952" t="s">
        <v>74</v>
      </c>
      <c r="AZ952" t="s">
        <v>152</v>
      </c>
      <c r="BA952" t="s">
        <v>74</v>
      </c>
      <c r="BB952">
        <v>296</v>
      </c>
      <c r="BC952">
        <v>302</v>
      </c>
      <c r="BD952" t="s">
        <v>74</v>
      </c>
      <c r="BE952" t="s">
        <v>16849</v>
      </c>
      <c r="BF952" t="str">
        <f>HYPERLINK("http://dx.doi.org/10.1016/j.quascirev.2009.10.005","http://dx.doi.org/10.1016/j.quascirev.2009.10.005")</f>
        <v>http://dx.doi.org/10.1016/j.quascirev.2009.10.005</v>
      </c>
      <c r="BG952" t="s">
        <v>74</v>
      </c>
      <c r="BH952" t="s">
        <v>74</v>
      </c>
      <c r="BI952">
        <v>7</v>
      </c>
      <c r="BJ952" t="s">
        <v>2881</v>
      </c>
      <c r="BK952" t="s">
        <v>102</v>
      </c>
      <c r="BL952" t="s">
        <v>2628</v>
      </c>
      <c r="BM952" t="s">
        <v>16558</v>
      </c>
      <c r="BN952" t="s">
        <v>74</v>
      </c>
      <c r="BO952" t="s">
        <v>74</v>
      </c>
      <c r="BP952" t="s">
        <v>74</v>
      </c>
      <c r="BQ952" t="s">
        <v>74</v>
      </c>
      <c r="BR952" t="s">
        <v>105</v>
      </c>
      <c r="BS952" t="s">
        <v>16850</v>
      </c>
      <c r="BT952" t="str">
        <f>HYPERLINK("https%3A%2F%2Fwww.webofscience.com%2Fwos%2Fwoscc%2Ffull-record%2FWOS:000274958000026","View Full Record in Web of Science")</f>
        <v>View Full Record in Web of Science</v>
      </c>
    </row>
    <row r="953" spans="1:72" x14ac:dyDescent="0.15">
      <c r="A953" t="s">
        <v>72</v>
      </c>
      <c r="B953" t="s">
        <v>16851</v>
      </c>
      <c r="C953" t="s">
        <v>74</v>
      </c>
      <c r="D953" t="s">
        <v>74</v>
      </c>
      <c r="E953" t="s">
        <v>74</v>
      </c>
      <c r="F953" t="s">
        <v>16852</v>
      </c>
      <c r="G953" t="s">
        <v>74</v>
      </c>
      <c r="H953" t="s">
        <v>74</v>
      </c>
      <c r="I953" t="s">
        <v>16853</v>
      </c>
      <c r="J953" t="s">
        <v>2887</v>
      </c>
      <c r="K953" t="s">
        <v>74</v>
      </c>
      <c r="L953" t="s">
        <v>74</v>
      </c>
      <c r="M953" t="s">
        <v>78</v>
      </c>
      <c r="N953" t="s">
        <v>79</v>
      </c>
      <c r="O953" t="s">
        <v>74</v>
      </c>
      <c r="P953" t="s">
        <v>74</v>
      </c>
      <c r="Q953" t="s">
        <v>74</v>
      </c>
      <c r="R953" t="s">
        <v>74</v>
      </c>
      <c r="S953" t="s">
        <v>74</v>
      </c>
      <c r="T953" t="s">
        <v>74</v>
      </c>
      <c r="U953" t="s">
        <v>16854</v>
      </c>
      <c r="V953" t="s">
        <v>16855</v>
      </c>
      <c r="W953" t="s">
        <v>16856</v>
      </c>
      <c r="X953" t="s">
        <v>16857</v>
      </c>
      <c r="Y953" t="s">
        <v>16858</v>
      </c>
      <c r="Z953" t="s">
        <v>16859</v>
      </c>
      <c r="AA953" t="s">
        <v>74</v>
      </c>
      <c r="AB953" t="s">
        <v>16860</v>
      </c>
      <c r="AC953" t="s">
        <v>16861</v>
      </c>
      <c r="AD953" t="s">
        <v>16862</v>
      </c>
      <c r="AE953" t="s">
        <v>16863</v>
      </c>
      <c r="AF953" t="s">
        <v>74</v>
      </c>
      <c r="AG953">
        <v>55</v>
      </c>
      <c r="AH953">
        <v>29</v>
      </c>
      <c r="AI953">
        <v>31</v>
      </c>
      <c r="AJ953">
        <v>1</v>
      </c>
      <c r="AK953">
        <v>28</v>
      </c>
      <c r="AL953" t="s">
        <v>1063</v>
      </c>
      <c r="AM953" t="s">
        <v>1064</v>
      </c>
      <c r="AN953" t="s">
        <v>1065</v>
      </c>
      <c r="AO953" t="s">
        <v>2897</v>
      </c>
      <c r="AP953" t="s">
        <v>74</v>
      </c>
      <c r="AQ953" t="s">
        <v>74</v>
      </c>
      <c r="AR953" t="s">
        <v>2898</v>
      </c>
      <c r="AS953" t="s">
        <v>2899</v>
      </c>
      <c r="AT953" t="s">
        <v>8958</v>
      </c>
      <c r="AU953">
        <v>2010</v>
      </c>
      <c r="AV953">
        <v>29</v>
      </c>
      <c r="AW953" t="s">
        <v>1854</v>
      </c>
      <c r="AX953" t="s">
        <v>74</v>
      </c>
      <c r="AY953" t="s">
        <v>74</v>
      </c>
      <c r="AZ953" t="s">
        <v>152</v>
      </c>
      <c r="BA953" t="s">
        <v>74</v>
      </c>
      <c r="BB953">
        <v>303</v>
      </c>
      <c r="BC953">
        <v>312</v>
      </c>
      <c r="BD953" t="s">
        <v>74</v>
      </c>
      <c r="BE953" t="s">
        <v>16864</v>
      </c>
      <c r="BF953" t="str">
        <f>HYPERLINK("http://dx.doi.org/10.1016/j.quascirev.2009.11.012","http://dx.doi.org/10.1016/j.quascirev.2009.11.012")</f>
        <v>http://dx.doi.org/10.1016/j.quascirev.2009.11.012</v>
      </c>
      <c r="BG953" t="s">
        <v>74</v>
      </c>
      <c r="BH953" t="s">
        <v>74</v>
      </c>
      <c r="BI953">
        <v>10</v>
      </c>
      <c r="BJ953" t="s">
        <v>2881</v>
      </c>
      <c r="BK953" t="s">
        <v>102</v>
      </c>
      <c r="BL953" t="s">
        <v>2628</v>
      </c>
      <c r="BM953" t="s">
        <v>16558</v>
      </c>
      <c r="BN953" t="s">
        <v>74</v>
      </c>
      <c r="BO953" t="s">
        <v>74</v>
      </c>
      <c r="BP953" t="s">
        <v>74</v>
      </c>
      <c r="BQ953" t="s">
        <v>74</v>
      </c>
      <c r="BR953" t="s">
        <v>105</v>
      </c>
      <c r="BS953" t="s">
        <v>16865</v>
      </c>
      <c r="BT953" t="str">
        <f>HYPERLINK("https%3A%2F%2Fwww.webofscience.com%2Fwos%2Fwoscc%2Ffull-record%2FWOS:000274958000027","View Full Record in Web of Science")</f>
        <v>View Full Record in Web of Science</v>
      </c>
    </row>
    <row r="954" spans="1:72" x14ac:dyDescent="0.15">
      <c r="A954" t="s">
        <v>72</v>
      </c>
      <c r="B954" t="s">
        <v>16866</v>
      </c>
      <c r="C954" t="s">
        <v>74</v>
      </c>
      <c r="D954" t="s">
        <v>74</v>
      </c>
      <c r="E954" t="s">
        <v>74</v>
      </c>
      <c r="F954" t="s">
        <v>16867</v>
      </c>
      <c r="G954" t="s">
        <v>74</v>
      </c>
      <c r="H954" t="s">
        <v>74</v>
      </c>
      <c r="I954" t="s">
        <v>16868</v>
      </c>
      <c r="J954" t="s">
        <v>2887</v>
      </c>
      <c r="K954" t="s">
        <v>74</v>
      </c>
      <c r="L954" t="s">
        <v>74</v>
      </c>
      <c r="M954" t="s">
        <v>78</v>
      </c>
      <c r="N954" t="s">
        <v>79</v>
      </c>
      <c r="O954" t="s">
        <v>74</v>
      </c>
      <c r="P954" t="s">
        <v>74</v>
      </c>
      <c r="Q954" t="s">
        <v>74</v>
      </c>
      <c r="R954" t="s">
        <v>74</v>
      </c>
      <c r="S954" t="s">
        <v>74</v>
      </c>
      <c r="T954" t="s">
        <v>74</v>
      </c>
      <c r="U954" t="s">
        <v>16869</v>
      </c>
      <c r="V954" t="s">
        <v>16870</v>
      </c>
      <c r="W954" t="s">
        <v>16871</v>
      </c>
      <c r="X954" t="s">
        <v>16872</v>
      </c>
      <c r="Y954" t="s">
        <v>16873</v>
      </c>
      <c r="Z954" t="s">
        <v>16705</v>
      </c>
      <c r="AA954" t="s">
        <v>16874</v>
      </c>
      <c r="AB954" t="s">
        <v>16875</v>
      </c>
      <c r="AC954" t="s">
        <v>16876</v>
      </c>
      <c r="AD954" t="s">
        <v>16877</v>
      </c>
      <c r="AE954" t="s">
        <v>16878</v>
      </c>
      <c r="AF954" t="s">
        <v>74</v>
      </c>
      <c r="AG954">
        <v>88</v>
      </c>
      <c r="AH954">
        <v>49</v>
      </c>
      <c r="AI954">
        <v>61</v>
      </c>
      <c r="AJ954">
        <v>0</v>
      </c>
      <c r="AK954">
        <v>26</v>
      </c>
      <c r="AL954" t="s">
        <v>1063</v>
      </c>
      <c r="AM954" t="s">
        <v>1064</v>
      </c>
      <c r="AN954" t="s">
        <v>1065</v>
      </c>
      <c r="AO954" t="s">
        <v>2897</v>
      </c>
      <c r="AP954" t="s">
        <v>74</v>
      </c>
      <c r="AQ954" t="s">
        <v>74</v>
      </c>
      <c r="AR954" t="s">
        <v>2898</v>
      </c>
      <c r="AS954" t="s">
        <v>2899</v>
      </c>
      <c r="AT954" t="s">
        <v>8958</v>
      </c>
      <c r="AU954">
        <v>2010</v>
      </c>
      <c r="AV954">
        <v>29</v>
      </c>
      <c r="AW954" t="s">
        <v>1854</v>
      </c>
      <c r="AX954" t="s">
        <v>74</v>
      </c>
      <c r="AY954" t="s">
        <v>74</v>
      </c>
      <c r="AZ954" t="s">
        <v>152</v>
      </c>
      <c r="BA954" t="s">
        <v>74</v>
      </c>
      <c r="BB954">
        <v>313</v>
      </c>
      <c r="BC954">
        <v>323</v>
      </c>
      <c r="BD954" t="s">
        <v>74</v>
      </c>
      <c r="BE954" t="s">
        <v>16879</v>
      </c>
      <c r="BF954" t="str">
        <f>HYPERLINK("http://dx.doi.org/10.1016/j.quascirev.2009.11.009","http://dx.doi.org/10.1016/j.quascirev.2009.11.009")</f>
        <v>http://dx.doi.org/10.1016/j.quascirev.2009.11.009</v>
      </c>
      <c r="BG954" t="s">
        <v>74</v>
      </c>
      <c r="BH954" t="s">
        <v>74</v>
      </c>
      <c r="BI954">
        <v>11</v>
      </c>
      <c r="BJ954" t="s">
        <v>2881</v>
      </c>
      <c r="BK954" t="s">
        <v>102</v>
      </c>
      <c r="BL954" t="s">
        <v>2628</v>
      </c>
      <c r="BM954" t="s">
        <v>16558</v>
      </c>
      <c r="BN954" t="s">
        <v>74</v>
      </c>
      <c r="BO954" t="s">
        <v>326</v>
      </c>
      <c r="BP954" t="s">
        <v>74</v>
      </c>
      <c r="BQ954" t="s">
        <v>74</v>
      </c>
      <c r="BR954" t="s">
        <v>105</v>
      </c>
      <c r="BS954" t="s">
        <v>16880</v>
      </c>
      <c r="BT954" t="str">
        <f>HYPERLINK("https%3A%2F%2Fwww.webofscience.com%2Fwos%2Fwoscc%2Ffull-record%2FWOS:000274958000028","View Full Record in Web of Science")</f>
        <v>View Full Record in Web of Science</v>
      </c>
    </row>
    <row r="955" spans="1:72" x14ac:dyDescent="0.15">
      <c r="A955" t="s">
        <v>72</v>
      </c>
      <c r="B955" t="s">
        <v>16881</v>
      </c>
      <c r="C955" t="s">
        <v>74</v>
      </c>
      <c r="D955" t="s">
        <v>74</v>
      </c>
      <c r="E955" t="s">
        <v>74</v>
      </c>
      <c r="F955" t="s">
        <v>16882</v>
      </c>
      <c r="G955" t="s">
        <v>74</v>
      </c>
      <c r="H955" t="s">
        <v>74</v>
      </c>
      <c r="I955" t="s">
        <v>16883</v>
      </c>
      <c r="J955" t="s">
        <v>2887</v>
      </c>
      <c r="K955" t="s">
        <v>74</v>
      </c>
      <c r="L955" t="s">
        <v>74</v>
      </c>
      <c r="M955" t="s">
        <v>78</v>
      </c>
      <c r="N955" t="s">
        <v>79</v>
      </c>
      <c r="O955" t="s">
        <v>74</v>
      </c>
      <c r="P955" t="s">
        <v>74</v>
      </c>
      <c r="Q955" t="s">
        <v>74</v>
      </c>
      <c r="R955" t="s">
        <v>74</v>
      </c>
      <c r="S955" t="s">
        <v>74</v>
      </c>
      <c r="T955" t="s">
        <v>74</v>
      </c>
      <c r="U955" t="s">
        <v>16884</v>
      </c>
      <c r="V955" t="s">
        <v>16885</v>
      </c>
      <c r="W955" t="s">
        <v>16886</v>
      </c>
      <c r="X955" t="s">
        <v>16887</v>
      </c>
      <c r="Y955" t="s">
        <v>16888</v>
      </c>
      <c r="Z955" t="s">
        <v>16889</v>
      </c>
      <c r="AA955" t="s">
        <v>16890</v>
      </c>
      <c r="AB955" t="s">
        <v>16891</v>
      </c>
      <c r="AC955" t="s">
        <v>16892</v>
      </c>
      <c r="AD955" t="s">
        <v>16893</v>
      </c>
      <c r="AE955" t="s">
        <v>16894</v>
      </c>
      <c r="AF955" t="s">
        <v>74</v>
      </c>
      <c r="AG955">
        <v>83</v>
      </c>
      <c r="AH955">
        <v>10</v>
      </c>
      <c r="AI955">
        <v>10</v>
      </c>
      <c r="AJ955">
        <v>0</v>
      </c>
      <c r="AK955">
        <v>14</v>
      </c>
      <c r="AL955" t="s">
        <v>1063</v>
      </c>
      <c r="AM955" t="s">
        <v>1064</v>
      </c>
      <c r="AN955" t="s">
        <v>1065</v>
      </c>
      <c r="AO955" t="s">
        <v>2897</v>
      </c>
      <c r="AP955" t="s">
        <v>74</v>
      </c>
      <c r="AQ955" t="s">
        <v>74</v>
      </c>
      <c r="AR955" t="s">
        <v>2898</v>
      </c>
      <c r="AS955" t="s">
        <v>2899</v>
      </c>
      <c r="AT955" t="s">
        <v>8958</v>
      </c>
      <c r="AU955">
        <v>2010</v>
      </c>
      <c r="AV955">
        <v>29</v>
      </c>
      <c r="AW955" t="s">
        <v>1854</v>
      </c>
      <c r="AX955" t="s">
        <v>74</v>
      </c>
      <c r="AY955" t="s">
        <v>74</v>
      </c>
      <c r="AZ955" t="s">
        <v>152</v>
      </c>
      <c r="BA955" t="s">
        <v>74</v>
      </c>
      <c r="BB955">
        <v>324</v>
      </c>
      <c r="BC955">
        <v>337</v>
      </c>
      <c r="BD955" t="s">
        <v>74</v>
      </c>
      <c r="BE955" t="s">
        <v>16895</v>
      </c>
      <c r="BF955" t="str">
        <f>HYPERLINK("http://dx.doi.org/10.1016/j.quascirev.2009.09.009","http://dx.doi.org/10.1016/j.quascirev.2009.09.009")</f>
        <v>http://dx.doi.org/10.1016/j.quascirev.2009.09.009</v>
      </c>
      <c r="BG955" t="s">
        <v>74</v>
      </c>
      <c r="BH955" t="s">
        <v>74</v>
      </c>
      <c r="BI955">
        <v>14</v>
      </c>
      <c r="BJ955" t="s">
        <v>2881</v>
      </c>
      <c r="BK955" t="s">
        <v>102</v>
      </c>
      <c r="BL955" t="s">
        <v>2628</v>
      </c>
      <c r="BM955" t="s">
        <v>16558</v>
      </c>
      <c r="BN955" t="s">
        <v>74</v>
      </c>
      <c r="BO955" t="s">
        <v>74</v>
      </c>
      <c r="BP955" t="s">
        <v>74</v>
      </c>
      <c r="BQ955" t="s">
        <v>74</v>
      </c>
      <c r="BR955" t="s">
        <v>105</v>
      </c>
      <c r="BS955" t="s">
        <v>16896</v>
      </c>
      <c r="BT955" t="str">
        <f>HYPERLINK("https%3A%2F%2Fwww.webofscience.com%2Fwos%2Fwoscc%2Ffull-record%2FWOS:000274958000029","View Full Record in Web of Science")</f>
        <v>View Full Record in Web of Science</v>
      </c>
    </row>
    <row r="956" spans="1:72" x14ac:dyDescent="0.15">
      <c r="A956" t="s">
        <v>72</v>
      </c>
      <c r="B956" t="s">
        <v>16897</v>
      </c>
      <c r="C956" t="s">
        <v>74</v>
      </c>
      <c r="D956" t="s">
        <v>74</v>
      </c>
      <c r="E956" t="s">
        <v>74</v>
      </c>
      <c r="F956" t="s">
        <v>16898</v>
      </c>
      <c r="G956" t="s">
        <v>74</v>
      </c>
      <c r="H956" t="s">
        <v>74</v>
      </c>
      <c r="I956" t="s">
        <v>16899</v>
      </c>
      <c r="J956" t="s">
        <v>2887</v>
      </c>
      <c r="K956" t="s">
        <v>74</v>
      </c>
      <c r="L956" t="s">
        <v>74</v>
      </c>
      <c r="M956" t="s">
        <v>78</v>
      </c>
      <c r="N956" t="s">
        <v>79</v>
      </c>
      <c r="O956" t="s">
        <v>74</v>
      </c>
      <c r="P956" t="s">
        <v>74</v>
      </c>
      <c r="Q956" t="s">
        <v>74</v>
      </c>
      <c r="R956" t="s">
        <v>74</v>
      </c>
      <c r="S956" t="s">
        <v>74</v>
      </c>
      <c r="T956" t="s">
        <v>74</v>
      </c>
      <c r="U956" t="s">
        <v>16900</v>
      </c>
      <c r="V956" t="s">
        <v>16901</v>
      </c>
      <c r="W956" t="s">
        <v>16902</v>
      </c>
      <c r="X956" t="s">
        <v>16903</v>
      </c>
      <c r="Y956" t="s">
        <v>16904</v>
      </c>
      <c r="Z956" t="s">
        <v>16905</v>
      </c>
      <c r="AA956" t="s">
        <v>16906</v>
      </c>
      <c r="AB956" t="s">
        <v>16907</v>
      </c>
      <c r="AC956" t="s">
        <v>16908</v>
      </c>
      <c r="AD956" t="s">
        <v>16909</v>
      </c>
      <c r="AE956" t="s">
        <v>16910</v>
      </c>
      <c r="AF956" t="s">
        <v>74</v>
      </c>
      <c r="AG956">
        <v>66</v>
      </c>
      <c r="AH956">
        <v>63</v>
      </c>
      <c r="AI956">
        <v>70</v>
      </c>
      <c r="AJ956">
        <v>1</v>
      </c>
      <c r="AK956">
        <v>44</v>
      </c>
      <c r="AL956" t="s">
        <v>1063</v>
      </c>
      <c r="AM956" t="s">
        <v>1064</v>
      </c>
      <c r="AN956" t="s">
        <v>1065</v>
      </c>
      <c r="AO956" t="s">
        <v>2897</v>
      </c>
      <c r="AP956" t="s">
        <v>74</v>
      </c>
      <c r="AQ956" t="s">
        <v>74</v>
      </c>
      <c r="AR956" t="s">
        <v>2898</v>
      </c>
      <c r="AS956" t="s">
        <v>2899</v>
      </c>
      <c r="AT956" t="s">
        <v>8958</v>
      </c>
      <c r="AU956">
        <v>2010</v>
      </c>
      <c r="AV956">
        <v>29</v>
      </c>
      <c r="AW956" t="s">
        <v>1854</v>
      </c>
      <c r="AX956" t="s">
        <v>74</v>
      </c>
      <c r="AY956" t="s">
        <v>74</v>
      </c>
      <c r="AZ956" t="s">
        <v>152</v>
      </c>
      <c r="BA956" t="s">
        <v>74</v>
      </c>
      <c r="BB956">
        <v>338</v>
      </c>
      <c r="BC956">
        <v>351</v>
      </c>
      <c r="BD956" t="s">
        <v>74</v>
      </c>
      <c r="BE956" t="s">
        <v>16911</v>
      </c>
      <c r="BF956" t="str">
        <f>HYPERLINK("http://dx.doi.org/10.1016/j.quascirev.2009.10.016","http://dx.doi.org/10.1016/j.quascirev.2009.10.016")</f>
        <v>http://dx.doi.org/10.1016/j.quascirev.2009.10.016</v>
      </c>
      <c r="BG956" t="s">
        <v>74</v>
      </c>
      <c r="BH956" t="s">
        <v>74</v>
      </c>
      <c r="BI956">
        <v>14</v>
      </c>
      <c r="BJ956" t="s">
        <v>2881</v>
      </c>
      <c r="BK956" t="s">
        <v>102</v>
      </c>
      <c r="BL956" t="s">
        <v>2628</v>
      </c>
      <c r="BM956" t="s">
        <v>16558</v>
      </c>
      <c r="BN956" t="s">
        <v>74</v>
      </c>
      <c r="BO956" t="s">
        <v>74</v>
      </c>
      <c r="BP956" t="s">
        <v>74</v>
      </c>
      <c r="BQ956" t="s">
        <v>74</v>
      </c>
      <c r="BR956" t="s">
        <v>105</v>
      </c>
      <c r="BS956" t="s">
        <v>16912</v>
      </c>
      <c r="BT956" t="str">
        <f>HYPERLINK("https%3A%2F%2Fwww.webofscience.com%2Fwos%2Fwoscc%2Ffull-record%2FWOS:000274958000030","View Full Record in Web of Science")</f>
        <v>View Full Record in Web of Science</v>
      </c>
    </row>
    <row r="957" spans="1:72" x14ac:dyDescent="0.15">
      <c r="A957" t="s">
        <v>8563</v>
      </c>
      <c r="B957" t="s">
        <v>16913</v>
      </c>
      <c r="C957" t="s">
        <v>16914</v>
      </c>
      <c r="D957" t="s">
        <v>74</v>
      </c>
      <c r="E957" t="s">
        <v>74</v>
      </c>
      <c r="F957" t="s">
        <v>16915</v>
      </c>
      <c r="G957" t="s">
        <v>16914</v>
      </c>
      <c r="H957" t="s">
        <v>74</v>
      </c>
      <c r="I957" t="s">
        <v>16916</v>
      </c>
      <c r="J957" t="s">
        <v>16917</v>
      </c>
      <c r="K957" t="s">
        <v>16918</v>
      </c>
      <c r="L957" t="s">
        <v>74</v>
      </c>
      <c r="M957" t="s">
        <v>78</v>
      </c>
      <c r="N957" t="s">
        <v>8859</v>
      </c>
      <c r="O957" t="s">
        <v>74</v>
      </c>
      <c r="P957" t="s">
        <v>74</v>
      </c>
      <c r="Q957" t="s">
        <v>74</v>
      </c>
      <c r="R957" t="s">
        <v>74</v>
      </c>
      <c r="S957" t="s">
        <v>74</v>
      </c>
      <c r="T957" t="s">
        <v>74</v>
      </c>
      <c r="U957" t="s">
        <v>16919</v>
      </c>
      <c r="V957" t="s">
        <v>74</v>
      </c>
      <c r="W957" t="s">
        <v>16920</v>
      </c>
      <c r="X957" t="s">
        <v>16921</v>
      </c>
      <c r="Y957" t="s">
        <v>16922</v>
      </c>
      <c r="Z957" t="s">
        <v>16923</v>
      </c>
      <c r="AA957" t="s">
        <v>16924</v>
      </c>
      <c r="AB957" t="s">
        <v>16925</v>
      </c>
      <c r="AC957" t="s">
        <v>74</v>
      </c>
      <c r="AD957" t="s">
        <v>74</v>
      </c>
      <c r="AE957" t="s">
        <v>74</v>
      </c>
      <c r="AF957" t="s">
        <v>74</v>
      </c>
      <c r="AG957">
        <v>460</v>
      </c>
      <c r="AH957">
        <v>0</v>
      </c>
      <c r="AI957">
        <v>0</v>
      </c>
      <c r="AJ957">
        <v>0</v>
      </c>
      <c r="AK957">
        <v>10</v>
      </c>
      <c r="AL957" t="s">
        <v>16926</v>
      </c>
      <c r="AM957" t="s">
        <v>16927</v>
      </c>
      <c r="AN957" t="s">
        <v>16928</v>
      </c>
      <c r="AO957" t="s">
        <v>74</v>
      </c>
      <c r="AP957" t="s">
        <v>74</v>
      </c>
      <c r="AQ957" t="s">
        <v>16929</v>
      </c>
      <c r="AR957" t="s">
        <v>16930</v>
      </c>
      <c r="AS957" t="s">
        <v>74</v>
      </c>
      <c r="AT957" t="s">
        <v>74</v>
      </c>
      <c r="AU957">
        <v>2010</v>
      </c>
      <c r="AV957" t="s">
        <v>74</v>
      </c>
      <c r="AW957" t="s">
        <v>74</v>
      </c>
      <c r="AX957" t="s">
        <v>74</v>
      </c>
      <c r="AY957" t="s">
        <v>74</v>
      </c>
      <c r="AZ957" t="s">
        <v>74</v>
      </c>
      <c r="BA957" t="s">
        <v>74</v>
      </c>
      <c r="BB957">
        <v>1</v>
      </c>
      <c r="BC957" t="s">
        <v>1802</v>
      </c>
      <c r="BD957" t="s">
        <v>74</v>
      </c>
      <c r="BE957" t="s">
        <v>74</v>
      </c>
      <c r="BF957" t="s">
        <v>74</v>
      </c>
      <c r="BG957" t="s">
        <v>74</v>
      </c>
      <c r="BH957" t="s">
        <v>74</v>
      </c>
      <c r="BI957">
        <v>114</v>
      </c>
      <c r="BJ957" t="s">
        <v>4031</v>
      </c>
      <c r="BK957" t="s">
        <v>8579</v>
      </c>
      <c r="BL957" t="s">
        <v>1348</v>
      </c>
      <c r="BM957" t="s">
        <v>16931</v>
      </c>
      <c r="BN957" t="s">
        <v>74</v>
      </c>
      <c r="BO957" t="s">
        <v>74</v>
      </c>
      <c r="BP957" t="s">
        <v>74</v>
      </c>
      <c r="BQ957" t="s">
        <v>74</v>
      </c>
      <c r="BR957" t="s">
        <v>105</v>
      </c>
      <c r="BS957" t="s">
        <v>16932</v>
      </c>
      <c r="BT957" t="str">
        <f>HYPERLINK("https%3A%2F%2Fwww.webofscience.com%2Fwos%2Fwoscc%2Ffull-record%2FWOS:000276891400001","View Full Record in Web of Science")</f>
        <v>View Full Record in Web of Science</v>
      </c>
    </row>
    <row r="958" spans="1:72" x14ac:dyDescent="0.15">
      <c r="A958" t="s">
        <v>8563</v>
      </c>
      <c r="B958" t="s">
        <v>16913</v>
      </c>
      <c r="C958" t="s">
        <v>16914</v>
      </c>
      <c r="D958" t="s">
        <v>74</v>
      </c>
      <c r="E958" t="s">
        <v>74</v>
      </c>
      <c r="F958" t="s">
        <v>16915</v>
      </c>
      <c r="G958" t="s">
        <v>16914</v>
      </c>
      <c r="H958" t="s">
        <v>74</v>
      </c>
      <c r="I958" t="s">
        <v>16933</v>
      </c>
      <c r="J958" t="s">
        <v>16917</v>
      </c>
      <c r="K958" t="s">
        <v>16918</v>
      </c>
      <c r="L958" t="s">
        <v>74</v>
      </c>
      <c r="M958" t="s">
        <v>78</v>
      </c>
      <c r="N958" t="s">
        <v>8859</v>
      </c>
      <c r="O958" t="s">
        <v>74</v>
      </c>
      <c r="P958" t="s">
        <v>74</v>
      </c>
      <c r="Q958" t="s">
        <v>74</v>
      </c>
      <c r="R958" t="s">
        <v>74</v>
      </c>
      <c r="S958" t="s">
        <v>74</v>
      </c>
      <c r="T958" t="s">
        <v>74</v>
      </c>
      <c r="U958" t="s">
        <v>74</v>
      </c>
      <c r="V958" t="s">
        <v>74</v>
      </c>
      <c r="W958" t="s">
        <v>16920</v>
      </c>
      <c r="X958" t="s">
        <v>16921</v>
      </c>
      <c r="Y958" t="s">
        <v>16922</v>
      </c>
      <c r="Z958" t="s">
        <v>16923</v>
      </c>
      <c r="AA958" t="s">
        <v>16934</v>
      </c>
      <c r="AB958" t="s">
        <v>16925</v>
      </c>
      <c r="AC958" t="s">
        <v>74</v>
      </c>
      <c r="AD958" t="s">
        <v>74</v>
      </c>
      <c r="AE958" t="s">
        <v>74</v>
      </c>
      <c r="AF958" t="s">
        <v>74</v>
      </c>
      <c r="AG958">
        <v>0</v>
      </c>
      <c r="AH958">
        <v>0</v>
      </c>
      <c r="AI958">
        <v>0</v>
      </c>
      <c r="AJ958">
        <v>0</v>
      </c>
      <c r="AK958">
        <v>5</v>
      </c>
      <c r="AL958" t="s">
        <v>16926</v>
      </c>
      <c r="AM958" t="s">
        <v>16927</v>
      </c>
      <c r="AN958" t="s">
        <v>16928</v>
      </c>
      <c r="AO958" t="s">
        <v>74</v>
      </c>
      <c r="AP958" t="s">
        <v>74</v>
      </c>
      <c r="AQ958" t="s">
        <v>16929</v>
      </c>
      <c r="AR958" t="s">
        <v>16930</v>
      </c>
      <c r="AS958" t="s">
        <v>74</v>
      </c>
      <c r="AT958" t="s">
        <v>74</v>
      </c>
      <c r="AU958">
        <v>2010</v>
      </c>
      <c r="AV958" t="s">
        <v>74</v>
      </c>
      <c r="AW958" t="s">
        <v>74</v>
      </c>
      <c r="AX958" t="s">
        <v>74</v>
      </c>
      <c r="AY958" t="s">
        <v>74</v>
      </c>
      <c r="AZ958" t="s">
        <v>74</v>
      </c>
      <c r="BA958" t="s">
        <v>74</v>
      </c>
      <c r="BB958">
        <v>87</v>
      </c>
      <c r="BC958">
        <v>145</v>
      </c>
      <c r="BD958" t="s">
        <v>74</v>
      </c>
      <c r="BE958" t="s">
        <v>74</v>
      </c>
      <c r="BF958" t="s">
        <v>74</v>
      </c>
      <c r="BG958" t="s">
        <v>74</v>
      </c>
      <c r="BH958" t="s">
        <v>74</v>
      </c>
      <c r="BI958">
        <v>59</v>
      </c>
      <c r="BJ958" t="s">
        <v>4031</v>
      </c>
      <c r="BK958" t="s">
        <v>8579</v>
      </c>
      <c r="BL958" t="s">
        <v>1348</v>
      </c>
      <c r="BM958" t="s">
        <v>16931</v>
      </c>
      <c r="BN958" t="s">
        <v>74</v>
      </c>
      <c r="BO958" t="s">
        <v>74</v>
      </c>
      <c r="BP958" t="s">
        <v>74</v>
      </c>
      <c r="BQ958" t="s">
        <v>74</v>
      </c>
      <c r="BR958" t="s">
        <v>105</v>
      </c>
      <c r="BS958" t="s">
        <v>16935</v>
      </c>
      <c r="BT958" t="str">
        <f>HYPERLINK("https%3A%2F%2Fwww.webofscience.com%2Fwos%2Fwoscc%2Ffull-record%2FWOS:000276891400002","View Full Record in Web of Science")</f>
        <v>View Full Record in Web of Science</v>
      </c>
    </row>
    <row r="959" spans="1:72" x14ac:dyDescent="0.15">
      <c r="A959" t="s">
        <v>8563</v>
      </c>
      <c r="B959" t="s">
        <v>16913</v>
      </c>
      <c r="C959" t="s">
        <v>16914</v>
      </c>
      <c r="D959" t="s">
        <v>74</v>
      </c>
      <c r="E959" t="s">
        <v>74</v>
      </c>
      <c r="F959" t="s">
        <v>16915</v>
      </c>
      <c r="G959" t="s">
        <v>16914</v>
      </c>
      <c r="H959" t="s">
        <v>74</v>
      </c>
      <c r="I959" t="s">
        <v>16936</v>
      </c>
      <c r="J959" t="s">
        <v>16917</v>
      </c>
      <c r="K959" t="s">
        <v>16918</v>
      </c>
      <c r="L959" t="s">
        <v>74</v>
      </c>
      <c r="M959" t="s">
        <v>78</v>
      </c>
      <c r="N959" t="s">
        <v>8859</v>
      </c>
      <c r="O959" t="s">
        <v>74</v>
      </c>
      <c r="P959" t="s">
        <v>74</v>
      </c>
      <c r="Q959" t="s">
        <v>74</v>
      </c>
      <c r="R959" t="s">
        <v>74</v>
      </c>
      <c r="S959" t="s">
        <v>74</v>
      </c>
      <c r="T959" t="s">
        <v>74</v>
      </c>
      <c r="U959" t="s">
        <v>74</v>
      </c>
      <c r="V959" t="s">
        <v>74</v>
      </c>
      <c r="W959" t="s">
        <v>16920</v>
      </c>
      <c r="X959" t="s">
        <v>16921</v>
      </c>
      <c r="Y959" t="s">
        <v>16922</v>
      </c>
      <c r="Z959" t="s">
        <v>16923</v>
      </c>
      <c r="AA959" t="s">
        <v>16937</v>
      </c>
      <c r="AB959" t="s">
        <v>16925</v>
      </c>
      <c r="AC959" t="s">
        <v>74</v>
      </c>
      <c r="AD959" t="s">
        <v>74</v>
      </c>
      <c r="AE959" t="s">
        <v>74</v>
      </c>
      <c r="AF959" t="s">
        <v>74</v>
      </c>
      <c r="AG959">
        <v>0</v>
      </c>
      <c r="AH959">
        <v>2</v>
      </c>
      <c r="AI959">
        <v>2</v>
      </c>
      <c r="AJ959">
        <v>0</v>
      </c>
      <c r="AK959">
        <v>5</v>
      </c>
      <c r="AL959" t="s">
        <v>16926</v>
      </c>
      <c r="AM959" t="s">
        <v>16927</v>
      </c>
      <c r="AN959" t="s">
        <v>16928</v>
      </c>
      <c r="AO959" t="s">
        <v>74</v>
      </c>
      <c r="AP959" t="s">
        <v>74</v>
      </c>
      <c r="AQ959" t="s">
        <v>16929</v>
      </c>
      <c r="AR959" t="s">
        <v>16930</v>
      </c>
      <c r="AS959" t="s">
        <v>74</v>
      </c>
      <c r="AT959" t="s">
        <v>74</v>
      </c>
      <c r="AU959">
        <v>2010</v>
      </c>
      <c r="AV959" t="s">
        <v>74</v>
      </c>
      <c r="AW959" t="s">
        <v>74</v>
      </c>
      <c r="AX959" t="s">
        <v>74</v>
      </c>
      <c r="AY959" t="s">
        <v>74</v>
      </c>
      <c r="AZ959" t="s">
        <v>74</v>
      </c>
      <c r="BA959" t="s">
        <v>74</v>
      </c>
      <c r="BB959">
        <v>147</v>
      </c>
      <c r="BC959">
        <v>211</v>
      </c>
      <c r="BD959" t="s">
        <v>74</v>
      </c>
      <c r="BE959" t="s">
        <v>74</v>
      </c>
      <c r="BF959" t="s">
        <v>74</v>
      </c>
      <c r="BG959" t="s">
        <v>74</v>
      </c>
      <c r="BH959" t="s">
        <v>74</v>
      </c>
      <c r="BI959">
        <v>65</v>
      </c>
      <c r="BJ959" t="s">
        <v>4031</v>
      </c>
      <c r="BK959" t="s">
        <v>8579</v>
      </c>
      <c r="BL959" t="s">
        <v>1348</v>
      </c>
      <c r="BM959" t="s">
        <v>16931</v>
      </c>
      <c r="BN959" t="s">
        <v>74</v>
      </c>
      <c r="BO959" t="s">
        <v>74</v>
      </c>
      <c r="BP959" t="s">
        <v>74</v>
      </c>
      <c r="BQ959" t="s">
        <v>74</v>
      </c>
      <c r="BR959" t="s">
        <v>105</v>
      </c>
      <c r="BS959" t="s">
        <v>16938</v>
      </c>
      <c r="BT959" t="str">
        <f>HYPERLINK("https%3A%2F%2Fwww.webofscience.com%2Fwos%2Fwoscc%2Ffull-record%2FWOS:000276891400003","View Full Record in Web of Science")</f>
        <v>View Full Record in Web of Science</v>
      </c>
    </row>
    <row r="960" spans="1:72" x14ac:dyDescent="0.15">
      <c r="A960" t="s">
        <v>8563</v>
      </c>
      <c r="B960" t="s">
        <v>16913</v>
      </c>
      <c r="C960" t="s">
        <v>16914</v>
      </c>
      <c r="D960" t="s">
        <v>74</v>
      </c>
      <c r="E960" t="s">
        <v>74</v>
      </c>
      <c r="F960" t="s">
        <v>16915</v>
      </c>
      <c r="G960" t="s">
        <v>16914</v>
      </c>
      <c r="H960" t="s">
        <v>74</v>
      </c>
      <c r="I960" t="s">
        <v>16939</v>
      </c>
      <c r="J960" t="s">
        <v>16917</v>
      </c>
      <c r="K960" t="s">
        <v>16918</v>
      </c>
      <c r="L960" t="s">
        <v>74</v>
      </c>
      <c r="M960" t="s">
        <v>78</v>
      </c>
      <c r="N960" t="s">
        <v>8859</v>
      </c>
      <c r="O960" t="s">
        <v>74</v>
      </c>
      <c r="P960" t="s">
        <v>74</v>
      </c>
      <c r="Q960" t="s">
        <v>74</v>
      </c>
      <c r="R960" t="s">
        <v>74</v>
      </c>
      <c r="S960" t="s">
        <v>74</v>
      </c>
      <c r="T960" t="s">
        <v>74</v>
      </c>
      <c r="U960" t="s">
        <v>74</v>
      </c>
      <c r="V960" t="s">
        <v>74</v>
      </c>
      <c r="W960" t="s">
        <v>16920</v>
      </c>
      <c r="X960" t="s">
        <v>16921</v>
      </c>
      <c r="Y960" t="s">
        <v>16922</v>
      </c>
      <c r="Z960" t="s">
        <v>16923</v>
      </c>
      <c r="AA960" t="s">
        <v>16940</v>
      </c>
      <c r="AB960" t="s">
        <v>16941</v>
      </c>
      <c r="AC960" t="s">
        <v>74</v>
      </c>
      <c r="AD960" t="s">
        <v>74</v>
      </c>
      <c r="AE960" t="s">
        <v>74</v>
      </c>
      <c r="AF960" t="s">
        <v>74</v>
      </c>
      <c r="AG960">
        <v>0</v>
      </c>
      <c r="AH960">
        <v>0</v>
      </c>
      <c r="AI960">
        <v>0</v>
      </c>
      <c r="AJ960">
        <v>0</v>
      </c>
      <c r="AK960">
        <v>5</v>
      </c>
      <c r="AL960" t="s">
        <v>16926</v>
      </c>
      <c r="AM960" t="s">
        <v>16927</v>
      </c>
      <c r="AN960" t="s">
        <v>16928</v>
      </c>
      <c r="AO960" t="s">
        <v>74</v>
      </c>
      <c r="AP960" t="s">
        <v>74</v>
      </c>
      <c r="AQ960" t="s">
        <v>16929</v>
      </c>
      <c r="AR960" t="s">
        <v>16930</v>
      </c>
      <c r="AS960" t="s">
        <v>74</v>
      </c>
      <c r="AT960" t="s">
        <v>74</v>
      </c>
      <c r="AU960">
        <v>2010</v>
      </c>
      <c r="AV960" t="s">
        <v>74</v>
      </c>
      <c r="AW960" t="s">
        <v>74</v>
      </c>
      <c r="AX960" t="s">
        <v>74</v>
      </c>
      <c r="AY960" t="s">
        <v>74</v>
      </c>
      <c r="AZ960" t="s">
        <v>74</v>
      </c>
      <c r="BA960" t="s">
        <v>74</v>
      </c>
      <c r="BB960">
        <v>213</v>
      </c>
      <c r="BC960">
        <v>281</v>
      </c>
      <c r="BD960" t="s">
        <v>74</v>
      </c>
      <c r="BE960" t="s">
        <v>74</v>
      </c>
      <c r="BF960" t="s">
        <v>74</v>
      </c>
      <c r="BG960" t="s">
        <v>74</v>
      </c>
      <c r="BH960" t="s">
        <v>74</v>
      </c>
      <c r="BI960">
        <v>69</v>
      </c>
      <c r="BJ960" t="s">
        <v>4031</v>
      </c>
      <c r="BK960" t="s">
        <v>8579</v>
      </c>
      <c r="BL960" t="s">
        <v>1348</v>
      </c>
      <c r="BM960" t="s">
        <v>16931</v>
      </c>
      <c r="BN960" t="s">
        <v>74</v>
      </c>
      <c r="BO960" t="s">
        <v>74</v>
      </c>
      <c r="BP960" t="s">
        <v>74</v>
      </c>
      <c r="BQ960" t="s">
        <v>74</v>
      </c>
      <c r="BR960" t="s">
        <v>105</v>
      </c>
      <c r="BS960" t="s">
        <v>16942</v>
      </c>
      <c r="BT960" t="str">
        <f>HYPERLINK("https%3A%2F%2Fwww.webofscience.com%2Fwos%2Fwoscc%2Ffull-record%2FWOS:000276891400004","View Full Record in Web of Science")</f>
        <v>View Full Record in Web of Science</v>
      </c>
    </row>
    <row r="961" spans="1:72" x14ac:dyDescent="0.15">
      <c r="A961" t="s">
        <v>8563</v>
      </c>
      <c r="B961" t="s">
        <v>16913</v>
      </c>
      <c r="C961" t="s">
        <v>16914</v>
      </c>
      <c r="D961" t="s">
        <v>74</v>
      </c>
      <c r="E961" t="s">
        <v>74</v>
      </c>
      <c r="F961" t="s">
        <v>16915</v>
      </c>
      <c r="G961" t="s">
        <v>16914</v>
      </c>
      <c r="H961" t="s">
        <v>74</v>
      </c>
      <c r="I961" t="s">
        <v>16943</v>
      </c>
      <c r="J961" t="s">
        <v>16917</v>
      </c>
      <c r="K961" t="s">
        <v>16918</v>
      </c>
      <c r="L961" t="s">
        <v>74</v>
      </c>
      <c r="M961" t="s">
        <v>78</v>
      </c>
      <c r="N961" t="s">
        <v>8859</v>
      </c>
      <c r="O961" t="s">
        <v>74</v>
      </c>
      <c r="P961" t="s">
        <v>74</v>
      </c>
      <c r="Q961" t="s">
        <v>74</v>
      </c>
      <c r="R961" t="s">
        <v>74</v>
      </c>
      <c r="S961" t="s">
        <v>74</v>
      </c>
      <c r="T961" t="s">
        <v>74</v>
      </c>
      <c r="U961" t="s">
        <v>74</v>
      </c>
      <c r="V961" t="s">
        <v>74</v>
      </c>
      <c r="W961" t="s">
        <v>16920</v>
      </c>
      <c r="X961" t="s">
        <v>16921</v>
      </c>
      <c r="Y961" t="s">
        <v>16922</v>
      </c>
      <c r="Z961" t="s">
        <v>16923</v>
      </c>
      <c r="AA961" t="s">
        <v>16944</v>
      </c>
      <c r="AB961" t="s">
        <v>16925</v>
      </c>
      <c r="AC961" t="s">
        <v>74</v>
      </c>
      <c r="AD961" t="s">
        <v>74</v>
      </c>
      <c r="AE961" t="s">
        <v>74</v>
      </c>
      <c r="AF961" t="s">
        <v>74</v>
      </c>
      <c r="AG961">
        <v>0</v>
      </c>
      <c r="AH961">
        <v>0</v>
      </c>
      <c r="AI961">
        <v>0</v>
      </c>
      <c r="AJ961">
        <v>0</v>
      </c>
      <c r="AK961">
        <v>5</v>
      </c>
      <c r="AL961" t="s">
        <v>16926</v>
      </c>
      <c r="AM961" t="s">
        <v>16927</v>
      </c>
      <c r="AN961" t="s">
        <v>16928</v>
      </c>
      <c r="AO961" t="s">
        <v>74</v>
      </c>
      <c r="AP961" t="s">
        <v>74</v>
      </c>
      <c r="AQ961" t="s">
        <v>16929</v>
      </c>
      <c r="AR961" t="s">
        <v>16930</v>
      </c>
      <c r="AS961" t="s">
        <v>74</v>
      </c>
      <c r="AT961" t="s">
        <v>74</v>
      </c>
      <c r="AU961">
        <v>2010</v>
      </c>
      <c r="AV961" t="s">
        <v>74</v>
      </c>
      <c r="AW961" t="s">
        <v>74</v>
      </c>
      <c r="AX961" t="s">
        <v>74</v>
      </c>
      <c r="AY961" t="s">
        <v>74</v>
      </c>
      <c r="AZ961" t="s">
        <v>74</v>
      </c>
      <c r="BA961" t="s">
        <v>74</v>
      </c>
      <c r="BB961">
        <v>283</v>
      </c>
      <c r="BC961">
        <v>307</v>
      </c>
      <c r="BD961" t="s">
        <v>74</v>
      </c>
      <c r="BE961" t="s">
        <v>74</v>
      </c>
      <c r="BF961" t="s">
        <v>74</v>
      </c>
      <c r="BG961" t="s">
        <v>74</v>
      </c>
      <c r="BH961" t="s">
        <v>74</v>
      </c>
      <c r="BI961">
        <v>25</v>
      </c>
      <c r="BJ961" t="s">
        <v>4031</v>
      </c>
      <c r="BK961" t="s">
        <v>8579</v>
      </c>
      <c r="BL961" t="s">
        <v>1348</v>
      </c>
      <c r="BM961" t="s">
        <v>16931</v>
      </c>
      <c r="BN961" t="s">
        <v>74</v>
      </c>
      <c r="BO961" t="s">
        <v>74</v>
      </c>
      <c r="BP961" t="s">
        <v>74</v>
      </c>
      <c r="BQ961" t="s">
        <v>74</v>
      </c>
      <c r="BR961" t="s">
        <v>105</v>
      </c>
      <c r="BS961" t="s">
        <v>16945</v>
      </c>
      <c r="BT961" t="str">
        <f>HYPERLINK("https%3A%2F%2Fwww.webofscience.com%2Fwos%2Fwoscc%2Ffull-record%2FWOS:000276891400005","View Full Record in Web of Science")</f>
        <v>View Full Record in Web of Science</v>
      </c>
    </row>
    <row r="962" spans="1:72" x14ac:dyDescent="0.15">
      <c r="A962" t="s">
        <v>8563</v>
      </c>
      <c r="B962" t="s">
        <v>16913</v>
      </c>
      <c r="C962" t="s">
        <v>16914</v>
      </c>
      <c r="D962" t="s">
        <v>74</v>
      </c>
      <c r="E962" t="s">
        <v>74</v>
      </c>
      <c r="F962" t="s">
        <v>16915</v>
      </c>
      <c r="G962" t="s">
        <v>16914</v>
      </c>
      <c r="H962" t="s">
        <v>74</v>
      </c>
      <c r="I962" t="s">
        <v>16946</v>
      </c>
      <c r="J962" t="s">
        <v>16917</v>
      </c>
      <c r="K962" t="s">
        <v>16918</v>
      </c>
      <c r="L962" t="s">
        <v>74</v>
      </c>
      <c r="M962" t="s">
        <v>78</v>
      </c>
      <c r="N962" t="s">
        <v>8859</v>
      </c>
      <c r="O962" t="s">
        <v>74</v>
      </c>
      <c r="P962" t="s">
        <v>74</v>
      </c>
      <c r="Q962" t="s">
        <v>74</v>
      </c>
      <c r="R962" t="s">
        <v>74</v>
      </c>
      <c r="S962" t="s">
        <v>74</v>
      </c>
      <c r="T962" t="s">
        <v>74</v>
      </c>
      <c r="U962" t="s">
        <v>74</v>
      </c>
      <c r="V962" t="s">
        <v>74</v>
      </c>
      <c r="W962" t="s">
        <v>16920</v>
      </c>
      <c r="X962" t="s">
        <v>16921</v>
      </c>
      <c r="Y962" t="s">
        <v>16922</v>
      </c>
      <c r="Z962" t="s">
        <v>16923</v>
      </c>
      <c r="AA962" t="s">
        <v>16947</v>
      </c>
      <c r="AB962" t="s">
        <v>16925</v>
      </c>
      <c r="AC962" t="s">
        <v>74</v>
      </c>
      <c r="AD962" t="s">
        <v>74</v>
      </c>
      <c r="AE962" t="s">
        <v>74</v>
      </c>
      <c r="AF962" t="s">
        <v>74</v>
      </c>
      <c r="AG962">
        <v>0</v>
      </c>
      <c r="AH962">
        <v>0</v>
      </c>
      <c r="AI962">
        <v>0</v>
      </c>
      <c r="AJ962">
        <v>0</v>
      </c>
      <c r="AK962">
        <v>5</v>
      </c>
      <c r="AL962" t="s">
        <v>16926</v>
      </c>
      <c r="AM962" t="s">
        <v>16927</v>
      </c>
      <c r="AN962" t="s">
        <v>16928</v>
      </c>
      <c r="AO962" t="s">
        <v>74</v>
      </c>
      <c r="AP962" t="s">
        <v>74</v>
      </c>
      <c r="AQ962" t="s">
        <v>16929</v>
      </c>
      <c r="AR962" t="s">
        <v>16930</v>
      </c>
      <c r="AS962" t="s">
        <v>74</v>
      </c>
      <c r="AT962" t="s">
        <v>74</v>
      </c>
      <c r="AU962">
        <v>2010</v>
      </c>
      <c r="AV962" t="s">
        <v>74</v>
      </c>
      <c r="AW962" t="s">
        <v>74</v>
      </c>
      <c r="AX962" t="s">
        <v>74</v>
      </c>
      <c r="AY962" t="s">
        <v>74</v>
      </c>
      <c r="AZ962" t="s">
        <v>74</v>
      </c>
      <c r="BA962" t="s">
        <v>74</v>
      </c>
      <c r="BB962">
        <v>309</v>
      </c>
      <c r="BC962">
        <v>323</v>
      </c>
      <c r="BD962" t="s">
        <v>74</v>
      </c>
      <c r="BE962" t="s">
        <v>74</v>
      </c>
      <c r="BF962" t="s">
        <v>74</v>
      </c>
      <c r="BG962" t="s">
        <v>74</v>
      </c>
      <c r="BH962" t="s">
        <v>74</v>
      </c>
      <c r="BI962">
        <v>15</v>
      </c>
      <c r="BJ962" t="s">
        <v>4031</v>
      </c>
      <c r="BK962" t="s">
        <v>8579</v>
      </c>
      <c r="BL962" t="s">
        <v>1348</v>
      </c>
      <c r="BM962" t="s">
        <v>16931</v>
      </c>
      <c r="BN962" t="s">
        <v>74</v>
      </c>
      <c r="BO962" t="s">
        <v>74</v>
      </c>
      <c r="BP962" t="s">
        <v>74</v>
      </c>
      <c r="BQ962" t="s">
        <v>74</v>
      </c>
      <c r="BR962" t="s">
        <v>105</v>
      </c>
      <c r="BS962" t="s">
        <v>16948</v>
      </c>
      <c r="BT962" t="str">
        <f>HYPERLINK("https%3A%2F%2Fwww.webofscience.com%2Fwos%2Fwoscc%2Ffull-record%2FWOS:000276891400006","View Full Record in Web of Science")</f>
        <v>View Full Record in Web of Science</v>
      </c>
    </row>
    <row r="963" spans="1:72" x14ac:dyDescent="0.15">
      <c r="A963" t="s">
        <v>72</v>
      </c>
      <c r="B963" t="s">
        <v>16949</v>
      </c>
      <c r="C963" t="s">
        <v>74</v>
      </c>
      <c r="D963" t="s">
        <v>74</v>
      </c>
      <c r="E963" t="s">
        <v>74</v>
      </c>
      <c r="F963" t="s">
        <v>16950</v>
      </c>
      <c r="G963" t="s">
        <v>74</v>
      </c>
      <c r="H963" t="s">
        <v>74</v>
      </c>
      <c r="I963" t="s">
        <v>16951</v>
      </c>
      <c r="J963" t="s">
        <v>16952</v>
      </c>
      <c r="K963" t="s">
        <v>74</v>
      </c>
      <c r="L963" t="s">
        <v>74</v>
      </c>
      <c r="M963" t="s">
        <v>78</v>
      </c>
      <c r="N963" t="s">
        <v>111</v>
      </c>
      <c r="O963" t="s">
        <v>16953</v>
      </c>
      <c r="P963" t="s">
        <v>16954</v>
      </c>
      <c r="Q963" t="s">
        <v>16955</v>
      </c>
      <c r="R963" t="s">
        <v>74</v>
      </c>
      <c r="S963" t="s">
        <v>74</v>
      </c>
      <c r="T963" t="s">
        <v>74</v>
      </c>
      <c r="U963" t="s">
        <v>16956</v>
      </c>
      <c r="V963" t="s">
        <v>16957</v>
      </c>
      <c r="W963" t="s">
        <v>16958</v>
      </c>
      <c r="X963" t="s">
        <v>16959</v>
      </c>
      <c r="Y963" t="s">
        <v>16960</v>
      </c>
      <c r="Z963" t="s">
        <v>16961</v>
      </c>
      <c r="AA963" t="s">
        <v>74</v>
      </c>
      <c r="AB963" t="s">
        <v>16962</v>
      </c>
      <c r="AC963" t="s">
        <v>16963</v>
      </c>
      <c r="AD963" t="s">
        <v>16964</v>
      </c>
      <c r="AE963" t="s">
        <v>74</v>
      </c>
      <c r="AF963" t="s">
        <v>74</v>
      </c>
      <c r="AG963">
        <v>38</v>
      </c>
      <c r="AH963">
        <v>12</v>
      </c>
      <c r="AI963">
        <v>13</v>
      </c>
      <c r="AJ963">
        <v>0</v>
      </c>
      <c r="AK963">
        <v>19</v>
      </c>
      <c r="AL963" t="s">
        <v>587</v>
      </c>
      <c r="AM963" t="s">
        <v>225</v>
      </c>
      <c r="AN963" t="s">
        <v>588</v>
      </c>
      <c r="AO963" t="s">
        <v>16965</v>
      </c>
      <c r="AP963" t="s">
        <v>16966</v>
      </c>
      <c r="AQ963" t="s">
        <v>74</v>
      </c>
      <c r="AR963" t="s">
        <v>16952</v>
      </c>
      <c r="AS963" t="s">
        <v>16967</v>
      </c>
      <c r="AT963" t="s">
        <v>74</v>
      </c>
      <c r="AU963">
        <v>2010</v>
      </c>
      <c r="AV963">
        <v>52</v>
      </c>
      <c r="AW963">
        <v>3</v>
      </c>
      <c r="AX963" t="s">
        <v>74</v>
      </c>
      <c r="AY963" t="s">
        <v>74</v>
      </c>
      <c r="AZ963">
        <v>2</v>
      </c>
      <c r="BA963" t="s">
        <v>74</v>
      </c>
      <c r="BB963">
        <v>1182</v>
      </c>
      <c r="BC963">
        <v>1190</v>
      </c>
      <c r="BD963" t="s">
        <v>74</v>
      </c>
      <c r="BE963" t="s">
        <v>16968</v>
      </c>
      <c r="BF963" t="str">
        <f>HYPERLINK("http://dx.doi.org/10.1017/S0033822200046257","http://dx.doi.org/10.1017/S0033822200046257")</f>
        <v>http://dx.doi.org/10.1017/S0033822200046257</v>
      </c>
      <c r="BG963" t="s">
        <v>74</v>
      </c>
      <c r="BH963" t="s">
        <v>74</v>
      </c>
      <c r="BI963">
        <v>9</v>
      </c>
      <c r="BJ963" t="s">
        <v>507</v>
      </c>
      <c r="BK963" t="s">
        <v>128</v>
      </c>
      <c r="BL963" t="s">
        <v>507</v>
      </c>
      <c r="BM963" t="s">
        <v>16969</v>
      </c>
      <c r="BN963" t="s">
        <v>74</v>
      </c>
      <c r="BO963" t="s">
        <v>260</v>
      </c>
      <c r="BP963" t="s">
        <v>74</v>
      </c>
      <c r="BQ963" t="s">
        <v>74</v>
      </c>
      <c r="BR963" t="s">
        <v>105</v>
      </c>
      <c r="BS963" t="s">
        <v>16970</v>
      </c>
      <c r="BT963" t="str">
        <f>HYPERLINK("https%3A%2F%2Fwww.webofscience.com%2Fwos%2Fwoscc%2Ffull-record%2FWOS:000285437900033","View Full Record in Web of Science")</f>
        <v>View Full Record in Web of Science</v>
      </c>
    </row>
    <row r="964" spans="1:72" x14ac:dyDescent="0.15">
      <c r="A964" t="s">
        <v>8563</v>
      </c>
      <c r="B964" t="s">
        <v>16971</v>
      </c>
      <c r="C964" t="s">
        <v>74</v>
      </c>
      <c r="D964" t="s">
        <v>16972</v>
      </c>
      <c r="E964" t="s">
        <v>74</v>
      </c>
      <c r="F964" t="s">
        <v>16973</v>
      </c>
      <c r="G964" t="s">
        <v>74</v>
      </c>
      <c r="H964" t="s">
        <v>74</v>
      </c>
      <c r="I964" t="s">
        <v>16974</v>
      </c>
      <c r="J964" t="s">
        <v>16975</v>
      </c>
      <c r="K964" t="s">
        <v>74</v>
      </c>
      <c r="L964" t="s">
        <v>74</v>
      </c>
      <c r="M964" t="s">
        <v>78</v>
      </c>
      <c r="N964" t="s">
        <v>8859</v>
      </c>
      <c r="O964" t="s">
        <v>74</v>
      </c>
      <c r="P964" t="s">
        <v>74</v>
      </c>
      <c r="Q964" t="s">
        <v>74</v>
      </c>
      <c r="R964" t="s">
        <v>74</v>
      </c>
      <c r="S964" t="s">
        <v>74</v>
      </c>
      <c r="T964" t="s">
        <v>74</v>
      </c>
      <c r="U964" t="s">
        <v>74</v>
      </c>
      <c r="V964" t="s">
        <v>74</v>
      </c>
      <c r="W964" t="s">
        <v>16976</v>
      </c>
      <c r="X964" t="s">
        <v>74</v>
      </c>
      <c r="Y964" t="s">
        <v>16977</v>
      </c>
      <c r="Z964" t="s">
        <v>74</v>
      </c>
      <c r="AA964" t="s">
        <v>74</v>
      </c>
      <c r="AB964" t="s">
        <v>74</v>
      </c>
      <c r="AC964" t="s">
        <v>74</v>
      </c>
      <c r="AD964" t="s">
        <v>74</v>
      </c>
      <c r="AE964" t="s">
        <v>74</v>
      </c>
      <c r="AF964" t="s">
        <v>74</v>
      </c>
      <c r="AG964">
        <v>35</v>
      </c>
      <c r="AH964">
        <v>0</v>
      </c>
      <c r="AI964">
        <v>0</v>
      </c>
      <c r="AJ964">
        <v>0</v>
      </c>
      <c r="AK964">
        <v>0</v>
      </c>
      <c r="AL964" t="s">
        <v>10796</v>
      </c>
      <c r="AM964" t="s">
        <v>10797</v>
      </c>
      <c r="AN964" t="s">
        <v>10798</v>
      </c>
      <c r="AO964" t="s">
        <v>74</v>
      </c>
      <c r="AP964" t="s">
        <v>74</v>
      </c>
      <c r="AQ964" t="s">
        <v>16978</v>
      </c>
      <c r="AR964" t="s">
        <v>74</v>
      </c>
      <c r="AS964" t="s">
        <v>74</v>
      </c>
      <c r="AT964" t="s">
        <v>74</v>
      </c>
      <c r="AU964">
        <v>2010</v>
      </c>
      <c r="AV964" t="s">
        <v>74</v>
      </c>
      <c r="AW964" t="s">
        <v>74</v>
      </c>
      <c r="AX964" t="s">
        <v>74</v>
      </c>
      <c r="AY964" t="s">
        <v>74</v>
      </c>
      <c r="AZ964" t="s">
        <v>74</v>
      </c>
      <c r="BA964" t="s">
        <v>74</v>
      </c>
      <c r="BB964">
        <v>195</v>
      </c>
      <c r="BC964">
        <v>205</v>
      </c>
      <c r="BD964" t="s">
        <v>74</v>
      </c>
      <c r="BE964" t="s">
        <v>74</v>
      </c>
      <c r="BF964" t="s">
        <v>74</v>
      </c>
      <c r="BG964" t="s">
        <v>74</v>
      </c>
      <c r="BH964" t="s">
        <v>74</v>
      </c>
      <c r="BI964">
        <v>11</v>
      </c>
      <c r="BJ964" t="s">
        <v>16979</v>
      </c>
      <c r="BK964" t="s">
        <v>11088</v>
      </c>
      <c r="BL964" t="s">
        <v>5189</v>
      </c>
      <c r="BM964" t="s">
        <v>16980</v>
      </c>
      <c r="BN964" t="s">
        <v>74</v>
      </c>
      <c r="BO964" t="s">
        <v>74</v>
      </c>
      <c r="BP964" t="s">
        <v>74</v>
      </c>
      <c r="BQ964" t="s">
        <v>74</v>
      </c>
      <c r="BR964" t="s">
        <v>105</v>
      </c>
      <c r="BS964" t="s">
        <v>16981</v>
      </c>
      <c r="BT964" t="str">
        <f>HYPERLINK("https%3A%2F%2Fwww.webofscience.com%2Fwos%2Fwoscc%2Ffull-record%2FWOS:000308670700013","View Full Record in Web of Science")</f>
        <v>View Full Record in Web of Science</v>
      </c>
    </row>
    <row r="965" spans="1:72" x14ac:dyDescent="0.15">
      <c r="A965" t="s">
        <v>8257</v>
      </c>
      <c r="B965" t="s">
        <v>16982</v>
      </c>
      <c r="C965" t="s">
        <v>74</v>
      </c>
      <c r="D965" t="s">
        <v>16983</v>
      </c>
      <c r="E965" t="s">
        <v>74</v>
      </c>
      <c r="F965" t="s">
        <v>16984</v>
      </c>
      <c r="G965" t="s">
        <v>74</v>
      </c>
      <c r="H965" t="s">
        <v>74</v>
      </c>
      <c r="I965" t="s">
        <v>16985</v>
      </c>
      <c r="J965" t="s">
        <v>16986</v>
      </c>
      <c r="K965" t="s">
        <v>74</v>
      </c>
      <c r="L965" t="s">
        <v>74</v>
      </c>
      <c r="M965" t="s">
        <v>78</v>
      </c>
      <c r="N965" t="s">
        <v>8264</v>
      </c>
      <c r="O965" t="s">
        <v>16987</v>
      </c>
      <c r="P965" t="s">
        <v>16988</v>
      </c>
      <c r="Q965" t="s">
        <v>16989</v>
      </c>
      <c r="R965" t="s">
        <v>74</v>
      </c>
      <c r="S965" t="s">
        <v>74</v>
      </c>
      <c r="T965" t="s">
        <v>74</v>
      </c>
      <c r="U965" t="s">
        <v>16990</v>
      </c>
      <c r="V965" t="s">
        <v>16991</v>
      </c>
      <c r="W965" t="s">
        <v>16992</v>
      </c>
      <c r="X965" t="s">
        <v>11309</v>
      </c>
      <c r="Y965" t="s">
        <v>16993</v>
      </c>
      <c r="Z965" t="s">
        <v>74</v>
      </c>
      <c r="AA965" t="s">
        <v>74</v>
      </c>
      <c r="AB965" t="s">
        <v>74</v>
      </c>
      <c r="AC965" t="s">
        <v>74</v>
      </c>
      <c r="AD965" t="s">
        <v>74</v>
      </c>
      <c r="AE965" t="s">
        <v>74</v>
      </c>
      <c r="AF965" t="s">
        <v>74</v>
      </c>
      <c r="AG965">
        <v>20</v>
      </c>
      <c r="AH965">
        <v>0</v>
      </c>
      <c r="AI965">
        <v>0</v>
      </c>
      <c r="AJ965">
        <v>0</v>
      </c>
      <c r="AK965">
        <v>1</v>
      </c>
      <c r="AL965" t="s">
        <v>11496</v>
      </c>
      <c r="AM965" t="s">
        <v>11497</v>
      </c>
      <c r="AN965" t="s">
        <v>11498</v>
      </c>
      <c r="AO965" t="s">
        <v>74</v>
      </c>
      <c r="AP965" t="s">
        <v>74</v>
      </c>
      <c r="AQ965" t="s">
        <v>16994</v>
      </c>
      <c r="AR965" t="s">
        <v>74</v>
      </c>
      <c r="AS965" t="s">
        <v>74</v>
      </c>
      <c r="AT965" t="s">
        <v>74</v>
      </c>
      <c r="AU965">
        <v>2010</v>
      </c>
      <c r="AV965" t="s">
        <v>74</v>
      </c>
      <c r="AW965" t="s">
        <v>74</v>
      </c>
      <c r="AX965" t="s">
        <v>74</v>
      </c>
      <c r="AY965" t="s">
        <v>74</v>
      </c>
      <c r="AZ965" t="s">
        <v>74</v>
      </c>
      <c r="BA965" t="s">
        <v>74</v>
      </c>
      <c r="BB965">
        <v>1221</v>
      </c>
      <c r="BC965">
        <v>1227</v>
      </c>
      <c r="BD965" t="s">
        <v>74</v>
      </c>
      <c r="BE965" t="s">
        <v>74</v>
      </c>
      <c r="BF965" t="s">
        <v>74</v>
      </c>
      <c r="BG965" t="s">
        <v>74</v>
      </c>
      <c r="BH965" t="s">
        <v>74</v>
      </c>
      <c r="BI965">
        <v>7</v>
      </c>
      <c r="BJ965" t="s">
        <v>16995</v>
      </c>
      <c r="BK965" t="s">
        <v>8281</v>
      </c>
      <c r="BL965" t="s">
        <v>8478</v>
      </c>
      <c r="BM965" t="s">
        <v>16996</v>
      </c>
      <c r="BN965" t="s">
        <v>74</v>
      </c>
      <c r="BO965" t="s">
        <v>74</v>
      </c>
      <c r="BP965" t="s">
        <v>74</v>
      </c>
      <c r="BQ965" t="s">
        <v>74</v>
      </c>
      <c r="BR965" t="s">
        <v>105</v>
      </c>
      <c r="BS965" t="s">
        <v>16997</v>
      </c>
      <c r="BT965" t="str">
        <f>HYPERLINK("https%3A%2F%2Fwww.webofscience.com%2Fwos%2Fwoscc%2Ffull-record%2FWOS:000281188500169","View Full Record in Web of Science")</f>
        <v>View Full Record in Web of Science</v>
      </c>
    </row>
    <row r="966" spans="1:72" x14ac:dyDescent="0.15">
      <c r="A966" t="s">
        <v>72</v>
      </c>
      <c r="B966" t="s">
        <v>16998</v>
      </c>
      <c r="C966" t="s">
        <v>74</v>
      </c>
      <c r="D966" t="s">
        <v>74</v>
      </c>
      <c r="E966" t="s">
        <v>74</v>
      </c>
      <c r="F966" t="s">
        <v>16999</v>
      </c>
      <c r="G966" t="s">
        <v>74</v>
      </c>
      <c r="H966" t="s">
        <v>74</v>
      </c>
      <c r="I966" t="s">
        <v>17000</v>
      </c>
      <c r="J966" t="s">
        <v>17001</v>
      </c>
      <c r="K966" t="s">
        <v>74</v>
      </c>
      <c r="L966" t="s">
        <v>74</v>
      </c>
      <c r="M966" t="s">
        <v>78</v>
      </c>
      <c r="N966" t="s">
        <v>79</v>
      </c>
      <c r="O966" t="s">
        <v>74</v>
      </c>
      <c r="P966" t="s">
        <v>74</v>
      </c>
      <c r="Q966" t="s">
        <v>74</v>
      </c>
      <c r="R966" t="s">
        <v>74</v>
      </c>
      <c r="S966" t="s">
        <v>74</v>
      </c>
      <c r="T966" t="s">
        <v>74</v>
      </c>
      <c r="U966" t="s">
        <v>17002</v>
      </c>
      <c r="V966" t="s">
        <v>17003</v>
      </c>
      <c r="W966" t="s">
        <v>17004</v>
      </c>
      <c r="X966" t="s">
        <v>17005</v>
      </c>
      <c r="Y966" t="s">
        <v>17006</v>
      </c>
      <c r="Z966" t="s">
        <v>17007</v>
      </c>
      <c r="AA966" t="s">
        <v>74</v>
      </c>
      <c r="AB966" t="s">
        <v>74</v>
      </c>
      <c r="AC966" t="s">
        <v>17008</v>
      </c>
      <c r="AD966" t="s">
        <v>17009</v>
      </c>
      <c r="AE966" t="s">
        <v>17010</v>
      </c>
      <c r="AF966" t="s">
        <v>74</v>
      </c>
      <c r="AG966">
        <v>12</v>
      </c>
      <c r="AH966">
        <v>46</v>
      </c>
      <c r="AI966">
        <v>50</v>
      </c>
      <c r="AJ966">
        <v>0</v>
      </c>
      <c r="AK966">
        <v>9</v>
      </c>
      <c r="AL966" t="s">
        <v>546</v>
      </c>
      <c r="AM966" t="s">
        <v>547</v>
      </c>
      <c r="AN966" t="s">
        <v>8932</v>
      </c>
      <c r="AO966" t="s">
        <v>17011</v>
      </c>
      <c r="AP966" t="s">
        <v>17012</v>
      </c>
      <c r="AQ966" t="s">
        <v>74</v>
      </c>
      <c r="AR966" t="s">
        <v>17013</v>
      </c>
      <c r="AS966" t="s">
        <v>17014</v>
      </c>
      <c r="AT966" t="s">
        <v>74</v>
      </c>
      <c r="AU966">
        <v>2010</v>
      </c>
      <c r="AV966">
        <v>1</v>
      </c>
      <c r="AW966">
        <v>2</v>
      </c>
      <c r="AX966" t="s">
        <v>74</v>
      </c>
      <c r="AY966" t="s">
        <v>74</v>
      </c>
      <c r="AZ966" t="s">
        <v>74</v>
      </c>
      <c r="BA966" t="s">
        <v>74</v>
      </c>
      <c r="BB966">
        <v>119</v>
      </c>
      <c r="BC966">
        <v>124</v>
      </c>
      <c r="BD966" t="s">
        <v>74</v>
      </c>
      <c r="BE966" t="s">
        <v>17015</v>
      </c>
      <c r="BF966" t="str">
        <f>HYPERLINK("http://dx.doi.org/10.1080/01431160903547940","http://dx.doi.org/10.1080/01431160903547940")</f>
        <v>http://dx.doi.org/10.1080/01431160903547940</v>
      </c>
      <c r="BG966" t="s">
        <v>74</v>
      </c>
      <c r="BH966" t="s">
        <v>74</v>
      </c>
      <c r="BI966">
        <v>6</v>
      </c>
      <c r="BJ966" t="s">
        <v>13347</v>
      </c>
      <c r="BK966" t="s">
        <v>102</v>
      </c>
      <c r="BL966" t="s">
        <v>13347</v>
      </c>
      <c r="BM966" t="s">
        <v>17016</v>
      </c>
      <c r="BN966" t="s">
        <v>74</v>
      </c>
      <c r="BO966" t="s">
        <v>104</v>
      </c>
      <c r="BP966" t="s">
        <v>74</v>
      </c>
      <c r="BQ966" t="s">
        <v>74</v>
      </c>
      <c r="BR966" t="s">
        <v>105</v>
      </c>
      <c r="BS966" t="s">
        <v>17017</v>
      </c>
      <c r="BT966" t="str">
        <f>HYPERLINK("https%3A%2F%2Fwww.webofscience.com%2Fwos%2Fwoscc%2Ffull-record%2FWOS:000292872000007","View Full Record in Web of Science")</f>
        <v>View Full Record in Web of Science</v>
      </c>
    </row>
    <row r="967" spans="1:72" x14ac:dyDescent="0.15">
      <c r="A967" t="s">
        <v>8563</v>
      </c>
      <c r="B967" t="s">
        <v>17018</v>
      </c>
      <c r="C967" t="s">
        <v>74</v>
      </c>
      <c r="D967" t="s">
        <v>17019</v>
      </c>
      <c r="E967" t="s">
        <v>74</v>
      </c>
      <c r="F967" t="s">
        <v>17020</v>
      </c>
      <c r="G967" t="s">
        <v>74</v>
      </c>
      <c r="H967" t="s">
        <v>74</v>
      </c>
      <c r="I967" t="s">
        <v>17021</v>
      </c>
      <c r="J967" t="s">
        <v>17022</v>
      </c>
      <c r="K967" t="s">
        <v>17023</v>
      </c>
      <c r="L967" t="s">
        <v>74</v>
      </c>
      <c r="M967" t="s">
        <v>78</v>
      </c>
      <c r="N967" t="s">
        <v>8859</v>
      </c>
      <c r="O967" t="s">
        <v>74</v>
      </c>
      <c r="P967" t="s">
        <v>74</v>
      </c>
      <c r="Q967" t="s">
        <v>74</v>
      </c>
      <c r="R967" t="s">
        <v>74</v>
      </c>
      <c r="S967" t="s">
        <v>74</v>
      </c>
      <c r="T967" t="s">
        <v>74</v>
      </c>
      <c r="U967" t="s">
        <v>17024</v>
      </c>
      <c r="V967" t="s">
        <v>74</v>
      </c>
      <c r="W967" t="s">
        <v>17025</v>
      </c>
      <c r="X967" t="s">
        <v>17026</v>
      </c>
      <c r="Y967" t="s">
        <v>17027</v>
      </c>
      <c r="Z967" t="s">
        <v>74</v>
      </c>
      <c r="AA967" t="s">
        <v>74</v>
      </c>
      <c r="AB967" t="s">
        <v>74</v>
      </c>
      <c r="AC967" t="s">
        <v>74</v>
      </c>
      <c r="AD967" t="s">
        <v>74</v>
      </c>
      <c r="AE967" t="s">
        <v>74</v>
      </c>
      <c r="AF967" t="s">
        <v>74</v>
      </c>
      <c r="AG967">
        <v>66</v>
      </c>
      <c r="AH967">
        <v>2</v>
      </c>
      <c r="AI967">
        <v>2</v>
      </c>
      <c r="AJ967">
        <v>0</v>
      </c>
      <c r="AK967">
        <v>1</v>
      </c>
      <c r="AL967" t="s">
        <v>17028</v>
      </c>
      <c r="AM967" t="s">
        <v>17029</v>
      </c>
      <c r="AN967" t="s">
        <v>17030</v>
      </c>
      <c r="AO967" t="s">
        <v>74</v>
      </c>
      <c r="AP967" t="s">
        <v>74</v>
      </c>
      <c r="AQ967" t="s">
        <v>17031</v>
      </c>
      <c r="AR967" t="s">
        <v>17032</v>
      </c>
      <c r="AS967" t="s">
        <v>74</v>
      </c>
      <c r="AT967" t="s">
        <v>74</v>
      </c>
      <c r="AU967">
        <v>2010</v>
      </c>
      <c r="AV967" t="s">
        <v>74</v>
      </c>
      <c r="AW967" t="s">
        <v>74</v>
      </c>
      <c r="AX967" t="s">
        <v>74</v>
      </c>
      <c r="AY967" t="s">
        <v>74</v>
      </c>
      <c r="AZ967" t="s">
        <v>74</v>
      </c>
      <c r="BA967" t="s">
        <v>74</v>
      </c>
      <c r="BB967">
        <v>654</v>
      </c>
      <c r="BC967">
        <v>679</v>
      </c>
      <c r="BD967" t="s">
        <v>74</v>
      </c>
      <c r="BE967" t="s">
        <v>74</v>
      </c>
      <c r="BF967" t="s">
        <v>74</v>
      </c>
      <c r="BG967" t="s">
        <v>74</v>
      </c>
      <c r="BH967" t="s">
        <v>74</v>
      </c>
      <c r="BI967">
        <v>26</v>
      </c>
      <c r="BJ967" t="s">
        <v>17033</v>
      </c>
      <c r="BK967" t="s">
        <v>11088</v>
      </c>
      <c r="BL967" t="s">
        <v>17034</v>
      </c>
      <c r="BM967" t="s">
        <v>17035</v>
      </c>
      <c r="BN967" t="s">
        <v>74</v>
      </c>
      <c r="BO967" t="s">
        <v>74</v>
      </c>
      <c r="BP967" t="s">
        <v>74</v>
      </c>
      <c r="BQ967" t="s">
        <v>74</v>
      </c>
      <c r="BR967" t="s">
        <v>105</v>
      </c>
      <c r="BS967" t="s">
        <v>17036</v>
      </c>
      <c r="BT967" t="str">
        <f>HYPERLINK("https%3A%2F%2Fwww.webofscience.com%2Fwos%2Fwoscc%2Ffull-record%2FWOS:000310283500031","View Full Record in Web of Science")</f>
        <v>View Full Record in Web of Science</v>
      </c>
    </row>
    <row r="968" spans="1:72" x14ac:dyDescent="0.15">
      <c r="A968" t="s">
        <v>72</v>
      </c>
      <c r="B968" t="s">
        <v>17037</v>
      </c>
      <c r="C968" t="s">
        <v>74</v>
      </c>
      <c r="D968" t="s">
        <v>74</v>
      </c>
      <c r="E968" t="s">
        <v>74</v>
      </c>
      <c r="F968" t="s">
        <v>17038</v>
      </c>
      <c r="G968" t="s">
        <v>74</v>
      </c>
      <c r="H968" t="s">
        <v>74</v>
      </c>
      <c r="I968" t="s">
        <v>17039</v>
      </c>
      <c r="J968" t="s">
        <v>17040</v>
      </c>
      <c r="K968" t="s">
        <v>74</v>
      </c>
      <c r="L968" t="s">
        <v>74</v>
      </c>
      <c r="M968" t="s">
        <v>17041</v>
      </c>
      <c r="N968" t="s">
        <v>79</v>
      </c>
      <c r="O968" t="s">
        <v>74</v>
      </c>
      <c r="P968" t="s">
        <v>74</v>
      </c>
      <c r="Q968" t="s">
        <v>74</v>
      </c>
      <c r="R968" t="s">
        <v>74</v>
      </c>
      <c r="S968" t="s">
        <v>74</v>
      </c>
      <c r="T968" t="s">
        <v>17042</v>
      </c>
      <c r="U968" t="s">
        <v>74</v>
      </c>
      <c r="V968" t="s">
        <v>17043</v>
      </c>
      <c r="W968" t="s">
        <v>17044</v>
      </c>
      <c r="X968" t="s">
        <v>17045</v>
      </c>
      <c r="Y968" t="s">
        <v>17046</v>
      </c>
      <c r="Z968" t="s">
        <v>17047</v>
      </c>
      <c r="AA968" t="s">
        <v>17048</v>
      </c>
      <c r="AB968" t="s">
        <v>17049</v>
      </c>
      <c r="AC968" t="s">
        <v>74</v>
      </c>
      <c r="AD968" t="s">
        <v>74</v>
      </c>
      <c r="AE968" t="s">
        <v>74</v>
      </c>
      <c r="AF968" t="s">
        <v>74</v>
      </c>
      <c r="AG968">
        <v>9</v>
      </c>
      <c r="AH968">
        <v>2</v>
      </c>
      <c r="AI968">
        <v>2</v>
      </c>
      <c r="AJ968">
        <v>0</v>
      </c>
      <c r="AK968">
        <v>0</v>
      </c>
      <c r="AL968" t="s">
        <v>17050</v>
      </c>
      <c r="AM968" t="s">
        <v>17051</v>
      </c>
      <c r="AN968" t="s">
        <v>17052</v>
      </c>
      <c r="AO968" t="s">
        <v>17053</v>
      </c>
      <c r="AP968" t="s">
        <v>17054</v>
      </c>
      <c r="AQ968" t="s">
        <v>74</v>
      </c>
      <c r="AR968" t="s">
        <v>17055</v>
      </c>
      <c r="AS968" t="s">
        <v>17056</v>
      </c>
      <c r="AT968" t="s">
        <v>12946</v>
      </c>
      <c r="AU968">
        <v>2010</v>
      </c>
      <c r="AV968">
        <v>11</v>
      </c>
      <c r="AW968">
        <v>1</v>
      </c>
      <c r="AX968" t="s">
        <v>74</v>
      </c>
      <c r="AY968" t="s">
        <v>74</v>
      </c>
      <c r="AZ968" t="s">
        <v>74</v>
      </c>
      <c r="BA968" t="s">
        <v>74</v>
      </c>
      <c r="BB968">
        <v>39</v>
      </c>
      <c r="BC968">
        <v>48</v>
      </c>
      <c r="BD968" t="s">
        <v>74</v>
      </c>
      <c r="BE968" t="s">
        <v>74</v>
      </c>
      <c r="BF968" t="s">
        <v>74</v>
      </c>
      <c r="BG968" t="s">
        <v>74</v>
      </c>
      <c r="BH968" t="s">
        <v>74</v>
      </c>
      <c r="BI968">
        <v>10</v>
      </c>
      <c r="BJ968" t="s">
        <v>13601</v>
      </c>
      <c r="BK968" t="s">
        <v>1408</v>
      </c>
      <c r="BL968" t="s">
        <v>13602</v>
      </c>
      <c r="BM968" t="s">
        <v>17057</v>
      </c>
      <c r="BN968" t="s">
        <v>74</v>
      </c>
      <c r="BO968" t="s">
        <v>74</v>
      </c>
      <c r="BP968" t="s">
        <v>74</v>
      </c>
      <c r="BQ968" t="s">
        <v>74</v>
      </c>
      <c r="BR968" t="s">
        <v>105</v>
      </c>
      <c r="BS968" t="s">
        <v>17058</v>
      </c>
      <c r="BT968" t="str">
        <f>HYPERLINK("https%3A%2F%2Fwww.webofscience.com%2Fwos%2Fwoscc%2Ffull-record%2FWOS:000216930500005","View Full Record in Web of Science")</f>
        <v>View Full Record in Web of Science</v>
      </c>
    </row>
    <row r="969" spans="1:72" x14ac:dyDescent="0.15">
      <c r="A969" t="s">
        <v>72</v>
      </c>
      <c r="B969" t="s">
        <v>17059</v>
      </c>
      <c r="C969" t="s">
        <v>74</v>
      </c>
      <c r="D969" t="s">
        <v>74</v>
      </c>
      <c r="E969" t="s">
        <v>74</v>
      </c>
      <c r="F969" t="s">
        <v>17060</v>
      </c>
      <c r="G969" t="s">
        <v>74</v>
      </c>
      <c r="H969" t="s">
        <v>74</v>
      </c>
      <c r="I969" t="s">
        <v>17061</v>
      </c>
      <c r="J969" t="s">
        <v>2927</v>
      </c>
      <c r="K969" t="s">
        <v>74</v>
      </c>
      <c r="L969" t="s">
        <v>74</v>
      </c>
      <c r="M969" t="s">
        <v>2928</v>
      </c>
      <c r="N969" t="s">
        <v>79</v>
      </c>
      <c r="O969" t="s">
        <v>74</v>
      </c>
      <c r="P969" t="s">
        <v>74</v>
      </c>
      <c r="Q969" t="s">
        <v>74</v>
      </c>
      <c r="R969" t="s">
        <v>74</v>
      </c>
      <c r="S969" t="s">
        <v>74</v>
      </c>
      <c r="T969" t="s">
        <v>17062</v>
      </c>
      <c r="U969" t="s">
        <v>74</v>
      </c>
      <c r="V969" t="s">
        <v>17063</v>
      </c>
      <c r="W969" t="s">
        <v>17064</v>
      </c>
      <c r="X969" t="s">
        <v>17065</v>
      </c>
      <c r="Y969" t="s">
        <v>17066</v>
      </c>
      <c r="Z969" t="s">
        <v>17067</v>
      </c>
      <c r="AA969" t="s">
        <v>17068</v>
      </c>
      <c r="AB969" t="s">
        <v>74</v>
      </c>
      <c r="AC969" t="s">
        <v>74</v>
      </c>
      <c r="AD969" t="s">
        <v>74</v>
      </c>
      <c r="AE969" t="s">
        <v>74</v>
      </c>
      <c r="AF969" t="s">
        <v>74</v>
      </c>
      <c r="AG969">
        <v>79</v>
      </c>
      <c r="AH969">
        <v>0</v>
      </c>
      <c r="AI969">
        <v>0</v>
      </c>
      <c r="AJ969">
        <v>0</v>
      </c>
      <c r="AK969">
        <v>0</v>
      </c>
      <c r="AL969" t="s">
        <v>2934</v>
      </c>
      <c r="AM969" t="s">
        <v>2935</v>
      </c>
      <c r="AN969" t="s">
        <v>2936</v>
      </c>
      <c r="AO969" t="s">
        <v>2937</v>
      </c>
      <c r="AP969" t="s">
        <v>74</v>
      </c>
      <c r="AQ969" t="s">
        <v>74</v>
      </c>
      <c r="AR969" t="s">
        <v>2938</v>
      </c>
      <c r="AS969" t="s">
        <v>2939</v>
      </c>
      <c r="AT969" t="s">
        <v>9557</v>
      </c>
      <c r="AU969">
        <v>2010</v>
      </c>
      <c r="AV969">
        <v>1</v>
      </c>
      <c r="AW969">
        <v>1</v>
      </c>
      <c r="AX969" t="s">
        <v>74</v>
      </c>
      <c r="AY969" t="s">
        <v>74</v>
      </c>
      <c r="AZ969" t="s">
        <v>74</v>
      </c>
      <c r="BA969" t="s">
        <v>74</v>
      </c>
      <c r="BB969">
        <v>46</v>
      </c>
      <c r="BC969">
        <v>68</v>
      </c>
      <c r="BD969" t="s">
        <v>74</v>
      </c>
      <c r="BE969" t="s">
        <v>74</v>
      </c>
      <c r="BF969" t="s">
        <v>74</v>
      </c>
      <c r="BG969" t="s">
        <v>74</v>
      </c>
      <c r="BH969" t="s">
        <v>74</v>
      </c>
      <c r="BI969">
        <v>23</v>
      </c>
      <c r="BJ969" t="s">
        <v>2940</v>
      </c>
      <c r="BK969" t="s">
        <v>1408</v>
      </c>
      <c r="BL969" t="s">
        <v>2940</v>
      </c>
      <c r="BM969" t="s">
        <v>17069</v>
      </c>
      <c r="BN969" t="s">
        <v>74</v>
      </c>
      <c r="BO969" t="s">
        <v>74</v>
      </c>
      <c r="BP969" t="s">
        <v>74</v>
      </c>
      <c r="BQ969" t="s">
        <v>74</v>
      </c>
      <c r="BR969" t="s">
        <v>105</v>
      </c>
      <c r="BS969" t="s">
        <v>17070</v>
      </c>
      <c r="BT969" t="str">
        <f>HYPERLINK("https%3A%2F%2Fwww.webofscience.com%2Fwos%2Fwoscc%2Ffull-record%2FWOS:000215954500004","View Full Record in Web of Science")</f>
        <v>View Full Record in Web of Science</v>
      </c>
    </row>
    <row r="970" spans="1:72" x14ac:dyDescent="0.15">
      <c r="A970" t="s">
        <v>72</v>
      </c>
      <c r="B970" t="s">
        <v>17071</v>
      </c>
      <c r="C970" t="s">
        <v>74</v>
      </c>
      <c r="D970" t="s">
        <v>74</v>
      </c>
      <c r="E970" t="s">
        <v>74</v>
      </c>
      <c r="F970" t="s">
        <v>17072</v>
      </c>
      <c r="G970" t="s">
        <v>74</v>
      </c>
      <c r="H970" t="s">
        <v>74</v>
      </c>
      <c r="I970" t="s">
        <v>17073</v>
      </c>
      <c r="J970" t="s">
        <v>17074</v>
      </c>
      <c r="K970" t="s">
        <v>74</v>
      </c>
      <c r="L970" t="s">
        <v>74</v>
      </c>
      <c r="M970" t="s">
        <v>78</v>
      </c>
      <c r="N970" t="s">
        <v>79</v>
      </c>
      <c r="O970" t="s">
        <v>74</v>
      </c>
      <c r="P970" t="s">
        <v>74</v>
      </c>
      <c r="Q970" t="s">
        <v>74</v>
      </c>
      <c r="R970" t="s">
        <v>74</v>
      </c>
      <c r="S970" t="s">
        <v>74</v>
      </c>
      <c r="T970" t="s">
        <v>17075</v>
      </c>
      <c r="U970" t="s">
        <v>17076</v>
      </c>
      <c r="V970" t="s">
        <v>17077</v>
      </c>
      <c r="W970" t="s">
        <v>17078</v>
      </c>
      <c r="X970" t="s">
        <v>17079</v>
      </c>
      <c r="Y970" t="s">
        <v>17080</v>
      </c>
      <c r="Z970" t="s">
        <v>17081</v>
      </c>
      <c r="AA970" t="s">
        <v>17082</v>
      </c>
      <c r="AB970" t="s">
        <v>17083</v>
      </c>
      <c r="AC970" t="s">
        <v>74</v>
      </c>
      <c r="AD970" t="s">
        <v>74</v>
      </c>
      <c r="AE970" t="s">
        <v>74</v>
      </c>
      <c r="AF970" t="s">
        <v>74</v>
      </c>
      <c r="AG970">
        <v>93</v>
      </c>
      <c r="AH970">
        <v>67</v>
      </c>
      <c r="AI970">
        <v>72</v>
      </c>
      <c r="AJ970">
        <v>3</v>
      </c>
      <c r="AK970">
        <v>62</v>
      </c>
      <c r="AL970" t="s">
        <v>9380</v>
      </c>
      <c r="AM970" t="s">
        <v>547</v>
      </c>
      <c r="AN970" t="s">
        <v>9381</v>
      </c>
      <c r="AO970" t="s">
        <v>17084</v>
      </c>
      <c r="AP970" t="s">
        <v>17085</v>
      </c>
      <c r="AQ970" t="s">
        <v>74</v>
      </c>
      <c r="AR970" t="s">
        <v>17086</v>
      </c>
      <c r="AS970" t="s">
        <v>17087</v>
      </c>
      <c r="AT970" t="s">
        <v>74</v>
      </c>
      <c r="AU970">
        <v>2010</v>
      </c>
      <c r="AV970">
        <v>10</v>
      </c>
      <c r="AW970">
        <v>4</v>
      </c>
      <c r="AX970" t="s">
        <v>74</v>
      </c>
      <c r="AY970" t="s">
        <v>74</v>
      </c>
      <c r="AZ970" t="s">
        <v>74</v>
      </c>
      <c r="BA970" t="s">
        <v>74</v>
      </c>
      <c r="BB970">
        <v>448</v>
      </c>
      <c r="BC970">
        <v>467</v>
      </c>
      <c r="BD970" t="s">
        <v>17088</v>
      </c>
      <c r="BE970" t="s">
        <v>17089</v>
      </c>
      <c r="BF970" t="str">
        <f>HYPERLINK("http://dx.doi.org/10.1080/15022250.2010.521686","http://dx.doi.org/10.1080/15022250.2010.521686")</f>
        <v>http://dx.doi.org/10.1080/15022250.2010.521686</v>
      </c>
      <c r="BG970" t="s">
        <v>74</v>
      </c>
      <c r="BH970" t="s">
        <v>74</v>
      </c>
      <c r="BI970">
        <v>20</v>
      </c>
      <c r="BJ970" t="s">
        <v>17090</v>
      </c>
      <c r="BK970" t="s">
        <v>9388</v>
      </c>
      <c r="BL970" t="s">
        <v>17091</v>
      </c>
      <c r="BM970" t="s">
        <v>17092</v>
      </c>
      <c r="BN970" t="s">
        <v>74</v>
      </c>
      <c r="BO970" t="s">
        <v>74</v>
      </c>
      <c r="BP970" t="s">
        <v>74</v>
      </c>
      <c r="BQ970" t="s">
        <v>74</v>
      </c>
      <c r="BR970" t="s">
        <v>105</v>
      </c>
      <c r="BS970" t="s">
        <v>17093</v>
      </c>
      <c r="BT970" t="str">
        <f>HYPERLINK("https%3A%2F%2Fwww.webofscience.com%2Fwos%2Fwoscc%2Ffull-record%2FWOS:000285385200004","View Full Record in Web of Science")</f>
        <v>View Full Record in Web of Science</v>
      </c>
    </row>
    <row r="971" spans="1:72" x14ac:dyDescent="0.15">
      <c r="A971" t="s">
        <v>72</v>
      </c>
      <c r="B971" t="s">
        <v>16415</v>
      </c>
      <c r="C971" t="s">
        <v>74</v>
      </c>
      <c r="D971" t="s">
        <v>74</v>
      </c>
      <c r="E971" t="s">
        <v>74</v>
      </c>
      <c r="F971" t="s">
        <v>17094</v>
      </c>
      <c r="G971" t="s">
        <v>74</v>
      </c>
      <c r="H971" t="s">
        <v>74</v>
      </c>
      <c r="I971" t="s">
        <v>17095</v>
      </c>
      <c r="J971" t="s">
        <v>17096</v>
      </c>
      <c r="K971" t="s">
        <v>74</v>
      </c>
      <c r="L971" t="s">
        <v>74</v>
      </c>
      <c r="M971" t="s">
        <v>78</v>
      </c>
      <c r="N971" t="s">
        <v>79</v>
      </c>
      <c r="O971" t="s">
        <v>74</v>
      </c>
      <c r="P971" t="s">
        <v>74</v>
      </c>
      <c r="Q971" t="s">
        <v>74</v>
      </c>
      <c r="R971" t="s">
        <v>74</v>
      </c>
      <c r="S971" t="s">
        <v>74</v>
      </c>
      <c r="T971" t="s">
        <v>17097</v>
      </c>
      <c r="U971" t="s">
        <v>74</v>
      </c>
      <c r="V971" t="s">
        <v>17098</v>
      </c>
      <c r="W971" t="s">
        <v>17099</v>
      </c>
      <c r="X971" t="s">
        <v>17100</v>
      </c>
      <c r="Y971" t="s">
        <v>17101</v>
      </c>
      <c r="Z971" t="s">
        <v>16428</v>
      </c>
      <c r="AA971" t="s">
        <v>16429</v>
      </c>
      <c r="AB971" t="s">
        <v>16430</v>
      </c>
      <c r="AC971" t="s">
        <v>17102</v>
      </c>
      <c r="AD971" t="s">
        <v>17103</v>
      </c>
      <c r="AE971" t="s">
        <v>17104</v>
      </c>
      <c r="AF971" t="s">
        <v>74</v>
      </c>
      <c r="AG971">
        <v>30</v>
      </c>
      <c r="AH971">
        <v>0</v>
      </c>
      <c r="AI971">
        <v>1</v>
      </c>
      <c r="AJ971">
        <v>0</v>
      </c>
      <c r="AK971">
        <v>0</v>
      </c>
      <c r="AL971" t="s">
        <v>933</v>
      </c>
      <c r="AM971" t="s">
        <v>17105</v>
      </c>
      <c r="AN971" t="s">
        <v>17106</v>
      </c>
      <c r="AO971" t="s">
        <v>17107</v>
      </c>
      <c r="AP971" t="s">
        <v>74</v>
      </c>
      <c r="AQ971" t="s">
        <v>74</v>
      </c>
      <c r="AR971" t="s">
        <v>17108</v>
      </c>
      <c r="AS971" t="s">
        <v>17109</v>
      </c>
      <c r="AT971" t="s">
        <v>74</v>
      </c>
      <c r="AU971">
        <v>2010</v>
      </c>
      <c r="AV971">
        <v>2</v>
      </c>
      <c r="AW971">
        <v>1</v>
      </c>
      <c r="AX971" t="s">
        <v>74</v>
      </c>
      <c r="AY971" t="s">
        <v>74</v>
      </c>
      <c r="AZ971" t="s">
        <v>74</v>
      </c>
      <c r="BA971" t="s">
        <v>74</v>
      </c>
      <c r="BB971">
        <v>73</v>
      </c>
      <c r="BC971">
        <v>81</v>
      </c>
      <c r="BD971" t="s">
        <v>74</v>
      </c>
      <c r="BE971" t="s">
        <v>74</v>
      </c>
      <c r="BF971" t="s">
        <v>74</v>
      </c>
      <c r="BG971" t="s">
        <v>74</v>
      </c>
      <c r="BH971" t="s">
        <v>74</v>
      </c>
      <c r="BI971">
        <v>9</v>
      </c>
      <c r="BJ971" t="s">
        <v>13601</v>
      </c>
      <c r="BK971" t="s">
        <v>1408</v>
      </c>
      <c r="BL971" t="s">
        <v>13602</v>
      </c>
      <c r="BM971" t="s">
        <v>17110</v>
      </c>
      <c r="BN971" t="s">
        <v>74</v>
      </c>
      <c r="BO971" t="s">
        <v>74</v>
      </c>
      <c r="BP971" t="s">
        <v>74</v>
      </c>
      <c r="BQ971" t="s">
        <v>74</v>
      </c>
      <c r="BR971" t="s">
        <v>105</v>
      </c>
      <c r="BS971" t="s">
        <v>17111</v>
      </c>
      <c r="BT971" t="str">
        <f>HYPERLINK("https%3A%2F%2Fwww.webofscience.com%2Fwos%2Fwoscc%2Ffull-record%2FWOS:000422273900010","View Full Record in Web of Science")</f>
        <v>View Full Record in Web of Science</v>
      </c>
    </row>
    <row r="972" spans="1:72" x14ac:dyDescent="0.15">
      <c r="A972" t="s">
        <v>72</v>
      </c>
      <c r="B972" t="s">
        <v>17112</v>
      </c>
      <c r="C972" t="s">
        <v>74</v>
      </c>
      <c r="D972" t="s">
        <v>74</v>
      </c>
      <c r="E972" t="s">
        <v>74</v>
      </c>
      <c r="F972" t="s">
        <v>17113</v>
      </c>
      <c r="G972" t="s">
        <v>74</v>
      </c>
      <c r="H972" t="s">
        <v>74</v>
      </c>
      <c r="I972" t="s">
        <v>17114</v>
      </c>
      <c r="J972" t="s">
        <v>17096</v>
      </c>
      <c r="K972" t="s">
        <v>74</v>
      </c>
      <c r="L972" t="s">
        <v>74</v>
      </c>
      <c r="M972" t="s">
        <v>78</v>
      </c>
      <c r="N972" t="s">
        <v>79</v>
      </c>
      <c r="O972" t="s">
        <v>74</v>
      </c>
      <c r="P972" t="s">
        <v>74</v>
      </c>
      <c r="Q972" t="s">
        <v>74</v>
      </c>
      <c r="R972" t="s">
        <v>74</v>
      </c>
      <c r="S972" t="s">
        <v>74</v>
      </c>
      <c r="T972" t="s">
        <v>17115</v>
      </c>
      <c r="U972" t="s">
        <v>74</v>
      </c>
      <c r="V972" t="s">
        <v>17116</v>
      </c>
      <c r="W972" t="s">
        <v>17117</v>
      </c>
      <c r="X972" t="s">
        <v>17118</v>
      </c>
      <c r="Y972" t="s">
        <v>17119</v>
      </c>
      <c r="Z972" t="s">
        <v>17120</v>
      </c>
      <c r="AA972" t="s">
        <v>17121</v>
      </c>
      <c r="AB972" t="s">
        <v>74</v>
      </c>
      <c r="AC972" t="s">
        <v>17122</v>
      </c>
      <c r="AD972" t="s">
        <v>17123</v>
      </c>
      <c r="AE972" t="s">
        <v>17124</v>
      </c>
      <c r="AF972" t="s">
        <v>74</v>
      </c>
      <c r="AG972">
        <v>27</v>
      </c>
      <c r="AH972">
        <v>0</v>
      </c>
      <c r="AI972">
        <v>0</v>
      </c>
      <c r="AJ972">
        <v>0</v>
      </c>
      <c r="AK972">
        <v>0</v>
      </c>
      <c r="AL972" t="s">
        <v>933</v>
      </c>
      <c r="AM972" t="s">
        <v>17105</v>
      </c>
      <c r="AN972" t="s">
        <v>17106</v>
      </c>
      <c r="AO972" t="s">
        <v>17107</v>
      </c>
      <c r="AP972" t="s">
        <v>74</v>
      </c>
      <c r="AQ972" t="s">
        <v>74</v>
      </c>
      <c r="AR972" t="s">
        <v>17108</v>
      </c>
      <c r="AS972" t="s">
        <v>17109</v>
      </c>
      <c r="AT972" t="s">
        <v>74</v>
      </c>
      <c r="AU972">
        <v>2010</v>
      </c>
      <c r="AV972">
        <v>2</v>
      </c>
      <c r="AW972">
        <v>3</v>
      </c>
      <c r="AX972" t="s">
        <v>74</v>
      </c>
      <c r="AY972" t="s">
        <v>74</v>
      </c>
      <c r="AZ972" t="s">
        <v>74</v>
      </c>
      <c r="BA972" t="s">
        <v>74</v>
      </c>
      <c r="BB972">
        <v>198</v>
      </c>
      <c r="BC972">
        <v>202</v>
      </c>
      <c r="BD972" t="s">
        <v>74</v>
      </c>
      <c r="BE972" t="s">
        <v>74</v>
      </c>
      <c r="BF972" t="s">
        <v>74</v>
      </c>
      <c r="BG972" t="s">
        <v>74</v>
      </c>
      <c r="BH972" t="s">
        <v>74</v>
      </c>
      <c r="BI972">
        <v>5</v>
      </c>
      <c r="BJ972" t="s">
        <v>13601</v>
      </c>
      <c r="BK972" t="s">
        <v>1408</v>
      </c>
      <c r="BL972" t="s">
        <v>13602</v>
      </c>
      <c r="BM972" t="s">
        <v>17125</v>
      </c>
      <c r="BN972" t="s">
        <v>74</v>
      </c>
      <c r="BO972" t="s">
        <v>74</v>
      </c>
      <c r="BP972" t="s">
        <v>74</v>
      </c>
      <c r="BQ972" t="s">
        <v>74</v>
      </c>
      <c r="BR972" t="s">
        <v>105</v>
      </c>
      <c r="BS972" t="s">
        <v>17126</v>
      </c>
      <c r="BT972" t="str">
        <f>HYPERLINK("https%3A%2F%2Fwww.webofscience.com%2Fwos%2Fwoscc%2Ffull-record%2FWOS:000422276300002","View Full Record in Web of Science")</f>
        <v>View Full Record in Web of Science</v>
      </c>
    </row>
    <row r="973" spans="1:72" x14ac:dyDescent="0.15">
      <c r="A973" t="s">
        <v>72</v>
      </c>
      <c r="B973" t="s">
        <v>17127</v>
      </c>
      <c r="C973" t="s">
        <v>74</v>
      </c>
      <c r="D973" t="s">
        <v>74</v>
      </c>
      <c r="E973" t="s">
        <v>74</v>
      </c>
      <c r="F973" t="s">
        <v>17128</v>
      </c>
      <c r="G973" t="s">
        <v>74</v>
      </c>
      <c r="H973" t="s">
        <v>74</v>
      </c>
      <c r="I973" t="s">
        <v>17129</v>
      </c>
      <c r="J973" t="s">
        <v>17130</v>
      </c>
      <c r="K973" t="s">
        <v>74</v>
      </c>
      <c r="L973" t="s">
        <v>74</v>
      </c>
      <c r="M973" t="s">
        <v>78</v>
      </c>
      <c r="N973" t="s">
        <v>5181</v>
      </c>
      <c r="O973" t="s">
        <v>74</v>
      </c>
      <c r="P973" t="s">
        <v>74</v>
      </c>
      <c r="Q973" t="s">
        <v>74</v>
      </c>
      <c r="R973" t="s">
        <v>74</v>
      </c>
      <c r="S973" t="s">
        <v>74</v>
      </c>
      <c r="T973" t="s">
        <v>74</v>
      </c>
      <c r="U973" t="s">
        <v>74</v>
      </c>
      <c r="V973" t="s">
        <v>74</v>
      </c>
      <c r="W973" t="s">
        <v>17131</v>
      </c>
      <c r="X973" t="s">
        <v>12357</v>
      </c>
      <c r="Y973" t="s">
        <v>17132</v>
      </c>
      <c r="Z973" t="s">
        <v>74</v>
      </c>
      <c r="AA973" t="s">
        <v>17133</v>
      </c>
      <c r="AB973" t="s">
        <v>74</v>
      </c>
      <c r="AC973" t="s">
        <v>74</v>
      </c>
      <c r="AD973" t="s">
        <v>74</v>
      </c>
      <c r="AE973" t="s">
        <v>74</v>
      </c>
      <c r="AF973" t="s">
        <v>74</v>
      </c>
      <c r="AG973">
        <v>1</v>
      </c>
      <c r="AH973">
        <v>0</v>
      </c>
      <c r="AI973">
        <v>0</v>
      </c>
      <c r="AJ973">
        <v>0</v>
      </c>
      <c r="AK973">
        <v>2</v>
      </c>
      <c r="AL973" t="s">
        <v>9380</v>
      </c>
      <c r="AM973" t="s">
        <v>547</v>
      </c>
      <c r="AN973" t="s">
        <v>17134</v>
      </c>
      <c r="AO973" t="s">
        <v>17135</v>
      </c>
      <c r="AP973" t="s">
        <v>74</v>
      </c>
      <c r="AQ973" t="s">
        <v>74</v>
      </c>
      <c r="AR973" t="s">
        <v>17136</v>
      </c>
      <c r="AS973" t="s">
        <v>17137</v>
      </c>
      <c r="AT973" t="s">
        <v>74</v>
      </c>
      <c r="AU973">
        <v>2010</v>
      </c>
      <c r="AV973">
        <v>126</v>
      </c>
      <c r="AW973">
        <v>2</v>
      </c>
      <c r="AX973" t="s">
        <v>74</v>
      </c>
      <c r="AY973" t="s">
        <v>74</v>
      </c>
      <c r="AZ973" t="s">
        <v>74</v>
      </c>
      <c r="BA973" t="s">
        <v>74</v>
      </c>
      <c r="BB973">
        <v>138</v>
      </c>
      <c r="BC973">
        <v>140</v>
      </c>
      <c r="BD973" t="s">
        <v>74</v>
      </c>
      <c r="BE973" t="s">
        <v>74</v>
      </c>
      <c r="BF973" t="s">
        <v>74</v>
      </c>
      <c r="BG973" t="s">
        <v>74</v>
      </c>
      <c r="BH973" t="s">
        <v>74</v>
      </c>
      <c r="BI973">
        <v>3</v>
      </c>
      <c r="BJ973" t="s">
        <v>9387</v>
      </c>
      <c r="BK973" t="s">
        <v>9388</v>
      </c>
      <c r="BL973" t="s">
        <v>9387</v>
      </c>
      <c r="BM973" t="s">
        <v>17138</v>
      </c>
      <c r="BN973" t="s">
        <v>74</v>
      </c>
      <c r="BO973" t="s">
        <v>74</v>
      </c>
      <c r="BP973" t="s">
        <v>74</v>
      </c>
      <c r="BQ973" t="s">
        <v>74</v>
      </c>
      <c r="BR973" t="s">
        <v>105</v>
      </c>
      <c r="BS973" t="s">
        <v>17139</v>
      </c>
      <c r="BT973" t="str">
        <f>HYPERLINK("https%3A%2F%2Fwww.webofscience.com%2Fwos%2Fwoscc%2Ffull-record%2FWOS:000277674800007","View Full Record in Web of Science")</f>
        <v>View Full Record in Web of Science</v>
      </c>
    </row>
    <row r="974" spans="1:72" x14ac:dyDescent="0.15">
      <c r="A974" t="s">
        <v>72</v>
      </c>
      <c r="B974" t="s">
        <v>17140</v>
      </c>
      <c r="C974" t="s">
        <v>74</v>
      </c>
      <c r="D974" t="s">
        <v>74</v>
      </c>
      <c r="E974" t="s">
        <v>74</v>
      </c>
      <c r="F974" t="s">
        <v>17141</v>
      </c>
      <c r="G974" t="s">
        <v>74</v>
      </c>
      <c r="H974" t="s">
        <v>74</v>
      </c>
      <c r="I974" t="s">
        <v>17142</v>
      </c>
      <c r="J974" t="s">
        <v>17143</v>
      </c>
      <c r="K974" t="s">
        <v>74</v>
      </c>
      <c r="L974" t="s">
        <v>74</v>
      </c>
      <c r="M974" t="s">
        <v>78</v>
      </c>
      <c r="N974" t="s">
        <v>79</v>
      </c>
      <c r="O974" t="s">
        <v>74</v>
      </c>
      <c r="P974" t="s">
        <v>74</v>
      </c>
      <c r="Q974" t="s">
        <v>74</v>
      </c>
      <c r="R974" t="s">
        <v>74</v>
      </c>
      <c r="S974" t="s">
        <v>74</v>
      </c>
      <c r="T974" t="s">
        <v>74</v>
      </c>
      <c r="U974" t="s">
        <v>17144</v>
      </c>
      <c r="V974" t="s">
        <v>17145</v>
      </c>
      <c r="W974" t="s">
        <v>17146</v>
      </c>
      <c r="X974" t="s">
        <v>17147</v>
      </c>
      <c r="Y974" t="s">
        <v>17148</v>
      </c>
      <c r="Z974" t="s">
        <v>17149</v>
      </c>
      <c r="AA974" t="s">
        <v>17150</v>
      </c>
      <c r="AB974" t="s">
        <v>17151</v>
      </c>
      <c r="AC974" t="s">
        <v>17152</v>
      </c>
      <c r="AD974" t="s">
        <v>17153</v>
      </c>
      <c r="AE974" t="s">
        <v>17154</v>
      </c>
      <c r="AF974" t="s">
        <v>74</v>
      </c>
      <c r="AG974">
        <v>64</v>
      </c>
      <c r="AH974">
        <v>4</v>
      </c>
      <c r="AI974">
        <v>4</v>
      </c>
      <c r="AJ974">
        <v>0</v>
      </c>
      <c r="AK974">
        <v>5</v>
      </c>
      <c r="AL974" t="s">
        <v>4507</v>
      </c>
      <c r="AM974" t="s">
        <v>4508</v>
      </c>
      <c r="AN974" t="s">
        <v>4509</v>
      </c>
      <c r="AO974" t="s">
        <v>17155</v>
      </c>
      <c r="AP974" t="s">
        <v>74</v>
      </c>
      <c r="AQ974" t="s">
        <v>74</v>
      </c>
      <c r="AR974" t="s">
        <v>17156</v>
      </c>
      <c r="AS974" t="s">
        <v>17157</v>
      </c>
      <c r="AT974" t="s">
        <v>74</v>
      </c>
      <c r="AU974">
        <v>2010</v>
      </c>
      <c r="AV974">
        <v>46</v>
      </c>
      <c r="AW974" t="s">
        <v>74</v>
      </c>
      <c r="AX974">
        <v>2</v>
      </c>
      <c r="AY974" t="s">
        <v>74</v>
      </c>
      <c r="AZ974" t="s">
        <v>74</v>
      </c>
      <c r="BA974" t="s">
        <v>74</v>
      </c>
      <c r="BB974">
        <v>97</v>
      </c>
      <c r="BC974">
        <v>111</v>
      </c>
      <c r="BD974" t="s">
        <v>74</v>
      </c>
      <c r="BE974" t="s">
        <v>17158</v>
      </c>
      <c r="BF974" t="str">
        <f>HYPERLINK("http://dx.doi.org/10.1144/0036-9276/01-408","http://dx.doi.org/10.1144/0036-9276/01-408")</f>
        <v>http://dx.doi.org/10.1144/0036-9276/01-408</v>
      </c>
      <c r="BG974" t="s">
        <v>74</v>
      </c>
      <c r="BH974" t="s">
        <v>74</v>
      </c>
      <c r="BI974">
        <v>15</v>
      </c>
      <c r="BJ974" t="s">
        <v>914</v>
      </c>
      <c r="BK974" t="s">
        <v>102</v>
      </c>
      <c r="BL974" t="s">
        <v>914</v>
      </c>
      <c r="BM974" t="s">
        <v>17159</v>
      </c>
      <c r="BN974" t="s">
        <v>74</v>
      </c>
      <c r="BO974" t="s">
        <v>74</v>
      </c>
      <c r="BP974" t="s">
        <v>74</v>
      </c>
      <c r="BQ974" t="s">
        <v>74</v>
      </c>
      <c r="BR974" t="s">
        <v>105</v>
      </c>
      <c r="BS974" t="s">
        <v>17160</v>
      </c>
      <c r="BT974" t="str">
        <f>HYPERLINK("https%3A%2F%2Fwww.webofscience.com%2Fwos%2Fwoscc%2Ffull-record%2FWOS:000285284700001","View Full Record in Web of Science")</f>
        <v>View Full Record in Web of Science</v>
      </c>
    </row>
    <row r="975" spans="1:72" x14ac:dyDescent="0.15">
      <c r="A975" t="s">
        <v>8257</v>
      </c>
      <c r="B975" t="s">
        <v>17161</v>
      </c>
      <c r="C975" t="s">
        <v>74</v>
      </c>
      <c r="D975" t="s">
        <v>17162</v>
      </c>
      <c r="E975" t="s">
        <v>74</v>
      </c>
      <c r="F975" t="s">
        <v>17163</v>
      </c>
      <c r="G975" t="s">
        <v>74</v>
      </c>
      <c r="H975" t="s">
        <v>74</v>
      </c>
      <c r="I975" t="s">
        <v>17164</v>
      </c>
      <c r="J975" t="s">
        <v>17165</v>
      </c>
      <c r="K975" t="s">
        <v>9704</v>
      </c>
      <c r="L975" t="s">
        <v>74</v>
      </c>
      <c r="M975" t="s">
        <v>78</v>
      </c>
      <c r="N975" t="s">
        <v>8264</v>
      </c>
      <c r="O975" t="s">
        <v>17166</v>
      </c>
      <c r="P975" t="s">
        <v>17167</v>
      </c>
      <c r="Q975" t="s">
        <v>17168</v>
      </c>
      <c r="R975" t="s">
        <v>74</v>
      </c>
      <c r="S975" t="s">
        <v>74</v>
      </c>
      <c r="T975" t="s">
        <v>17169</v>
      </c>
      <c r="U975" t="s">
        <v>17170</v>
      </c>
      <c r="V975" t="s">
        <v>17171</v>
      </c>
      <c r="W975" t="s">
        <v>17172</v>
      </c>
      <c r="X975" t="s">
        <v>17173</v>
      </c>
      <c r="Y975" t="s">
        <v>17174</v>
      </c>
      <c r="Z975" t="s">
        <v>74</v>
      </c>
      <c r="AA975" t="s">
        <v>17175</v>
      </c>
      <c r="AB975" t="s">
        <v>9714</v>
      </c>
      <c r="AC975" t="s">
        <v>74</v>
      </c>
      <c r="AD975" t="s">
        <v>74</v>
      </c>
      <c r="AE975" t="s">
        <v>74</v>
      </c>
      <c r="AF975" t="s">
        <v>74</v>
      </c>
      <c r="AG975">
        <v>15</v>
      </c>
      <c r="AH975">
        <v>1</v>
      </c>
      <c r="AI975">
        <v>2</v>
      </c>
      <c r="AJ975">
        <v>0</v>
      </c>
      <c r="AK975">
        <v>0</v>
      </c>
      <c r="AL975" t="s">
        <v>8533</v>
      </c>
      <c r="AM975" t="s">
        <v>8534</v>
      </c>
      <c r="AN975" t="s">
        <v>8535</v>
      </c>
      <c r="AO975" t="s">
        <v>8536</v>
      </c>
      <c r="AP975" t="s">
        <v>9717</v>
      </c>
      <c r="AQ975" t="s">
        <v>17176</v>
      </c>
      <c r="AR975" t="s">
        <v>9719</v>
      </c>
      <c r="AS975" t="s">
        <v>74</v>
      </c>
      <c r="AT975" t="s">
        <v>74</v>
      </c>
      <c r="AU975">
        <v>2010</v>
      </c>
      <c r="AV975">
        <v>7826</v>
      </c>
      <c r="AW975" t="s">
        <v>74</v>
      </c>
      <c r="AX975" t="s">
        <v>74</v>
      </c>
      <c r="AY975" t="s">
        <v>74</v>
      </c>
      <c r="AZ975" t="s">
        <v>74</v>
      </c>
      <c r="BA975" t="s">
        <v>74</v>
      </c>
      <c r="BB975" t="s">
        <v>74</v>
      </c>
      <c r="BC975" t="s">
        <v>74</v>
      </c>
      <c r="BD975">
        <v>782621</v>
      </c>
      <c r="BE975" t="s">
        <v>17177</v>
      </c>
      <c r="BF975" t="str">
        <f>HYPERLINK("http://dx.doi.org/10.1117/12.864601","http://dx.doi.org/10.1117/12.864601")</f>
        <v>http://dx.doi.org/10.1117/12.864601</v>
      </c>
      <c r="BG975" t="s">
        <v>74</v>
      </c>
      <c r="BH975" t="s">
        <v>74</v>
      </c>
      <c r="BI975">
        <v>10</v>
      </c>
      <c r="BJ975" t="s">
        <v>11405</v>
      </c>
      <c r="BK975" t="s">
        <v>8281</v>
      </c>
      <c r="BL975" t="s">
        <v>11405</v>
      </c>
      <c r="BM975" t="s">
        <v>17178</v>
      </c>
      <c r="BN975" t="s">
        <v>74</v>
      </c>
      <c r="BO975" t="s">
        <v>74</v>
      </c>
      <c r="BP975" t="s">
        <v>74</v>
      </c>
      <c r="BQ975" t="s">
        <v>74</v>
      </c>
      <c r="BR975" t="s">
        <v>105</v>
      </c>
      <c r="BS975" t="s">
        <v>17179</v>
      </c>
      <c r="BT975" t="str">
        <f>HYPERLINK("https%3A%2F%2Fwww.webofscience.com%2Fwos%2Fwoscc%2Ffull-record%2FWOS:000287754800058","View Full Record in Web of Science")</f>
        <v>View Full Record in Web of Science</v>
      </c>
    </row>
    <row r="976" spans="1:72" x14ac:dyDescent="0.15">
      <c r="A976" t="s">
        <v>8563</v>
      </c>
      <c r="B976" t="s">
        <v>17180</v>
      </c>
      <c r="C976" t="s">
        <v>74</v>
      </c>
      <c r="D976" t="s">
        <v>17181</v>
      </c>
      <c r="E976" t="s">
        <v>74</v>
      </c>
      <c r="F976" t="s">
        <v>17182</v>
      </c>
      <c r="G976" t="s">
        <v>74</v>
      </c>
      <c r="H976" t="s">
        <v>74</v>
      </c>
      <c r="I976" t="s">
        <v>17183</v>
      </c>
      <c r="J976" t="s">
        <v>17184</v>
      </c>
      <c r="K976" t="s">
        <v>74</v>
      </c>
      <c r="L976" t="s">
        <v>74</v>
      </c>
      <c r="M976" t="s">
        <v>78</v>
      </c>
      <c r="N976" t="s">
        <v>8859</v>
      </c>
      <c r="O976" t="s">
        <v>74</v>
      </c>
      <c r="P976" t="s">
        <v>74</v>
      </c>
      <c r="Q976" t="s">
        <v>74</v>
      </c>
      <c r="R976" t="s">
        <v>74</v>
      </c>
      <c r="S976" t="s">
        <v>74</v>
      </c>
      <c r="T976" t="s">
        <v>74</v>
      </c>
      <c r="U976" t="s">
        <v>74</v>
      </c>
      <c r="V976" t="s">
        <v>74</v>
      </c>
      <c r="W976" t="s">
        <v>74</v>
      </c>
      <c r="X976" t="s">
        <v>74</v>
      </c>
      <c r="Y976" t="s">
        <v>74</v>
      </c>
      <c r="Z976" t="s">
        <v>74</v>
      </c>
      <c r="AA976" t="s">
        <v>74</v>
      </c>
      <c r="AB976" t="s">
        <v>74</v>
      </c>
      <c r="AC976" t="s">
        <v>74</v>
      </c>
      <c r="AD976" t="s">
        <v>74</v>
      </c>
      <c r="AE976" t="s">
        <v>74</v>
      </c>
      <c r="AF976" t="s">
        <v>74</v>
      </c>
      <c r="AG976">
        <v>11</v>
      </c>
      <c r="AH976">
        <v>1</v>
      </c>
      <c r="AI976">
        <v>1</v>
      </c>
      <c r="AJ976">
        <v>0</v>
      </c>
      <c r="AK976">
        <v>0</v>
      </c>
      <c r="AL976" t="s">
        <v>12471</v>
      </c>
      <c r="AM976" t="s">
        <v>12472</v>
      </c>
      <c r="AN976" t="s">
        <v>12473</v>
      </c>
      <c r="AO976" t="s">
        <v>74</v>
      </c>
      <c r="AP976" t="s">
        <v>74</v>
      </c>
      <c r="AQ976" t="s">
        <v>17185</v>
      </c>
      <c r="AR976" t="s">
        <v>74</v>
      </c>
      <c r="AS976" t="s">
        <v>74</v>
      </c>
      <c r="AT976" t="s">
        <v>74</v>
      </c>
      <c r="AU976">
        <v>2010</v>
      </c>
      <c r="AV976" t="s">
        <v>74</v>
      </c>
      <c r="AW976" t="s">
        <v>74</v>
      </c>
      <c r="AX976" t="s">
        <v>74</v>
      </c>
      <c r="AY976" t="s">
        <v>74</v>
      </c>
      <c r="AZ976" t="s">
        <v>74</v>
      </c>
      <c r="BA976" t="s">
        <v>74</v>
      </c>
      <c r="BB976">
        <v>92</v>
      </c>
      <c r="BC976">
        <v>102</v>
      </c>
      <c r="BD976" t="s">
        <v>74</v>
      </c>
      <c r="BE976" t="s">
        <v>74</v>
      </c>
      <c r="BF976" t="s">
        <v>74</v>
      </c>
      <c r="BG976" t="s">
        <v>17186</v>
      </c>
      <c r="BH976" t="s">
        <v>74</v>
      </c>
      <c r="BI976">
        <v>11</v>
      </c>
      <c r="BJ976" t="s">
        <v>17187</v>
      </c>
      <c r="BK976" t="s">
        <v>11088</v>
      </c>
      <c r="BL976" t="s">
        <v>17187</v>
      </c>
      <c r="BM976" t="s">
        <v>17188</v>
      </c>
      <c r="BN976" t="s">
        <v>74</v>
      </c>
      <c r="BO976" t="s">
        <v>74</v>
      </c>
      <c r="BP976" t="s">
        <v>74</v>
      </c>
      <c r="BQ976" t="s">
        <v>74</v>
      </c>
      <c r="BR976" t="s">
        <v>105</v>
      </c>
      <c r="BS976" t="s">
        <v>17189</v>
      </c>
      <c r="BT976" t="str">
        <f>HYPERLINK("https%3A%2F%2Fwww.webofscience.com%2Fwos%2Fwoscc%2Ffull-record%2FWOS:000294208400009","View Full Record in Web of Science")</f>
        <v>View Full Record in Web of Science</v>
      </c>
    </row>
    <row r="977" spans="1:72" x14ac:dyDescent="0.15">
      <c r="A977" t="s">
        <v>8257</v>
      </c>
      <c r="B977" t="s">
        <v>17190</v>
      </c>
      <c r="C977" t="s">
        <v>74</v>
      </c>
      <c r="D977" t="s">
        <v>17191</v>
      </c>
      <c r="E977" t="s">
        <v>74</v>
      </c>
      <c r="F977" t="s">
        <v>17192</v>
      </c>
      <c r="G977" t="s">
        <v>74</v>
      </c>
      <c r="H977" t="s">
        <v>74</v>
      </c>
      <c r="I977" t="s">
        <v>17193</v>
      </c>
      <c r="J977" t="s">
        <v>17194</v>
      </c>
      <c r="K977" t="s">
        <v>9704</v>
      </c>
      <c r="L977" t="s">
        <v>74</v>
      </c>
      <c r="M977" t="s">
        <v>78</v>
      </c>
      <c r="N977" t="s">
        <v>8264</v>
      </c>
      <c r="O977" t="s">
        <v>17195</v>
      </c>
      <c r="P977" t="s">
        <v>17196</v>
      </c>
      <c r="Q977" t="s">
        <v>17197</v>
      </c>
      <c r="R977" t="s">
        <v>74</v>
      </c>
      <c r="S977" t="s">
        <v>17198</v>
      </c>
      <c r="T977" t="s">
        <v>17199</v>
      </c>
      <c r="U977" t="s">
        <v>17200</v>
      </c>
      <c r="V977" t="s">
        <v>17201</v>
      </c>
      <c r="W977" t="s">
        <v>17202</v>
      </c>
      <c r="X977" t="s">
        <v>17203</v>
      </c>
      <c r="Y977" t="s">
        <v>17204</v>
      </c>
      <c r="Z977" t="s">
        <v>17205</v>
      </c>
      <c r="AA977" t="s">
        <v>17206</v>
      </c>
      <c r="AB977" t="s">
        <v>17207</v>
      </c>
      <c r="AC977" t="s">
        <v>74</v>
      </c>
      <c r="AD977" t="s">
        <v>74</v>
      </c>
      <c r="AE977" t="s">
        <v>74</v>
      </c>
      <c r="AF977" t="s">
        <v>74</v>
      </c>
      <c r="AG977">
        <v>19</v>
      </c>
      <c r="AH977">
        <v>9</v>
      </c>
      <c r="AI977">
        <v>11</v>
      </c>
      <c r="AJ977">
        <v>2</v>
      </c>
      <c r="AK977">
        <v>16</v>
      </c>
      <c r="AL977" t="s">
        <v>8533</v>
      </c>
      <c r="AM977" t="s">
        <v>8534</v>
      </c>
      <c r="AN977" t="s">
        <v>8535</v>
      </c>
      <c r="AO977" t="s">
        <v>8536</v>
      </c>
      <c r="AP977" t="s">
        <v>9717</v>
      </c>
      <c r="AQ977" t="s">
        <v>17208</v>
      </c>
      <c r="AR977" t="s">
        <v>9719</v>
      </c>
      <c r="AS977" t="s">
        <v>74</v>
      </c>
      <c r="AT977" t="s">
        <v>74</v>
      </c>
      <c r="AU977">
        <v>2010</v>
      </c>
      <c r="AV977">
        <v>7841</v>
      </c>
      <c r="AW977" t="s">
        <v>74</v>
      </c>
      <c r="AX977" t="s">
        <v>74</v>
      </c>
      <c r="AY977" t="s">
        <v>74</v>
      </c>
      <c r="AZ977" t="s">
        <v>74</v>
      </c>
      <c r="BA977" t="s">
        <v>74</v>
      </c>
      <c r="BB977" t="s">
        <v>74</v>
      </c>
      <c r="BC977" t="s">
        <v>74</v>
      </c>
      <c r="BD977">
        <v>784103</v>
      </c>
      <c r="BE977" t="s">
        <v>17209</v>
      </c>
      <c r="BF977" t="str">
        <f>HYPERLINK("http://dx.doi.org/10.1117/12.873150","http://dx.doi.org/10.1117/12.873150")</f>
        <v>http://dx.doi.org/10.1117/12.873150</v>
      </c>
      <c r="BG977" t="s">
        <v>74</v>
      </c>
      <c r="BH977" t="s">
        <v>74</v>
      </c>
      <c r="BI977">
        <v>10</v>
      </c>
      <c r="BJ977" t="s">
        <v>17210</v>
      </c>
      <c r="BK977" t="s">
        <v>8281</v>
      </c>
      <c r="BL977" t="s">
        <v>17210</v>
      </c>
      <c r="BM977" t="s">
        <v>17211</v>
      </c>
      <c r="BN977" t="s">
        <v>74</v>
      </c>
      <c r="BO977" t="s">
        <v>74</v>
      </c>
      <c r="BP977" t="s">
        <v>74</v>
      </c>
      <c r="BQ977" t="s">
        <v>74</v>
      </c>
      <c r="BR977" t="s">
        <v>105</v>
      </c>
      <c r="BS977" t="s">
        <v>17212</v>
      </c>
      <c r="BT977" t="str">
        <f>HYPERLINK("https%3A%2F%2Fwww.webofscience.com%2Fwos%2Fwoscc%2Ffull-record%2FWOS:000287764600002","View Full Record in Web of Science")</f>
        <v>View Full Record in Web of Science</v>
      </c>
    </row>
    <row r="978" spans="1:72" x14ac:dyDescent="0.15">
      <c r="A978" t="s">
        <v>8257</v>
      </c>
      <c r="B978" t="s">
        <v>17213</v>
      </c>
      <c r="C978" t="s">
        <v>74</v>
      </c>
      <c r="D978" t="s">
        <v>17214</v>
      </c>
      <c r="E978" t="s">
        <v>74</v>
      </c>
      <c r="F978" t="s">
        <v>17215</v>
      </c>
      <c r="G978" t="s">
        <v>74</v>
      </c>
      <c r="H978" t="s">
        <v>74</v>
      </c>
      <c r="I978" t="s">
        <v>17216</v>
      </c>
      <c r="J978" t="s">
        <v>17217</v>
      </c>
      <c r="K978" t="s">
        <v>9704</v>
      </c>
      <c r="L978" t="s">
        <v>74</v>
      </c>
      <c r="M978" t="s">
        <v>78</v>
      </c>
      <c r="N978" t="s">
        <v>8264</v>
      </c>
      <c r="O978" t="s">
        <v>17218</v>
      </c>
      <c r="P978" t="s">
        <v>17219</v>
      </c>
      <c r="Q978" t="s">
        <v>9707</v>
      </c>
      <c r="R978" t="s">
        <v>74</v>
      </c>
      <c r="S978" t="s">
        <v>74</v>
      </c>
      <c r="T978" t="s">
        <v>17220</v>
      </c>
      <c r="U978" t="s">
        <v>17221</v>
      </c>
      <c r="V978" t="s">
        <v>17222</v>
      </c>
      <c r="W978" t="s">
        <v>17223</v>
      </c>
      <c r="X978" t="s">
        <v>17224</v>
      </c>
      <c r="Y978" t="s">
        <v>17225</v>
      </c>
      <c r="Z978" t="s">
        <v>74</v>
      </c>
      <c r="AA978" t="s">
        <v>17226</v>
      </c>
      <c r="AB978" t="s">
        <v>17227</v>
      </c>
      <c r="AC978" t="s">
        <v>17228</v>
      </c>
      <c r="AD978" t="s">
        <v>17229</v>
      </c>
      <c r="AE978" t="s">
        <v>17230</v>
      </c>
      <c r="AF978" t="s">
        <v>74</v>
      </c>
      <c r="AG978">
        <v>37</v>
      </c>
      <c r="AH978">
        <v>2</v>
      </c>
      <c r="AI978">
        <v>4</v>
      </c>
      <c r="AJ978">
        <v>0</v>
      </c>
      <c r="AK978">
        <v>2</v>
      </c>
      <c r="AL978" t="s">
        <v>8533</v>
      </c>
      <c r="AM978" t="s">
        <v>8534</v>
      </c>
      <c r="AN978" t="s">
        <v>8535</v>
      </c>
      <c r="AO978" t="s">
        <v>8536</v>
      </c>
      <c r="AP978" t="s">
        <v>9717</v>
      </c>
      <c r="AQ978" t="s">
        <v>17231</v>
      </c>
      <c r="AR978" t="s">
        <v>9719</v>
      </c>
      <c r="AS978" t="s">
        <v>74</v>
      </c>
      <c r="AT978" t="s">
        <v>74</v>
      </c>
      <c r="AU978">
        <v>2010</v>
      </c>
      <c r="AV978">
        <v>7740</v>
      </c>
      <c r="AW978" t="s">
        <v>74</v>
      </c>
      <c r="AX978" t="s">
        <v>74</v>
      </c>
      <c r="AY978" t="s">
        <v>74</v>
      </c>
      <c r="AZ978" t="s">
        <v>74</v>
      </c>
      <c r="BA978" t="s">
        <v>74</v>
      </c>
      <c r="BB978" t="s">
        <v>74</v>
      </c>
      <c r="BC978" t="s">
        <v>74</v>
      </c>
      <c r="BD978">
        <v>774007</v>
      </c>
      <c r="BE978" t="s">
        <v>17232</v>
      </c>
      <c r="BF978" t="str">
        <f>HYPERLINK("http://dx.doi.org/10.1117/12.857583","http://dx.doi.org/10.1117/12.857583")</f>
        <v>http://dx.doi.org/10.1117/12.857583</v>
      </c>
      <c r="BG978" t="s">
        <v>74</v>
      </c>
      <c r="BH978" t="s">
        <v>74</v>
      </c>
      <c r="BI978">
        <v>11</v>
      </c>
      <c r="BJ978" t="s">
        <v>17233</v>
      </c>
      <c r="BK978" t="s">
        <v>8281</v>
      </c>
      <c r="BL978" t="s">
        <v>17234</v>
      </c>
      <c r="BM978" t="s">
        <v>17235</v>
      </c>
      <c r="BN978" t="s">
        <v>74</v>
      </c>
      <c r="BO978" t="s">
        <v>8189</v>
      </c>
      <c r="BP978" t="s">
        <v>74</v>
      </c>
      <c r="BQ978" t="s">
        <v>74</v>
      </c>
      <c r="BR978" t="s">
        <v>105</v>
      </c>
      <c r="BS978" t="s">
        <v>17236</v>
      </c>
      <c r="BT978" t="str">
        <f>HYPERLINK("https%3A%2F%2Fwww.webofscience.com%2Fwos%2Fwoscc%2Ffull-record%2FWOS:000285839500007","View Full Record in Web of Science")</f>
        <v>View Full Record in Web of Science</v>
      </c>
    </row>
    <row r="979" spans="1:72" x14ac:dyDescent="0.15">
      <c r="A979" t="s">
        <v>8257</v>
      </c>
      <c r="B979" t="s">
        <v>17237</v>
      </c>
      <c r="C979" t="s">
        <v>74</v>
      </c>
      <c r="D979" t="s">
        <v>17214</v>
      </c>
      <c r="E979" t="s">
        <v>74</v>
      </c>
      <c r="F979" t="s">
        <v>17238</v>
      </c>
      <c r="G979" t="s">
        <v>74</v>
      </c>
      <c r="H979" t="s">
        <v>74</v>
      </c>
      <c r="I979" t="s">
        <v>17239</v>
      </c>
      <c r="J979" t="s">
        <v>17217</v>
      </c>
      <c r="K979" t="s">
        <v>9704</v>
      </c>
      <c r="L979" t="s">
        <v>74</v>
      </c>
      <c r="M979" t="s">
        <v>78</v>
      </c>
      <c r="N979" t="s">
        <v>8264</v>
      </c>
      <c r="O979" t="s">
        <v>17218</v>
      </c>
      <c r="P979" t="s">
        <v>17219</v>
      </c>
      <c r="Q979" t="s">
        <v>9707</v>
      </c>
      <c r="R979" t="s">
        <v>74</v>
      </c>
      <c r="S979" t="s">
        <v>74</v>
      </c>
      <c r="T979" t="s">
        <v>17240</v>
      </c>
      <c r="U979" t="s">
        <v>74</v>
      </c>
      <c r="V979" t="s">
        <v>17241</v>
      </c>
      <c r="W979" t="s">
        <v>17242</v>
      </c>
      <c r="X979" t="s">
        <v>8529</v>
      </c>
      <c r="Y979" t="s">
        <v>17243</v>
      </c>
      <c r="Z979" t="s">
        <v>74</v>
      </c>
      <c r="AA979" t="s">
        <v>17244</v>
      </c>
      <c r="AB979" t="s">
        <v>74</v>
      </c>
      <c r="AC979" t="s">
        <v>74</v>
      </c>
      <c r="AD979" t="s">
        <v>74</v>
      </c>
      <c r="AE979" t="s">
        <v>74</v>
      </c>
      <c r="AF979" t="s">
        <v>74</v>
      </c>
      <c r="AG979">
        <v>0</v>
      </c>
      <c r="AH979">
        <v>0</v>
      </c>
      <c r="AI979">
        <v>0</v>
      </c>
      <c r="AJ979">
        <v>1</v>
      </c>
      <c r="AK979">
        <v>4</v>
      </c>
      <c r="AL979" t="s">
        <v>8533</v>
      </c>
      <c r="AM979" t="s">
        <v>8534</v>
      </c>
      <c r="AN979" t="s">
        <v>8535</v>
      </c>
      <c r="AO979" t="s">
        <v>8536</v>
      </c>
      <c r="AP979" t="s">
        <v>74</v>
      </c>
      <c r="AQ979" t="s">
        <v>17231</v>
      </c>
      <c r="AR979" t="s">
        <v>9719</v>
      </c>
      <c r="AS979" t="s">
        <v>74</v>
      </c>
      <c r="AT979" t="s">
        <v>74</v>
      </c>
      <c r="AU979">
        <v>2010</v>
      </c>
      <c r="AV979">
        <v>7740</v>
      </c>
      <c r="AW979" t="s">
        <v>74</v>
      </c>
      <c r="AX979" t="s">
        <v>74</v>
      </c>
      <c r="AY979" t="s">
        <v>74</v>
      </c>
      <c r="AZ979" t="s">
        <v>74</v>
      </c>
      <c r="BA979" t="s">
        <v>74</v>
      </c>
      <c r="BB979" t="s">
        <v>74</v>
      </c>
      <c r="BC979" t="s">
        <v>74</v>
      </c>
      <c r="BD979" t="s">
        <v>17245</v>
      </c>
      <c r="BE979" t="s">
        <v>17246</v>
      </c>
      <c r="BF979" t="str">
        <f>HYPERLINK("http://dx.doi.org/10.1117/12.856227","http://dx.doi.org/10.1117/12.856227")</f>
        <v>http://dx.doi.org/10.1117/12.856227</v>
      </c>
      <c r="BG979" t="s">
        <v>74</v>
      </c>
      <c r="BH979" t="s">
        <v>74</v>
      </c>
      <c r="BI979">
        <v>6</v>
      </c>
      <c r="BJ979" t="s">
        <v>17233</v>
      </c>
      <c r="BK979" t="s">
        <v>8281</v>
      </c>
      <c r="BL979" t="s">
        <v>17234</v>
      </c>
      <c r="BM979" t="s">
        <v>17235</v>
      </c>
      <c r="BN979" t="s">
        <v>74</v>
      </c>
      <c r="BO979" t="s">
        <v>74</v>
      </c>
      <c r="BP979" t="s">
        <v>74</v>
      </c>
      <c r="BQ979" t="s">
        <v>74</v>
      </c>
      <c r="BR979" t="s">
        <v>105</v>
      </c>
      <c r="BS979" t="s">
        <v>17247</v>
      </c>
      <c r="BT979" t="str">
        <f>HYPERLINK("https%3A%2F%2Fwww.webofscience.com%2Fwos%2Fwoscc%2Ffull-record%2FWOS:000285839500086","View Full Record in Web of Science")</f>
        <v>View Full Record in Web of Science</v>
      </c>
    </row>
    <row r="980" spans="1:72" x14ac:dyDescent="0.15">
      <c r="A980" t="s">
        <v>72</v>
      </c>
      <c r="B980" t="s">
        <v>17248</v>
      </c>
      <c r="C980" t="s">
        <v>74</v>
      </c>
      <c r="D980" t="s">
        <v>74</v>
      </c>
      <c r="E980" t="s">
        <v>74</v>
      </c>
      <c r="F980" t="s">
        <v>17249</v>
      </c>
      <c r="G980" t="s">
        <v>74</v>
      </c>
      <c r="H980" t="s">
        <v>74</v>
      </c>
      <c r="I980" t="s">
        <v>17250</v>
      </c>
      <c r="J980" t="s">
        <v>17251</v>
      </c>
      <c r="K980" t="s">
        <v>74</v>
      </c>
      <c r="L980" t="s">
        <v>74</v>
      </c>
      <c r="M980" t="s">
        <v>17252</v>
      </c>
      <c r="N980" t="s">
        <v>79</v>
      </c>
      <c r="O980" t="s">
        <v>74</v>
      </c>
      <c r="P980" t="s">
        <v>74</v>
      </c>
      <c r="Q980" t="s">
        <v>74</v>
      </c>
      <c r="R980" t="s">
        <v>74</v>
      </c>
      <c r="S980" t="s">
        <v>74</v>
      </c>
      <c r="T980" t="s">
        <v>74</v>
      </c>
      <c r="U980" t="s">
        <v>74</v>
      </c>
      <c r="V980" t="s">
        <v>17253</v>
      </c>
      <c r="W980" t="s">
        <v>17254</v>
      </c>
      <c r="X980" t="s">
        <v>17255</v>
      </c>
      <c r="Y980" t="s">
        <v>17256</v>
      </c>
      <c r="Z980" t="s">
        <v>74</v>
      </c>
      <c r="AA980" t="s">
        <v>17257</v>
      </c>
      <c r="AB980" t="s">
        <v>17258</v>
      </c>
      <c r="AC980" t="s">
        <v>74</v>
      </c>
      <c r="AD980" t="s">
        <v>74</v>
      </c>
      <c r="AE980" t="s">
        <v>74</v>
      </c>
      <c r="AF980" t="s">
        <v>74</v>
      </c>
      <c r="AG980">
        <v>17</v>
      </c>
      <c r="AH980">
        <v>2</v>
      </c>
      <c r="AI980">
        <v>2</v>
      </c>
      <c r="AJ980">
        <v>0</v>
      </c>
      <c r="AK980">
        <v>0</v>
      </c>
      <c r="AL980" t="s">
        <v>17259</v>
      </c>
      <c r="AM980" t="s">
        <v>17260</v>
      </c>
      <c r="AN980" t="s">
        <v>17261</v>
      </c>
      <c r="AO980" t="s">
        <v>17262</v>
      </c>
      <c r="AP980" t="s">
        <v>17263</v>
      </c>
      <c r="AQ980" t="s">
        <v>74</v>
      </c>
      <c r="AR980" t="s">
        <v>17264</v>
      </c>
      <c r="AS980" t="s">
        <v>17265</v>
      </c>
      <c r="AT980" t="s">
        <v>74</v>
      </c>
      <c r="AU980">
        <v>2010</v>
      </c>
      <c r="AV980">
        <v>16</v>
      </c>
      <c r="AW980">
        <v>5</v>
      </c>
      <c r="AX980" t="s">
        <v>74</v>
      </c>
      <c r="AY980" t="s">
        <v>74</v>
      </c>
      <c r="AZ980" t="s">
        <v>74</v>
      </c>
      <c r="BA980" t="s">
        <v>74</v>
      </c>
      <c r="BB980">
        <v>5</v>
      </c>
      <c r="BC980">
        <v>11</v>
      </c>
      <c r="BD980" t="s">
        <v>74</v>
      </c>
      <c r="BE980" t="s">
        <v>17266</v>
      </c>
      <c r="BF980" t="str">
        <f>HYPERLINK("http://dx.doi.org/10.15407/knit2010.05.005","http://dx.doi.org/10.15407/knit2010.05.005")</f>
        <v>http://dx.doi.org/10.15407/knit2010.05.005</v>
      </c>
      <c r="BG980" t="s">
        <v>74</v>
      </c>
      <c r="BH980" t="s">
        <v>74</v>
      </c>
      <c r="BI980">
        <v>7</v>
      </c>
      <c r="BJ980" t="s">
        <v>478</v>
      </c>
      <c r="BK980" t="s">
        <v>1408</v>
      </c>
      <c r="BL980" t="s">
        <v>478</v>
      </c>
      <c r="BM980" t="s">
        <v>17267</v>
      </c>
      <c r="BN980" t="s">
        <v>74</v>
      </c>
      <c r="BO980" t="s">
        <v>104</v>
      </c>
      <c r="BP980" t="s">
        <v>74</v>
      </c>
      <c r="BQ980" t="s">
        <v>74</v>
      </c>
      <c r="BR980" t="s">
        <v>105</v>
      </c>
      <c r="BS980" t="s">
        <v>17268</v>
      </c>
      <c r="BT980" t="str">
        <f>HYPERLINK("https%3A%2F%2Fwww.webofscience.com%2Fwos%2Fwoscc%2Ffull-record%2FWOS:000440104900001","View Full Record in Web of Science")</f>
        <v>View Full Record in Web of Science</v>
      </c>
    </row>
    <row r="981" spans="1:72" x14ac:dyDescent="0.15">
      <c r="A981" t="s">
        <v>72</v>
      </c>
      <c r="B981" t="s">
        <v>17269</v>
      </c>
      <c r="C981" t="s">
        <v>74</v>
      </c>
      <c r="D981" t="s">
        <v>74</v>
      </c>
      <c r="E981" t="s">
        <v>74</v>
      </c>
      <c r="F981" t="s">
        <v>17270</v>
      </c>
      <c r="G981" t="s">
        <v>74</v>
      </c>
      <c r="H981" t="s">
        <v>74</v>
      </c>
      <c r="I981" t="s">
        <v>17271</v>
      </c>
      <c r="J981" t="s">
        <v>17251</v>
      </c>
      <c r="K981" t="s">
        <v>74</v>
      </c>
      <c r="L981" t="s">
        <v>74</v>
      </c>
      <c r="M981" t="s">
        <v>17252</v>
      </c>
      <c r="N981" t="s">
        <v>79</v>
      </c>
      <c r="O981" t="s">
        <v>74</v>
      </c>
      <c r="P981" t="s">
        <v>74</v>
      </c>
      <c r="Q981" t="s">
        <v>74</v>
      </c>
      <c r="R981" t="s">
        <v>74</v>
      </c>
      <c r="S981" t="s">
        <v>74</v>
      </c>
      <c r="T981" t="s">
        <v>74</v>
      </c>
      <c r="U981" t="s">
        <v>74</v>
      </c>
      <c r="V981" t="s">
        <v>17272</v>
      </c>
      <c r="W981" t="s">
        <v>17273</v>
      </c>
      <c r="X981" t="s">
        <v>17255</v>
      </c>
      <c r="Y981" t="s">
        <v>17274</v>
      </c>
      <c r="Z981" t="s">
        <v>74</v>
      </c>
      <c r="AA981" t="s">
        <v>17275</v>
      </c>
      <c r="AB981" t="s">
        <v>17276</v>
      </c>
      <c r="AC981" t="s">
        <v>74</v>
      </c>
      <c r="AD981" t="s">
        <v>74</v>
      </c>
      <c r="AE981" t="s">
        <v>74</v>
      </c>
      <c r="AF981" t="s">
        <v>74</v>
      </c>
      <c r="AG981">
        <v>26</v>
      </c>
      <c r="AH981">
        <v>0</v>
      </c>
      <c r="AI981">
        <v>0</v>
      </c>
      <c r="AJ981">
        <v>0</v>
      </c>
      <c r="AK981">
        <v>0</v>
      </c>
      <c r="AL981" t="s">
        <v>17259</v>
      </c>
      <c r="AM981" t="s">
        <v>17260</v>
      </c>
      <c r="AN981" t="s">
        <v>17261</v>
      </c>
      <c r="AO981" t="s">
        <v>17262</v>
      </c>
      <c r="AP981" t="s">
        <v>17263</v>
      </c>
      <c r="AQ981" t="s">
        <v>74</v>
      </c>
      <c r="AR981" t="s">
        <v>17264</v>
      </c>
      <c r="AS981" t="s">
        <v>17265</v>
      </c>
      <c r="AT981" t="s">
        <v>74</v>
      </c>
      <c r="AU981">
        <v>2010</v>
      </c>
      <c r="AV981">
        <v>16</v>
      </c>
      <c r="AW981">
        <v>1</v>
      </c>
      <c r="AX981" t="s">
        <v>74</v>
      </c>
      <c r="AY981" t="s">
        <v>74</v>
      </c>
      <c r="AZ981" t="s">
        <v>74</v>
      </c>
      <c r="BA981" t="s">
        <v>74</v>
      </c>
      <c r="BB981">
        <v>20</v>
      </c>
      <c r="BC981">
        <v>27</v>
      </c>
      <c r="BD981" t="s">
        <v>74</v>
      </c>
      <c r="BE981" t="s">
        <v>17277</v>
      </c>
      <c r="BF981" t="str">
        <f>HYPERLINK("http://dx.doi.org/10.15407/knit2010.01.020","http://dx.doi.org/10.15407/knit2010.01.020")</f>
        <v>http://dx.doi.org/10.15407/knit2010.01.020</v>
      </c>
      <c r="BG981" t="s">
        <v>74</v>
      </c>
      <c r="BH981" t="s">
        <v>74</v>
      </c>
      <c r="BI981">
        <v>8</v>
      </c>
      <c r="BJ981" t="s">
        <v>478</v>
      </c>
      <c r="BK981" t="s">
        <v>1408</v>
      </c>
      <c r="BL981" t="s">
        <v>478</v>
      </c>
      <c r="BM981" t="s">
        <v>17278</v>
      </c>
      <c r="BN981" t="s">
        <v>74</v>
      </c>
      <c r="BO981" t="s">
        <v>74</v>
      </c>
      <c r="BP981" t="s">
        <v>74</v>
      </c>
      <c r="BQ981" t="s">
        <v>74</v>
      </c>
      <c r="BR981" t="s">
        <v>105</v>
      </c>
      <c r="BS981" t="s">
        <v>17279</v>
      </c>
      <c r="BT981" t="str">
        <f>HYPERLINK("https%3A%2F%2Fwww.webofscience.com%2Fwos%2Fwoscc%2Ffull-record%2FWOS:000440102300002","View Full Record in Web of Science")</f>
        <v>View Full Record in Web of Science</v>
      </c>
    </row>
    <row r="982" spans="1:72" x14ac:dyDescent="0.15">
      <c r="A982" t="s">
        <v>8563</v>
      </c>
      <c r="B982" t="s">
        <v>17280</v>
      </c>
      <c r="C982" t="s">
        <v>74</v>
      </c>
      <c r="D982" t="s">
        <v>17281</v>
      </c>
      <c r="E982" t="s">
        <v>74</v>
      </c>
      <c r="F982" t="s">
        <v>17282</v>
      </c>
      <c r="G982" t="s">
        <v>74</v>
      </c>
      <c r="H982" t="s">
        <v>74</v>
      </c>
      <c r="I982" t="s">
        <v>17283</v>
      </c>
      <c r="J982" t="s">
        <v>17284</v>
      </c>
      <c r="K982" t="s">
        <v>74</v>
      </c>
      <c r="L982" t="s">
        <v>74</v>
      </c>
      <c r="M982" t="s">
        <v>78</v>
      </c>
      <c r="N982" t="s">
        <v>8859</v>
      </c>
      <c r="O982" t="s">
        <v>74</v>
      </c>
      <c r="P982" t="s">
        <v>74</v>
      </c>
      <c r="Q982" t="s">
        <v>74</v>
      </c>
      <c r="R982" t="s">
        <v>74</v>
      </c>
      <c r="S982" t="s">
        <v>74</v>
      </c>
      <c r="T982" t="s">
        <v>74</v>
      </c>
      <c r="U982" t="s">
        <v>17285</v>
      </c>
      <c r="V982" t="s">
        <v>74</v>
      </c>
      <c r="W982" t="s">
        <v>17286</v>
      </c>
      <c r="X982" t="s">
        <v>17287</v>
      </c>
      <c r="Y982" t="s">
        <v>17288</v>
      </c>
      <c r="Z982" t="s">
        <v>17289</v>
      </c>
      <c r="AA982" t="s">
        <v>17290</v>
      </c>
      <c r="AB982" t="s">
        <v>17291</v>
      </c>
      <c r="AC982" t="s">
        <v>74</v>
      </c>
      <c r="AD982" t="s">
        <v>74</v>
      </c>
      <c r="AE982" t="s">
        <v>74</v>
      </c>
      <c r="AF982" t="s">
        <v>74</v>
      </c>
      <c r="AG982">
        <v>50</v>
      </c>
      <c r="AH982">
        <v>9</v>
      </c>
      <c r="AI982">
        <v>10</v>
      </c>
      <c r="AJ982">
        <v>0</v>
      </c>
      <c r="AK982">
        <v>4</v>
      </c>
      <c r="AL982" t="s">
        <v>8866</v>
      </c>
      <c r="AM982" t="s">
        <v>6462</v>
      </c>
      <c r="AN982" t="s">
        <v>8867</v>
      </c>
      <c r="AO982" t="s">
        <v>74</v>
      </c>
      <c r="AP982" t="s">
        <v>74</v>
      </c>
      <c r="AQ982" t="s">
        <v>17292</v>
      </c>
      <c r="AR982" t="s">
        <v>74</v>
      </c>
      <c r="AS982" t="s">
        <v>74</v>
      </c>
      <c r="AT982" t="s">
        <v>74</v>
      </c>
      <c r="AU982">
        <v>2010</v>
      </c>
      <c r="AV982" t="s">
        <v>74</v>
      </c>
      <c r="AW982" t="s">
        <v>74</v>
      </c>
      <c r="AX982" t="s">
        <v>74</v>
      </c>
      <c r="AY982" t="s">
        <v>74</v>
      </c>
      <c r="AZ982" t="s">
        <v>74</v>
      </c>
      <c r="BA982" t="s">
        <v>74</v>
      </c>
      <c r="BB982">
        <v>233</v>
      </c>
      <c r="BC982">
        <v>243</v>
      </c>
      <c r="BD982" t="s">
        <v>74</v>
      </c>
      <c r="BE982" t="s">
        <v>17293</v>
      </c>
      <c r="BF982" t="str">
        <f>HYPERLINK("http://dx.doi.org/10.1007/978-4-431-87771-4_13","http://dx.doi.org/10.1007/978-4-431-87771-4_13")</f>
        <v>http://dx.doi.org/10.1007/978-4-431-87771-4_13</v>
      </c>
      <c r="BG982" t="s">
        <v>17294</v>
      </c>
      <c r="BH982" t="s">
        <v>74</v>
      </c>
      <c r="BI982">
        <v>11</v>
      </c>
      <c r="BJ982" t="s">
        <v>17295</v>
      </c>
      <c r="BK982" t="s">
        <v>8579</v>
      </c>
      <c r="BL982" t="s">
        <v>17296</v>
      </c>
      <c r="BM982" t="s">
        <v>17297</v>
      </c>
      <c r="BN982" t="s">
        <v>74</v>
      </c>
      <c r="BO982" t="s">
        <v>74</v>
      </c>
      <c r="BP982" t="s">
        <v>74</v>
      </c>
      <c r="BQ982" t="s">
        <v>74</v>
      </c>
      <c r="BR982" t="s">
        <v>105</v>
      </c>
      <c r="BS982" t="s">
        <v>17298</v>
      </c>
      <c r="BT982" t="str">
        <f>HYPERLINK("https%3A%2F%2Fwww.webofscience.com%2Fwos%2Fwoscc%2Ffull-record%2FWOS:000274569600013","View Full Record in Web of Science")</f>
        <v>View Full Record in Web of Science</v>
      </c>
    </row>
    <row r="983" spans="1:72" x14ac:dyDescent="0.15">
      <c r="A983" t="s">
        <v>72</v>
      </c>
      <c r="B983" t="s">
        <v>17299</v>
      </c>
      <c r="C983" t="s">
        <v>74</v>
      </c>
      <c r="D983" t="s">
        <v>74</v>
      </c>
      <c r="E983" t="s">
        <v>74</v>
      </c>
      <c r="F983" t="s">
        <v>17300</v>
      </c>
      <c r="G983" t="s">
        <v>74</v>
      </c>
      <c r="H983" t="s">
        <v>74</v>
      </c>
      <c r="I983" t="s">
        <v>17301</v>
      </c>
      <c r="J983" t="s">
        <v>17302</v>
      </c>
      <c r="K983" t="s">
        <v>74</v>
      </c>
      <c r="L983" t="s">
        <v>74</v>
      </c>
      <c r="M983" t="s">
        <v>78</v>
      </c>
      <c r="N983" t="s">
        <v>79</v>
      </c>
      <c r="O983" t="s">
        <v>74</v>
      </c>
      <c r="P983" t="s">
        <v>74</v>
      </c>
      <c r="Q983" t="s">
        <v>74</v>
      </c>
      <c r="R983" t="s">
        <v>74</v>
      </c>
      <c r="S983" t="s">
        <v>74</v>
      </c>
      <c r="T983" t="s">
        <v>74</v>
      </c>
      <c r="U983" t="s">
        <v>17303</v>
      </c>
      <c r="V983" t="s">
        <v>17304</v>
      </c>
      <c r="W983" t="s">
        <v>17305</v>
      </c>
      <c r="X983" t="s">
        <v>17306</v>
      </c>
      <c r="Y983" t="s">
        <v>17307</v>
      </c>
      <c r="Z983" t="s">
        <v>17308</v>
      </c>
      <c r="AA983" t="s">
        <v>17309</v>
      </c>
      <c r="AB983" t="s">
        <v>17310</v>
      </c>
      <c r="AC983" t="s">
        <v>74</v>
      </c>
      <c r="AD983" t="s">
        <v>74</v>
      </c>
      <c r="AE983" t="s">
        <v>74</v>
      </c>
      <c r="AF983" t="s">
        <v>74</v>
      </c>
      <c r="AG983">
        <v>72</v>
      </c>
      <c r="AH983">
        <v>30</v>
      </c>
      <c r="AI983">
        <v>33</v>
      </c>
      <c r="AJ983">
        <v>1</v>
      </c>
      <c r="AK983">
        <v>12</v>
      </c>
      <c r="AL983" t="s">
        <v>17311</v>
      </c>
      <c r="AM983" t="s">
        <v>17312</v>
      </c>
      <c r="AN983" t="s">
        <v>17313</v>
      </c>
      <c r="AO983" t="s">
        <v>17314</v>
      </c>
      <c r="AP983" t="s">
        <v>17315</v>
      </c>
      <c r="AQ983" t="s">
        <v>74</v>
      </c>
      <c r="AR983" t="s">
        <v>17302</v>
      </c>
      <c r="AS983" t="s">
        <v>17316</v>
      </c>
      <c r="AT983" t="s">
        <v>74</v>
      </c>
      <c r="AU983">
        <v>2010</v>
      </c>
      <c r="AV983">
        <v>7</v>
      </c>
      <c r="AW983" t="s">
        <v>2879</v>
      </c>
      <c r="AX983" t="s">
        <v>74</v>
      </c>
      <c r="AY983" t="s">
        <v>74</v>
      </c>
      <c r="AZ983" t="s">
        <v>74</v>
      </c>
      <c r="BA983" t="s">
        <v>74</v>
      </c>
      <c r="BB983">
        <v>111</v>
      </c>
      <c r="BC983">
        <v>121</v>
      </c>
      <c r="BD983" t="s">
        <v>74</v>
      </c>
      <c r="BE983" t="s">
        <v>74</v>
      </c>
      <c r="BF983" t="s">
        <v>74</v>
      </c>
      <c r="BG983" t="s">
        <v>74</v>
      </c>
      <c r="BH983" t="s">
        <v>74</v>
      </c>
      <c r="BI983">
        <v>11</v>
      </c>
      <c r="BJ983" t="s">
        <v>10561</v>
      </c>
      <c r="BK983" t="s">
        <v>102</v>
      </c>
      <c r="BL983" t="s">
        <v>10561</v>
      </c>
      <c r="BM983" t="s">
        <v>17317</v>
      </c>
      <c r="BN983" t="s">
        <v>74</v>
      </c>
      <c r="BO983" t="s">
        <v>74</v>
      </c>
      <c r="BP983" t="s">
        <v>74</v>
      </c>
      <c r="BQ983" t="s">
        <v>74</v>
      </c>
      <c r="BR983" t="s">
        <v>105</v>
      </c>
      <c r="BS983" t="s">
        <v>17318</v>
      </c>
      <c r="BT983" t="str">
        <f>HYPERLINK("https%3A%2F%2Fwww.webofscience.com%2Fwos%2Fwoscc%2Ffull-record%2FWOS:000284521700002","View Full Record in Web of Science")</f>
        <v>View Full Record in Web of Science</v>
      </c>
    </row>
    <row r="984" spans="1:72" x14ac:dyDescent="0.15">
      <c r="A984" t="s">
        <v>72</v>
      </c>
      <c r="B984" t="s">
        <v>17319</v>
      </c>
      <c r="C984" t="s">
        <v>74</v>
      </c>
      <c r="D984" t="s">
        <v>74</v>
      </c>
      <c r="E984" t="s">
        <v>74</v>
      </c>
      <c r="F984" t="s">
        <v>17320</v>
      </c>
      <c r="G984" t="s">
        <v>74</v>
      </c>
      <c r="H984" t="s">
        <v>74</v>
      </c>
      <c r="I984" t="s">
        <v>17321</v>
      </c>
      <c r="J984" t="s">
        <v>17302</v>
      </c>
      <c r="K984" t="s">
        <v>74</v>
      </c>
      <c r="L984" t="s">
        <v>74</v>
      </c>
      <c r="M984" t="s">
        <v>78</v>
      </c>
      <c r="N984" t="s">
        <v>79</v>
      </c>
      <c r="O984" t="s">
        <v>74</v>
      </c>
      <c r="P984" t="s">
        <v>74</v>
      </c>
      <c r="Q984" t="s">
        <v>74</v>
      </c>
      <c r="R984" t="s">
        <v>74</v>
      </c>
      <c r="S984" t="s">
        <v>74</v>
      </c>
      <c r="T984" t="s">
        <v>74</v>
      </c>
      <c r="U984" t="s">
        <v>17322</v>
      </c>
      <c r="V984" t="s">
        <v>17323</v>
      </c>
      <c r="W984" t="s">
        <v>17324</v>
      </c>
      <c r="X984" t="s">
        <v>17325</v>
      </c>
      <c r="Y984" t="s">
        <v>17326</v>
      </c>
      <c r="Z984" t="s">
        <v>17327</v>
      </c>
      <c r="AA984" t="s">
        <v>17328</v>
      </c>
      <c r="AB984" t="s">
        <v>17329</v>
      </c>
      <c r="AC984" t="s">
        <v>17330</v>
      </c>
      <c r="AD984" t="s">
        <v>17331</v>
      </c>
      <c r="AE984" t="s">
        <v>17332</v>
      </c>
      <c r="AF984" t="s">
        <v>74</v>
      </c>
      <c r="AG984">
        <v>112</v>
      </c>
      <c r="AH984">
        <v>183</v>
      </c>
      <c r="AI984">
        <v>202</v>
      </c>
      <c r="AJ984">
        <v>1</v>
      </c>
      <c r="AK984">
        <v>50</v>
      </c>
      <c r="AL984" t="s">
        <v>17311</v>
      </c>
      <c r="AM984" t="s">
        <v>17312</v>
      </c>
      <c r="AN984" t="s">
        <v>17313</v>
      </c>
      <c r="AO984" t="s">
        <v>17314</v>
      </c>
      <c r="AP984" t="s">
        <v>17315</v>
      </c>
      <c r="AQ984" t="s">
        <v>74</v>
      </c>
      <c r="AR984" t="s">
        <v>17302</v>
      </c>
      <c r="AS984" t="s">
        <v>17316</v>
      </c>
      <c r="AT984" t="s">
        <v>74</v>
      </c>
      <c r="AU984">
        <v>2010</v>
      </c>
      <c r="AV984">
        <v>7</v>
      </c>
      <c r="AW984" t="s">
        <v>2879</v>
      </c>
      <c r="AX984" t="s">
        <v>74</v>
      </c>
      <c r="AY984" t="s">
        <v>74</v>
      </c>
      <c r="AZ984" t="s">
        <v>74</v>
      </c>
      <c r="BA984" t="s">
        <v>74</v>
      </c>
      <c r="BB984">
        <v>123</v>
      </c>
      <c r="BC984">
        <v>139</v>
      </c>
      <c r="BD984" t="s">
        <v>74</v>
      </c>
      <c r="BE984" t="s">
        <v>74</v>
      </c>
      <c r="BF984" t="s">
        <v>74</v>
      </c>
      <c r="BG984" t="s">
        <v>74</v>
      </c>
      <c r="BH984" t="s">
        <v>74</v>
      </c>
      <c r="BI984">
        <v>17</v>
      </c>
      <c r="BJ984" t="s">
        <v>10561</v>
      </c>
      <c r="BK984" t="s">
        <v>102</v>
      </c>
      <c r="BL984" t="s">
        <v>10561</v>
      </c>
      <c r="BM984" t="s">
        <v>17317</v>
      </c>
      <c r="BN984" t="s">
        <v>74</v>
      </c>
      <c r="BO984" t="s">
        <v>74</v>
      </c>
      <c r="BP984" t="s">
        <v>74</v>
      </c>
      <c r="BQ984" t="s">
        <v>74</v>
      </c>
      <c r="BR984" t="s">
        <v>105</v>
      </c>
      <c r="BS984" t="s">
        <v>17333</v>
      </c>
      <c r="BT984" t="str">
        <f>HYPERLINK("https%3A%2F%2Fwww.webofscience.com%2Fwos%2Fwoscc%2Ffull-record%2FWOS:000284521700003","View Full Record in Web of Science")</f>
        <v>View Full Record in Web of Science</v>
      </c>
    </row>
    <row r="985" spans="1:72" x14ac:dyDescent="0.15">
      <c r="A985" t="s">
        <v>72</v>
      </c>
      <c r="B985" t="s">
        <v>17334</v>
      </c>
      <c r="C985" t="s">
        <v>74</v>
      </c>
      <c r="D985" t="s">
        <v>74</v>
      </c>
      <c r="E985" t="s">
        <v>74</v>
      </c>
      <c r="F985" t="s">
        <v>17335</v>
      </c>
      <c r="G985" t="s">
        <v>74</v>
      </c>
      <c r="H985" t="s">
        <v>74</v>
      </c>
      <c r="I985" t="s">
        <v>17336</v>
      </c>
      <c r="J985" t="s">
        <v>17302</v>
      </c>
      <c r="K985" t="s">
        <v>74</v>
      </c>
      <c r="L985" t="s">
        <v>74</v>
      </c>
      <c r="M985" t="s">
        <v>78</v>
      </c>
      <c r="N985" t="s">
        <v>79</v>
      </c>
      <c r="O985" t="s">
        <v>74</v>
      </c>
      <c r="P985" t="s">
        <v>74</v>
      </c>
      <c r="Q985" t="s">
        <v>74</v>
      </c>
      <c r="R985" t="s">
        <v>74</v>
      </c>
      <c r="S985" t="s">
        <v>74</v>
      </c>
      <c r="T985" t="s">
        <v>74</v>
      </c>
      <c r="U985" t="s">
        <v>17337</v>
      </c>
      <c r="V985" t="s">
        <v>17338</v>
      </c>
      <c r="W985" t="s">
        <v>17339</v>
      </c>
      <c r="X985" t="s">
        <v>17340</v>
      </c>
      <c r="Y985" t="s">
        <v>17341</v>
      </c>
      <c r="Z985" t="s">
        <v>17342</v>
      </c>
      <c r="AA985" t="s">
        <v>17343</v>
      </c>
      <c r="AB985" t="s">
        <v>17344</v>
      </c>
      <c r="AC985" t="s">
        <v>17345</v>
      </c>
      <c r="AD985" t="s">
        <v>1972</v>
      </c>
      <c r="AE985" t="s">
        <v>74</v>
      </c>
      <c r="AF985" t="s">
        <v>74</v>
      </c>
      <c r="AG985">
        <v>36</v>
      </c>
      <c r="AH985">
        <v>16</v>
      </c>
      <c r="AI985">
        <v>17</v>
      </c>
      <c r="AJ985">
        <v>0</v>
      </c>
      <c r="AK985">
        <v>4</v>
      </c>
      <c r="AL985" t="s">
        <v>17311</v>
      </c>
      <c r="AM985" t="s">
        <v>17312</v>
      </c>
      <c r="AN985" t="s">
        <v>17313</v>
      </c>
      <c r="AO985" t="s">
        <v>17314</v>
      </c>
      <c r="AP985" t="s">
        <v>17315</v>
      </c>
      <c r="AQ985" t="s">
        <v>74</v>
      </c>
      <c r="AR985" t="s">
        <v>17302</v>
      </c>
      <c r="AS985" t="s">
        <v>17316</v>
      </c>
      <c r="AT985" t="s">
        <v>74</v>
      </c>
      <c r="AU985">
        <v>2010</v>
      </c>
      <c r="AV985">
        <v>7</v>
      </c>
      <c r="AW985" t="s">
        <v>2879</v>
      </c>
      <c r="AX985" t="s">
        <v>74</v>
      </c>
      <c r="AY985" t="s">
        <v>74</v>
      </c>
      <c r="AZ985" t="s">
        <v>74</v>
      </c>
      <c r="BA985" t="s">
        <v>74</v>
      </c>
      <c r="BB985">
        <v>199</v>
      </c>
      <c r="BC985">
        <v>206</v>
      </c>
      <c r="BD985" t="s">
        <v>74</v>
      </c>
      <c r="BE985" t="s">
        <v>74</v>
      </c>
      <c r="BF985" t="s">
        <v>74</v>
      </c>
      <c r="BG985" t="s">
        <v>74</v>
      </c>
      <c r="BH985" t="s">
        <v>74</v>
      </c>
      <c r="BI985">
        <v>8</v>
      </c>
      <c r="BJ985" t="s">
        <v>10561</v>
      </c>
      <c r="BK985" t="s">
        <v>102</v>
      </c>
      <c r="BL985" t="s">
        <v>10561</v>
      </c>
      <c r="BM985" t="s">
        <v>17317</v>
      </c>
      <c r="BN985" t="s">
        <v>74</v>
      </c>
      <c r="BO985" t="s">
        <v>74</v>
      </c>
      <c r="BP985" t="s">
        <v>74</v>
      </c>
      <c r="BQ985" t="s">
        <v>74</v>
      </c>
      <c r="BR985" t="s">
        <v>105</v>
      </c>
      <c r="BS985" t="s">
        <v>17346</v>
      </c>
      <c r="BT985" t="str">
        <f>HYPERLINK("https%3A%2F%2Fwww.webofscience.com%2Fwos%2Fwoscc%2Ffull-record%2FWOS:000284521700008","View Full Record in Web of Science")</f>
        <v>View Full Record in Web of Science</v>
      </c>
    </row>
    <row r="986" spans="1:72" x14ac:dyDescent="0.15">
      <c r="A986" t="s">
        <v>72</v>
      </c>
      <c r="B986" t="s">
        <v>17347</v>
      </c>
      <c r="C986" t="s">
        <v>74</v>
      </c>
      <c r="D986" t="s">
        <v>74</v>
      </c>
      <c r="E986" t="s">
        <v>74</v>
      </c>
      <c r="F986" t="s">
        <v>17348</v>
      </c>
      <c r="G986" t="s">
        <v>74</v>
      </c>
      <c r="H986" t="s">
        <v>74</v>
      </c>
      <c r="I986" t="s">
        <v>17349</v>
      </c>
      <c r="J986" t="s">
        <v>17302</v>
      </c>
      <c r="K986" t="s">
        <v>74</v>
      </c>
      <c r="L986" t="s">
        <v>74</v>
      </c>
      <c r="M986" t="s">
        <v>78</v>
      </c>
      <c r="N986" t="s">
        <v>79</v>
      </c>
      <c r="O986" t="s">
        <v>74</v>
      </c>
      <c r="P986" t="s">
        <v>74</v>
      </c>
      <c r="Q986" t="s">
        <v>74</v>
      </c>
      <c r="R986" t="s">
        <v>74</v>
      </c>
      <c r="S986" t="s">
        <v>74</v>
      </c>
      <c r="T986" t="s">
        <v>74</v>
      </c>
      <c r="U986" t="s">
        <v>17350</v>
      </c>
      <c r="V986" t="s">
        <v>17351</v>
      </c>
      <c r="W986" t="s">
        <v>17352</v>
      </c>
      <c r="X986" t="s">
        <v>17353</v>
      </c>
      <c r="Y986" t="s">
        <v>17354</v>
      </c>
      <c r="Z986" t="s">
        <v>17355</v>
      </c>
      <c r="AA986" t="s">
        <v>74</v>
      </c>
      <c r="AB986" t="s">
        <v>74</v>
      </c>
      <c r="AC986" t="s">
        <v>17356</v>
      </c>
      <c r="AD986" t="s">
        <v>17357</v>
      </c>
      <c r="AE986" t="s">
        <v>17358</v>
      </c>
      <c r="AF986" t="s">
        <v>74</v>
      </c>
      <c r="AG986">
        <v>126</v>
      </c>
      <c r="AH986">
        <v>12</v>
      </c>
      <c r="AI986">
        <v>12</v>
      </c>
      <c r="AJ986">
        <v>1</v>
      </c>
      <c r="AK986">
        <v>8</v>
      </c>
      <c r="AL986" t="s">
        <v>17311</v>
      </c>
      <c r="AM986" t="s">
        <v>17312</v>
      </c>
      <c r="AN986" t="s">
        <v>17313</v>
      </c>
      <c r="AO986" t="s">
        <v>17314</v>
      </c>
      <c r="AP986" t="s">
        <v>17315</v>
      </c>
      <c r="AQ986" t="s">
        <v>74</v>
      </c>
      <c r="AR986" t="s">
        <v>17302</v>
      </c>
      <c r="AS986" t="s">
        <v>17316</v>
      </c>
      <c r="AT986" t="s">
        <v>74</v>
      </c>
      <c r="AU986">
        <v>2010</v>
      </c>
      <c r="AV986">
        <v>7</v>
      </c>
      <c r="AW986" t="s">
        <v>2879</v>
      </c>
      <c r="AX986" t="s">
        <v>74</v>
      </c>
      <c r="AY986" t="s">
        <v>74</v>
      </c>
      <c r="AZ986" t="s">
        <v>74</v>
      </c>
      <c r="BA986" t="s">
        <v>74</v>
      </c>
      <c r="BB986">
        <v>207</v>
      </c>
      <c r="BC986">
        <v>227</v>
      </c>
      <c r="BD986" t="s">
        <v>74</v>
      </c>
      <c r="BE986" t="s">
        <v>74</v>
      </c>
      <c r="BF986" t="s">
        <v>74</v>
      </c>
      <c r="BG986" t="s">
        <v>74</v>
      </c>
      <c r="BH986" t="s">
        <v>74</v>
      </c>
      <c r="BI986">
        <v>21</v>
      </c>
      <c r="BJ986" t="s">
        <v>10561</v>
      </c>
      <c r="BK986" t="s">
        <v>102</v>
      </c>
      <c r="BL986" t="s">
        <v>10561</v>
      </c>
      <c r="BM986" t="s">
        <v>17317</v>
      </c>
      <c r="BN986" t="s">
        <v>74</v>
      </c>
      <c r="BO986" t="s">
        <v>74</v>
      </c>
      <c r="BP986" t="s">
        <v>74</v>
      </c>
      <c r="BQ986" t="s">
        <v>74</v>
      </c>
      <c r="BR986" t="s">
        <v>105</v>
      </c>
      <c r="BS986" t="s">
        <v>17359</v>
      </c>
      <c r="BT986" t="str">
        <f>HYPERLINK("https%3A%2F%2Fwww.webofscience.com%2Fwos%2Fwoscc%2Ffull-record%2FWOS:000284521700009","View Full Record in Web of Science")</f>
        <v>View Full Record in Web of Science</v>
      </c>
    </row>
    <row r="987" spans="1:72" x14ac:dyDescent="0.15">
      <c r="A987" t="s">
        <v>8697</v>
      </c>
      <c r="B987" t="s">
        <v>17360</v>
      </c>
      <c r="C987" t="s">
        <v>74</v>
      </c>
      <c r="D987" t="s">
        <v>17361</v>
      </c>
      <c r="E987" t="s">
        <v>74</v>
      </c>
      <c r="F987" t="s">
        <v>17362</v>
      </c>
      <c r="G987" t="s">
        <v>74</v>
      </c>
      <c r="H987" t="s">
        <v>74</v>
      </c>
      <c r="I987" t="s">
        <v>17363</v>
      </c>
      <c r="J987" t="s">
        <v>17364</v>
      </c>
      <c r="K987" t="s">
        <v>17365</v>
      </c>
      <c r="L987" t="s">
        <v>74</v>
      </c>
      <c r="M987" t="s">
        <v>78</v>
      </c>
      <c r="N987" t="s">
        <v>8859</v>
      </c>
      <c r="O987" t="s">
        <v>74</v>
      </c>
      <c r="P987" t="s">
        <v>74</v>
      </c>
      <c r="Q987" t="s">
        <v>74</v>
      </c>
      <c r="R987" t="s">
        <v>74</v>
      </c>
      <c r="S987" t="s">
        <v>74</v>
      </c>
      <c r="T987" t="s">
        <v>74</v>
      </c>
      <c r="U987" t="s">
        <v>17366</v>
      </c>
      <c r="V987" t="s">
        <v>17367</v>
      </c>
      <c r="W987" t="s">
        <v>17368</v>
      </c>
      <c r="X987" t="s">
        <v>14460</v>
      </c>
      <c r="Y987" t="s">
        <v>17369</v>
      </c>
      <c r="Z987" t="s">
        <v>17370</v>
      </c>
      <c r="AA987" t="s">
        <v>17371</v>
      </c>
      <c r="AB987" t="s">
        <v>74</v>
      </c>
      <c r="AC987" t="s">
        <v>74</v>
      </c>
      <c r="AD987" t="s">
        <v>74</v>
      </c>
      <c r="AE987" t="s">
        <v>74</v>
      </c>
      <c r="AF987" t="s">
        <v>74</v>
      </c>
      <c r="AG987">
        <v>66</v>
      </c>
      <c r="AH987">
        <v>26</v>
      </c>
      <c r="AI987">
        <v>29</v>
      </c>
      <c r="AJ987">
        <v>0</v>
      </c>
      <c r="AK987">
        <v>9</v>
      </c>
      <c r="AL987" t="s">
        <v>91</v>
      </c>
      <c r="AM987" t="s">
        <v>92</v>
      </c>
      <c r="AN987" t="s">
        <v>93</v>
      </c>
      <c r="AO987" t="s">
        <v>17372</v>
      </c>
      <c r="AP987" t="s">
        <v>74</v>
      </c>
      <c r="AQ987" t="s">
        <v>17373</v>
      </c>
      <c r="AR987" t="s">
        <v>17374</v>
      </c>
      <c r="AS987" t="s">
        <v>74</v>
      </c>
      <c r="AT987" t="s">
        <v>74</v>
      </c>
      <c r="AU987">
        <v>2010</v>
      </c>
      <c r="AV987">
        <v>190</v>
      </c>
      <c r="AW987" t="s">
        <v>74</v>
      </c>
      <c r="AX987" t="s">
        <v>74</v>
      </c>
      <c r="AY987" t="s">
        <v>74</v>
      </c>
      <c r="AZ987" t="s">
        <v>74</v>
      </c>
      <c r="BA987" t="s">
        <v>74</v>
      </c>
      <c r="BB987">
        <v>157</v>
      </c>
      <c r="BC987">
        <v>171</v>
      </c>
      <c r="BD987" t="s">
        <v>74</v>
      </c>
      <c r="BE987" t="s">
        <v>17375</v>
      </c>
      <c r="BF987" t="str">
        <f>HYPERLINK("http://dx.doi.org/10.1029/2009GM000873","http://dx.doi.org/10.1029/2009GM000873")</f>
        <v>http://dx.doi.org/10.1029/2009GM000873</v>
      </c>
      <c r="BG987" t="s">
        <v>17376</v>
      </c>
      <c r="BH987" t="s">
        <v>74</v>
      </c>
      <c r="BI987">
        <v>15</v>
      </c>
      <c r="BJ987" t="s">
        <v>258</v>
      </c>
      <c r="BK987" t="s">
        <v>8579</v>
      </c>
      <c r="BL987" t="s">
        <v>258</v>
      </c>
      <c r="BM987" t="s">
        <v>17377</v>
      </c>
      <c r="BN987" t="s">
        <v>74</v>
      </c>
      <c r="BO987" t="s">
        <v>74</v>
      </c>
      <c r="BP987" t="s">
        <v>74</v>
      </c>
      <c r="BQ987" t="s">
        <v>74</v>
      </c>
      <c r="BR987" t="s">
        <v>105</v>
      </c>
      <c r="BS987" t="s">
        <v>17378</v>
      </c>
      <c r="BT987" t="str">
        <f>HYPERLINK("https%3A%2F%2Fwww.webofscience.com%2Fwos%2Fwoscc%2Ffull-record%2FWOS:000290245500011","View Full Record in Web of Science")</f>
        <v>View Full Record in Web of Science</v>
      </c>
    </row>
    <row r="988" spans="1:72" x14ac:dyDescent="0.15">
      <c r="A988" t="s">
        <v>8563</v>
      </c>
      <c r="B988" t="s">
        <v>17379</v>
      </c>
      <c r="C988" t="s">
        <v>74</v>
      </c>
      <c r="D988" t="s">
        <v>17380</v>
      </c>
      <c r="E988" t="s">
        <v>74</v>
      </c>
      <c r="F988" t="s">
        <v>17381</v>
      </c>
      <c r="G988" t="s">
        <v>74</v>
      </c>
      <c r="H988" t="s">
        <v>74</v>
      </c>
      <c r="I988" t="s">
        <v>17382</v>
      </c>
      <c r="J988" t="s">
        <v>17383</v>
      </c>
      <c r="K988" t="s">
        <v>17384</v>
      </c>
      <c r="L988" t="s">
        <v>74</v>
      </c>
      <c r="M988" t="s">
        <v>78</v>
      </c>
      <c r="N988" t="s">
        <v>8859</v>
      </c>
      <c r="O988" t="s">
        <v>74</v>
      </c>
      <c r="P988" t="s">
        <v>74</v>
      </c>
      <c r="Q988" t="s">
        <v>74</v>
      </c>
      <c r="R988" t="s">
        <v>74</v>
      </c>
      <c r="S988" t="s">
        <v>74</v>
      </c>
      <c r="T988" t="s">
        <v>74</v>
      </c>
      <c r="U988" t="s">
        <v>74</v>
      </c>
      <c r="V988" t="s">
        <v>17385</v>
      </c>
      <c r="W988" t="s">
        <v>11534</v>
      </c>
      <c r="X988" t="s">
        <v>5222</v>
      </c>
      <c r="Y988" t="s">
        <v>17386</v>
      </c>
      <c r="Z988" t="s">
        <v>74</v>
      </c>
      <c r="AA988" t="s">
        <v>74</v>
      </c>
      <c r="AB988" t="s">
        <v>74</v>
      </c>
      <c r="AC988" t="s">
        <v>74</v>
      </c>
      <c r="AD988" t="s">
        <v>74</v>
      </c>
      <c r="AE988" t="s">
        <v>74</v>
      </c>
      <c r="AF988" t="s">
        <v>74</v>
      </c>
      <c r="AG988">
        <v>10</v>
      </c>
      <c r="AH988">
        <v>0</v>
      </c>
      <c r="AI988">
        <v>0</v>
      </c>
      <c r="AJ988">
        <v>0</v>
      </c>
      <c r="AK988">
        <v>0</v>
      </c>
      <c r="AL988" t="s">
        <v>9400</v>
      </c>
      <c r="AM988" t="s">
        <v>9401</v>
      </c>
      <c r="AN988" t="s">
        <v>9402</v>
      </c>
      <c r="AO988" t="s">
        <v>74</v>
      </c>
      <c r="AP988" t="s">
        <v>74</v>
      </c>
      <c r="AQ988" t="s">
        <v>17387</v>
      </c>
      <c r="AR988" t="s">
        <v>17388</v>
      </c>
      <c r="AS988" t="s">
        <v>74</v>
      </c>
      <c r="AT988" t="s">
        <v>74</v>
      </c>
      <c r="AU988">
        <v>2010</v>
      </c>
      <c r="AV988" t="s">
        <v>74</v>
      </c>
      <c r="AW988" t="s">
        <v>74</v>
      </c>
      <c r="AX988" t="s">
        <v>74</v>
      </c>
      <c r="AY988" t="s">
        <v>74</v>
      </c>
      <c r="AZ988" t="s">
        <v>74</v>
      </c>
      <c r="BA988" t="s">
        <v>74</v>
      </c>
      <c r="BB988">
        <v>93</v>
      </c>
      <c r="BC988">
        <v>103</v>
      </c>
      <c r="BD988" t="s">
        <v>74</v>
      </c>
      <c r="BE988" t="s">
        <v>74</v>
      </c>
      <c r="BF988" t="s">
        <v>74</v>
      </c>
      <c r="BG988" t="s">
        <v>74</v>
      </c>
      <c r="BH988" t="s">
        <v>74</v>
      </c>
      <c r="BI988">
        <v>11</v>
      </c>
      <c r="BJ988" t="s">
        <v>867</v>
      </c>
      <c r="BK988" t="s">
        <v>8579</v>
      </c>
      <c r="BL988" t="s">
        <v>867</v>
      </c>
      <c r="BM988" t="s">
        <v>17389</v>
      </c>
      <c r="BN988" t="s">
        <v>74</v>
      </c>
      <c r="BO988" t="s">
        <v>74</v>
      </c>
      <c r="BP988" t="s">
        <v>74</v>
      </c>
      <c r="BQ988" t="s">
        <v>74</v>
      </c>
      <c r="BR988" t="s">
        <v>105</v>
      </c>
      <c r="BS988" t="s">
        <v>17390</v>
      </c>
      <c r="BT988" t="str">
        <f>HYPERLINK("https%3A%2F%2Fwww.webofscience.com%2Fwos%2Fwoscc%2Ffull-record%2FWOS:000281522100005","View Full Record in Web of Science")</f>
        <v>View Full Record in Web of Science</v>
      </c>
    </row>
    <row r="989" spans="1:72" x14ac:dyDescent="0.15">
      <c r="A989" t="s">
        <v>8697</v>
      </c>
      <c r="B989" t="s">
        <v>17391</v>
      </c>
      <c r="C989" t="s">
        <v>74</v>
      </c>
      <c r="D989" t="s">
        <v>17392</v>
      </c>
      <c r="E989" t="s">
        <v>74</v>
      </c>
      <c r="F989" t="s">
        <v>17393</v>
      </c>
      <c r="G989" t="s">
        <v>74</v>
      </c>
      <c r="H989" t="s">
        <v>74</v>
      </c>
      <c r="I989" t="s">
        <v>17394</v>
      </c>
      <c r="J989" t="s">
        <v>17395</v>
      </c>
      <c r="K989" t="s">
        <v>17396</v>
      </c>
      <c r="L989" t="s">
        <v>74</v>
      </c>
      <c r="M989" t="s">
        <v>78</v>
      </c>
      <c r="N989" t="s">
        <v>8859</v>
      </c>
      <c r="O989" t="s">
        <v>74</v>
      </c>
      <c r="P989" t="s">
        <v>74</v>
      </c>
      <c r="Q989" t="s">
        <v>74</v>
      </c>
      <c r="R989" t="s">
        <v>74</v>
      </c>
      <c r="S989" t="s">
        <v>74</v>
      </c>
      <c r="T989" t="s">
        <v>74</v>
      </c>
      <c r="U989" t="s">
        <v>17397</v>
      </c>
      <c r="V989" t="s">
        <v>74</v>
      </c>
      <c r="W989" t="s">
        <v>17398</v>
      </c>
      <c r="X989" t="s">
        <v>2278</v>
      </c>
      <c r="Y989" t="s">
        <v>17399</v>
      </c>
      <c r="Z989" t="s">
        <v>74</v>
      </c>
      <c r="AA989" t="s">
        <v>17400</v>
      </c>
      <c r="AB989" t="s">
        <v>17401</v>
      </c>
      <c r="AC989" t="s">
        <v>74</v>
      </c>
      <c r="AD989" t="s">
        <v>74</v>
      </c>
      <c r="AE989" t="s">
        <v>74</v>
      </c>
      <c r="AF989" t="s">
        <v>74</v>
      </c>
      <c r="AG989">
        <v>18</v>
      </c>
      <c r="AH989">
        <v>7</v>
      </c>
      <c r="AI989">
        <v>7</v>
      </c>
      <c r="AJ989">
        <v>0</v>
      </c>
      <c r="AK989">
        <v>1</v>
      </c>
      <c r="AL989" t="s">
        <v>8866</v>
      </c>
      <c r="AM989" t="s">
        <v>6462</v>
      </c>
      <c r="AN989" t="s">
        <v>8867</v>
      </c>
      <c r="AO989" t="s">
        <v>17402</v>
      </c>
      <c r="AP989" t="s">
        <v>74</v>
      </c>
      <c r="AQ989" t="s">
        <v>17403</v>
      </c>
      <c r="AR989" t="s">
        <v>17404</v>
      </c>
      <c r="AS989" t="s">
        <v>74</v>
      </c>
      <c r="AT989" t="s">
        <v>74</v>
      </c>
      <c r="AU989">
        <v>2010</v>
      </c>
      <c r="AV989" t="s">
        <v>74</v>
      </c>
      <c r="AW989" t="s">
        <v>74</v>
      </c>
      <c r="AX989" t="s">
        <v>74</v>
      </c>
      <c r="AY989" t="s">
        <v>74</v>
      </c>
      <c r="AZ989" t="s">
        <v>74</v>
      </c>
      <c r="BA989" t="s">
        <v>74</v>
      </c>
      <c r="BB989">
        <v>187</v>
      </c>
      <c r="BC989">
        <v>199</v>
      </c>
      <c r="BD989" t="s">
        <v>74</v>
      </c>
      <c r="BE989" t="s">
        <v>17405</v>
      </c>
      <c r="BF989" t="str">
        <f>HYPERLINK("http://dx.doi.org/10.1007/978-3-642-10228-8_15","http://dx.doi.org/10.1007/978-3-642-10228-8_15")</f>
        <v>http://dx.doi.org/10.1007/978-3-642-10228-8_15</v>
      </c>
      <c r="BG989" t="s">
        <v>17406</v>
      </c>
      <c r="BH989" t="s">
        <v>74</v>
      </c>
      <c r="BI989">
        <v>13</v>
      </c>
      <c r="BJ989" t="s">
        <v>12526</v>
      </c>
      <c r="BK989" t="s">
        <v>8579</v>
      </c>
      <c r="BL989" t="s">
        <v>12526</v>
      </c>
      <c r="BM989" t="s">
        <v>17407</v>
      </c>
      <c r="BN989" t="s">
        <v>74</v>
      </c>
      <c r="BO989" t="s">
        <v>74</v>
      </c>
      <c r="BP989" t="s">
        <v>74</v>
      </c>
      <c r="BQ989" t="s">
        <v>74</v>
      </c>
      <c r="BR989" t="s">
        <v>105</v>
      </c>
      <c r="BS989" t="s">
        <v>17408</v>
      </c>
      <c r="BT989" t="str">
        <f>HYPERLINK("https%3A%2F%2Fwww.webofscience.com%2Fwos%2Fwoscc%2Ffull-record%2FWOS:000281003500015","View Full Record in Web of Science")</f>
        <v>View Full Record in Web of Science</v>
      </c>
    </row>
    <row r="990" spans="1:72" x14ac:dyDescent="0.15">
      <c r="A990" t="s">
        <v>72</v>
      </c>
      <c r="B990" t="s">
        <v>17409</v>
      </c>
      <c r="C990" t="s">
        <v>74</v>
      </c>
      <c r="D990" t="s">
        <v>74</v>
      </c>
      <c r="E990" t="s">
        <v>74</v>
      </c>
      <c r="F990" t="s">
        <v>17410</v>
      </c>
      <c r="G990" t="s">
        <v>74</v>
      </c>
      <c r="H990" t="s">
        <v>74</v>
      </c>
      <c r="I990" t="s">
        <v>17411</v>
      </c>
      <c r="J990" t="s">
        <v>17412</v>
      </c>
      <c r="K990" t="s">
        <v>74</v>
      </c>
      <c r="L990" t="s">
        <v>74</v>
      </c>
      <c r="M990" t="s">
        <v>78</v>
      </c>
      <c r="N990" t="s">
        <v>111</v>
      </c>
      <c r="O990" t="s">
        <v>17413</v>
      </c>
      <c r="P990" t="s">
        <v>17414</v>
      </c>
      <c r="Q990" t="s">
        <v>17415</v>
      </c>
      <c r="R990" t="s">
        <v>74</v>
      </c>
      <c r="S990" t="s">
        <v>74</v>
      </c>
      <c r="T990" t="s">
        <v>17416</v>
      </c>
      <c r="U990" t="s">
        <v>74</v>
      </c>
      <c r="V990" t="s">
        <v>17417</v>
      </c>
      <c r="W990" t="s">
        <v>17418</v>
      </c>
      <c r="X990" t="s">
        <v>17419</v>
      </c>
      <c r="Y990" t="s">
        <v>17420</v>
      </c>
      <c r="Z990" t="s">
        <v>17421</v>
      </c>
      <c r="AA990" t="s">
        <v>74</v>
      </c>
      <c r="AB990" t="s">
        <v>74</v>
      </c>
      <c r="AC990" t="s">
        <v>74</v>
      </c>
      <c r="AD990" t="s">
        <v>74</v>
      </c>
      <c r="AE990" t="s">
        <v>74</v>
      </c>
      <c r="AF990" t="s">
        <v>74</v>
      </c>
      <c r="AG990">
        <v>23</v>
      </c>
      <c r="AH990">
        <v>6</v>
      </c>
      <c r="AI990">
        <v>6</v>
      </c>
      <c r="AJ990">
        <v>2</v>
      </c>
      <c r="AK990">
        <v>33</v>
      </c>
      <c r="AL990" t="s">
        <v>546</v>
      </c>
      <c r="AM990" t="s">
        <v>547</v>
      </c>
      <c r="AN990" t="s">
        <v>8932</v>
      </c>
      <c r="AO990" t="s">
        <v>17422</v>
      </c>
      <c r="AP990" t="s">
        <v>74</v>
      </c>
      <c r="AQ990" t="s">
        <v>74</v>
      </c>
      <c r="AR990" t="s">
        <v>17423</v>
      </c>
      <c r="AS990" t="s">
        <v>17424</v>
      </c>
      <c r="AT990" t="s">
        <v>74</v>
      </c>
      <c r="AU990">
        <v>2010</v>
      </c>
      <c r="AV990">
        <v>8</v>
      </c>
      <c r="AW990">
        <v>3</v>
      </c>
      <c r="AX990" t="s">
        <v>74</v>
      </c>
      <c r="AY990" t="s">
        <v>74</v>
      </c>
      <c r="AZ990" t="s">
        <v>74</v>
      </c>
      <c r="BA990" t="s">
        <v>74</v>
      </c>
      <c r="BB990">
        <v>311</v>
      </c>
      <c r="BC990">
        <v>320</v>
      </c>
      <c r="BD990" t="s">
        <v>17425</v>
      </c>
      <c r="BE990" t="s">
        <v>17426</v>
      </c>
      <c r="BF990" t="str">
        <f>HYPERLINK("http://dx.doi.org/10.1080/14772000.2010.512623","http://dx.doi.org/10.1080/14772000.2010.512623")</f>
        <v>http://dx.doi.org/10.1080/14772000.2010.512623</v>
      </c>
      <c r="BG990" t="s">
        <v>74</v>
      </c>
      <c r="BH990" t="s">
        <v>74</v>
      </c>
      <c r="BI990">
        <v>10</v>
      </c>
      <c r="BJ990" t="s">
        <v>17427</v>
      </c>
      <c r="BK990" t="s">
        <v>128</v>
      </c>
      <c r="BL990" t="s">
        <v>17428</v>
      </c>
      <c r="BM990" t="s">
        <v>17429</v>
      </c>
      <c r="BN990" t="s">
        <v>74</v>
      </c>
      <c r="BO990" t="s">
        <v>74</v>
      </c>
      <c r="BP990" t="s">
        <v>74</v>
      </c>
      <c r="BQ990" t="s">
        <v>74</v>
      </c>
      <c r="BR990" t="s">
        <v>105</v>
      </c>
      <c r="BS990" t="s">
        <v>17430</v>
      </c>
      <c r="BT990" t="str">
        <f>HYPERLINK("https%3A%2F%2Fwww.webofscience.com%2Fwos%2Fwoscc%2Ffull-record%2FWOS:000281849700001","View Full Record in Web of Science")</f>
        <v>View Full Record in Web of Science</v>
      </c>
    </row>
    <row r="991" spans="1:72" x14ac:dyDescent="0.15">
      <c r="A991" t="s">
        <v>72</v>
      </c>
      <c r="B991" t="s">
        <v>17431</v>
      </c>
      <c r="C991" t="s">
        <v>74</v>
      </c>
      <c r="D991" t="s">
        <v>74</v>
      </c>
      <c r="E991" t="s">
        <v>74</v>
      </c>
      <c r="F991" t="s">
        <v>17432</v>
      </c>
      <c r="G991" t="s">
        <v>74</v>
      </c>
      <c r="H991" t="s">
        <v>74</v>
      </c>
      <c r="I991" t="s">
        <v>17433</v>
      </c>
      <c r="J991" t="s">
        <v>17434</v>
      </c>
      <c r="K991" t="s">
        <v>74</v>
      </c>
      <c r="L991" t="s">
        <v>74</v>
      </c>
      <c r="M991" t="s">
        <v>78</v>
      </c>
      <c r="N991" t="s">
        <v>79</v>
      </c>
      <c r="O991" t="s">
        <v>74</v>
      </c>
      <c r="P991" t="s">
        <v>74</v>
      </c>
      <c r="Q991" t="s">
        <v>74</v>
      </c>
      <c r="R991" t="s">
        <v>74</v>
      </c>
      <c r="S991" t="s">
        <v>74</v>
      </c>
      <c r="T991" t="s">
        <v>17435</v>
      </c>
      <c r="U991" t="s">
        <v>74</v>
      </c>
      <c r="V991" t="s">
        <v>17436</v>
      </c>
      <c r="W991" t="s">
        <v>17437</v>
      </c>
      <c r="X991" t="s">
        <v>17438</v>
      </c>
      <c r="Y991" t="s">
        <v>17439</v>
      </c>
      <c r="Z991" t="s">
        <v>17440</v>
      </c>
      <c r="AA991" t="s">
        <v>74</v>
      </c>
      <c r="AB991" t="s">
        <v>74</v>
      </c>
      <c r="AC991" t="s">
        <v>74</v>
      </c>
      <c r="AD991" t="s">
        <v>74</v>
      </c>
      <c r="AE991" t="s">
        <v>74</v>
      </c>
      <c r="AF991" t="s">
        <v>74</v>
      </c>
      <c r="AG991">
        <v>29</v>
      </c>
      <c r="AH991">
        <v>1</v>
      </c>
      <c r="AI991">
        <v>1</v>
      </c>
      <c r="AJ991">
        <v>0</v>
      </c>
      <c r="AK991">
        <v>0</v>
      </c>
      <c r="AL991" t="s">
        <v>9380</v>
      </c>
      <c r="AM991" t="s">
        <v>547</v>
      </c>
      <c r="AN991" t="s">
        <v>9381</v>
      </c>
      <c r="AO991" t="s">
        <v>17441</v>
      </c>
      <c r="AP991" t="s">
        <v>17442</v>
      </c>
      <c r="AQ991" t="s">
        <v>74</v>
      </c>
      <c r="AR991" t="s">
        <v>17443</v>
      </c>
      <c r="AS991" t="s">
        <v>17444</v>
      </c>
      <c r="AT991" t="s">
        <v>74</v>
      </c>
      <c r="AU991">
        <v>2010</v>
      </c>
      <c r="AV991">
        <v>42</v>
      </c>
      <c r="AW991">
        <v>1</v>
      </c>
      <c r="AX991" t="s">
        <v>74</v>
      </c>
      <c r="AY991" t="s">
        <v>74</v>
      </c>
      <c r="AZ991" t="s">
        <v>74</v>
      </c>
      <c r="BA991" t="s">
        <v>74</v>
      </c>
      <c r="BB991">
        <v>19</v>
      </c>
      <c r="BC991">
        <v>33</v>
      </c>
      <c r="BD991" t="s">
        <v>74</v>
      </c>
      <c r="BE991" t="s">
        <v>17445</v>
      </c>
      <c r="BF991" t="str">
        <f>HYPERLINK("http://dx.doi.org/10.1179/008228810X12755564743480","http://dx.doi.org/10.1179/008228810X12755564743480")</f>
        <v>http://dx.doi.org/10.1179/008228810X12755564743480</v>
      </c>
      <c r="BG991" t="s">
        <v>74</v>
      </c>
      <c r="BH991" t="s">
        <v>74</v>
      </c>
      <c r="BI991">
        <v>15</v>
      </c>
      <c r="BJ991" t="s">
        <v>12947</v>
      </c>
      <c r="BK991" t="s">
        <v>1408</v>
      </c>
      <c r="BL991" t="s">
        <v>12947</v>
      </c>
      <c r="BM991" t="s">
        <v>17446</v>
      </c>
      <c r="BN991" t="s">
        <v>74</v>
      </c>
      <c r="BO991" t="s">
        <v>74</v>
      </c>
      <c r="BP991" t="s">
        <v>74</v>
      </c>
      <c r="BQ991" t="s">
        <v>74</v>
      </c>
      <c r="BR991" t="s">
        <v>105</v>
      </c>
      <c r="BS991" t="s">
        <v>17447</v>
      </c>
      <c r="BT991" t="str">
        <f>HYPERLINK("https%3A%2F%2Fwww.webofscience.com%2Fwos%2Fwoscc%2Ffull-record%2FWOS:000218240600003","View Full Record in Web of Science")</f>
        <v>View Full Record in Web of Science</v>
      </c>
    </row>
    <row r="992" spans="1:72" x14ac:dyDescent="0.15">
      <c r="A992" t="s">
        <v>72</v>
      </c>
      <c r="B992" t="s">
        <v>17448</v>
      </c>
      <c r="C992" t="s">
        <v>74</v>
      </c>
      <c r="D992" t="s">
        <v>74</v>
      </c>
      <c r="E992" t="s">
        <v>74</v>
      </c>
      <c r="F992" t="s">
        <v>17449</v>
      </c>
      <c r="G992" t="s">
        <v>74</v>
      </c>
      <c r="H992" t="s">
        <v>74</v>
      </c>
      <c r="I992" t="s">
        <v>17450</v>
      </c>
      <c r="J992" t="s">
        <v>17434</v>
      </c>
      <c r="K992" t="s">
        <v>74</v>
      </c>
      <c r="L992" t="s">
        <v>74</v>
      </c>
      <c r="M992" t="s">
        <v>78</v>
      </c>
      <c r="N992" t="s">
        <v>5181</v>
      </c>
      <c r="O992" t="s">
        <v>74</v>
      </c>
      <c r="P992" t="s">
        <v>74</v>
      </c>
      <c r="Q992" t="s">
        <v>74</v>
      </c>
      <c r="R992" t="s">
        <v>74</v>
      </c>
      <c r="S992" t="s">
        <v>74</v>
      </c>
      <c r="T992" t="s">
        <v>74</v>
      </c>
      <c r="U992" t="s">
        <v>74</v>
      </c>
      <c r="V992" t="s">
        <v>74</v>
      </c>
      <c r="W992" t="s">
        <v>74</v>
      </c>
      <c r="X992" t="s">
        <v>74</v>
      </c>
      <c r="Y992" t="s">
        <v>74</v>
      </c>
      <c r="Z992" t="s">
        <v>74</v>
      </c>
      <c r="AA992" t="s">
        <v>74</v>
      </c>
      <c r="AB992" t="s">
        <v>74</v>
      </c>
      <c r="AC992" t="s">
        <v>74</v>
      </c>
      <c r="AD992" t="s">
        <v>74</v>
      </c>
      <c r="AE992" t="s">
        <v>74</v>
      </c>
      <c r="AF992" t="s">
        <v>74</v>
      </c>
      <c r="AG992">
        <v>1</v>
      </c>
      <c r="AH992">
        <v>0</v>
      </c>
      <c r="AI992">
        <v>0</v>
      </c>
      <c r="AJ992">
        <v>0</v>
      </c>
      <c r="AK992">
        <v>0</v>
      </c>
      <c r="AL992" t="s">
        <v>9380</v>
      </c>
      <c r="AM992" t="s">
        <v>547</v>
      </c>
      <c r="AN992" t="s">
        <v>9381</v>
      </c>
      <c r="AO992" t="s">
        <v>17441</v>
      </c>
      <c r="AP992" t="s">
        <v>17442</v>
      </c>
      <c r="AQ992" t="s">
        <v>74</v>
      </c>
      <c r="AR992" t="s">
        <v>17443</v>
      </c>
      <c r="AS992" t="s">
        <v>17444</v>
      </c>
      <c r="AT992" t="s">
        <v>74</v>
      </c>
      <c r="AU992">
        <v>2010</v>
      </c>
      <c r="AV992">
        <v>42</v>
      </c>
      <c r="AW992">
        <v>1</v>
      </c>
      <c r="AX992" t="s">
        <v>74</v>
      </c>
      <c r="AY992" t="s">
        <v>74</v>
      </c>
      <c r="AZ992" t="s">
        <v>74</v>
      </c>
      <c r="BA992" t="s">
        <v>74</v>
      </c>
      <c r="BB992">
        <v>57</v>
      </c>
      <c r="BC992">
        <v>58</v>
      </c>
      <c r="BD992" t="s">
        <v>74</v>
      </c>
      <c r="BE992" t="s">
        <v>74</v>
      </c>
      <c r="BF992" t="s">
        <v>74</v>
      </c>
      <c r="BG992" t="s">
        <v>74</v>
      </c>
      <c r="BH992" t="s">
        <v>74</v>
      </c>
      <c r="BI992">
        <v>2</v>
      </c>
      <c r="BJ992" t="s">
        <v>12947</v>
      </c>
      <c r="BK992" t="s">
        <v>1408</v>
      </c>
      <c r="BL992" t="s">
        <v>12947</v>
      </c>
      <c r="BM992" t="s">
        <v>17446</v>
      </c>
      <c r="BN992" t="s">
        <v>74</v>
      </c>
      <c r="BO992" t="s">
        <v>74</v>
      </c>
      <c r="BP992" t="s">
        <v>74</v>
      </c>
      <c r="BQ992" t="s">
        <v>74</v>
      </c>
      <c r="BR992" t="s">
        <v>105</v>
      </c>
      <c r="BS992" t="s">
        <v>17451</v>
      </c>
      <c r="BT992" t="str">
        <f>HYPERLINK("https%3A%2F%2Fwww.webofscience.com%2Fwos%2Fwoscc%2Ffull-record%2FWOS:000218240600007","View Full Record in Web of Science")</f>
        <v>View Full Record in Web of Science</v>
      </c>
    </row>
    <row r="993" spans="1:72" x14ac:dyDescent="0.15">
      <c r="A993" t="s">
        <v>8257</v>
      </c>
      <c r="B993" t="s">
        <v>17452</v>
      </c>
      <c r="C993" t="s">
        <v>74</v>
      </c>
      <c r="D993" t="s">
        <v>17453</v>
      </c>
      <c r="E993" t="s">
        <v>74</v>
      </c>
      <c r="F993" t="s">
        <v>17454</v>
      </c>
      <c r="G993" t="s">
        <v>74</v>
      </c>
      <c r="H993" t="s">
        <v>74</v>
      </c>
      <c r="I993" t="s">
        <v>17455</v>
      </c>
      <c r="J993" t="s">
        <v>17456</v>
      </c>
      <c r="K993" t="s">
        <v>74</v>
      </c>
      <c r="L993" t="s">
        <v>74</v>
      </c>
      <c r="M993" t="s">
        <v>78</v>
      </c>
      <c r="N993" t="s">
        <v>8264</v>
      </c>
      <c r="O993" t="s">
        <v>17457</v>
      </c>
      <c r="P993" t="s">
        <v>17458</v>
      </c>
      <c r="Q993" t="s">
        <v>17459</v>
      </c>
      <c r="R993" t="s">
        <v>74</v>
      </c>
      <c r="S993" t="s">
        <v>17460</v>
      </c>
      <c r="T993" t="s">
        <v>17461</v>
      </c>
      <c r="U993" t="s">
        <v>17462</v>
      </c>
      <c r="V993" t="s">
        <v>17463</v>
      </c>
      <c r="W993" t="s">
        <v>17464</v>
      </c>
      <c r="X993" t="s">
        <v>17465</v>
      </c>
      <c r="Y993" t="s">
        <v>17466</v>
      </c>
      <c r="Z993" t="s">
        <v>17467</v>
      </c>
      <c r="AA993" t="s">
        <v>17468</v>
      </c>
      <c r="AB993" t="s">
        <v>17469</v>
      </c>
      <c r="AC993" t="s">
        <v>74</v>
      </c>
      <c r="AD993" t="s">
        <v>74</v>
      </c>
      <c r="AE993" t="s">
        <v>74</v>
      </c>
      <c r="AF993" t="s">
        <v>74</v>
      </c>
      <c r="AG993">
        <v>8</v>
      </c>
      <c r="AH993">
        <v>4</v>
      </c>
      <c r="AI993">
        <v>4</v>
      </c>
      <c r="AJ993">
        <v>0</v>
      </c>
      <c r="AK993">
        <v>29</v>
      </c>
      <c r="AL993" t="s">
        <v>17470</v>
      </c>
      <c r="AM993" t="s">
        <v>17471</v>
      </c>
      <c r="AN993" t="s">
        <v>17472</v>
      </c>
      <c r="AO993" t="s">
        <v>74</v>
      </c>
      <c r="AP993" t="s">
        <v>74</v>
      </c>
      <c r="AQ993" t="s">
        <v>74</v>
      </c>
      <c r="AR993" t="s">
        <v>74</v>
      </c>
      <c r="AS993" t="s">
        <v>74</v>
      </c>
      <c r="AT993" t="s">
        <v>74</v>
      </c>
      <c r="AU993">
        <v>2010</v>
      </c>
      <c r="AV993" t="s">
        <v>74</v>
      </c>
      <c r="AW993" t="s">
        <v>74</v>
      </c>
      <c r="AX993" t="s">
        <v>74</v>
      </c>
      <c r="AY993" t="s">
        <v>74</v>
      </c>
      <c r="AZ993" t="s">
        <v>74</v>
      </c>
      <c r="BA993" t="s">
        <v>74</v>
      </c>
      <c r="BB993">
        <v>1204</v>
      </c>
      <c r="BC993">
        <v>1212</v>
      </c>
      <c r="BD993" t="s">
        <v>74</v>
      </c>
      <c r="BE993" t="s">
        <v>17473</v>
      </c>
      <c r="BF993" t="str">
        <f>HYPERLINK("http://dx.doi.org/10.3993/tbis2010214","http://dx.doi.org/10.3993/tbis2010214")</f>
        <v>http://dx.doi.org/10.3993/tbis2010214</v>
      </c>
      <c r="BG993" t="s">
        <v>74</v>
      </c>
      <c r="BH993" t="s">
        <v>74</v>
      </c>
      <c r="BI993">
        <v>9</v>
      </c>
      <c r="BJ993" t="s">
        <v>17474</v>
      </c>
      <c r="BK993" t="s">
        <v>8281</v>
      </c>
      <c r="BL993" t="s">
        <v>17475</v>
      </c>
      <c r="BM993" t="s">
        <v>17476</v>
      </c>
      <c r="BN993" t="s">
        <v>74</v>
      </c>
      <c r="BO993" t="s">
        <v>74</v>
      </c>
      <c r="BP993" t="s">
        <v>74</v>
      </c>
      <c r="BQ993" t="s">
        <v>74</v>
      </c>
      <c r="BR993" t="s">
        <v>105</v>
      </c>
      <c r="BS993" t="s">
        <v>17477</v>
      </c>
      <c r="BT993" t="str">
        <f>HYPERLINK("https%3A%2F%2Fwww.webofscience.com%2Fwos%2Fwoscc%2Ffull-record%2FWOS:000283206000211","View Full Record in Web of Science")</f>
        <v>View Full Record in Web of Science</v>
      </c>
    </row>
    <row r="994" spans="1:72" x14ac:dyDescent="0.15">
      <c r="A994" t="s">
        <v>8563</v>
      </c>
      <c r="B994" t="s">
        <v>17478</v>
      </c>
      <c r="C994" t="s">
        <v>17478</v>
      </c>
      <c r="D994" t="s">
        <v>74</v>
      </c>
      <c r="E994" t="s">
        <v>74</v>
      </c>
      <c r="F994" t="s">
        <v>17479</v>
      </c>
      <c r="G994" t="s">
        <v>17478</v>
      </c>
      <c r="H994" t="s">
        <v>74</v>
      </c>
      <c r="I994" t="s">
        <v>17480</v>
      </c>
      <c r="J994" t="s">
        <v>17481</v>
      </c>
      <c r="K994" t="s">
        <v>74</v>
      </c>
      <c r="L994" t="s">
        <v>74</v>
      </c>
      <c r="M994" t="s">
        <v>78</v>
      </c>
      <c r="N994" t="s">
        <v>8859</v>
      </c>
      <c r="O994" t="s">
        <v>74</v>
      </c>
      <c r="P994" t="s">
        <v>74</v>
      </c>
      <c r="Q994" t="s">
        <v>74</v>
      </c>
      <c r="R994" t="s">
        <v>74</v>
      </c>
      <c r="S994" t="s">
        <v>74</v>
      </c>
      <c r="T994" t="s">
        <v>74</v>
      </c>
      <c r="U994" t="s">
        <v>17482</v>
      </c>
      <c r="V994" t="s">
        <v>74</v>
      </c>
      <c r="W994" t="s">
        <v>17483</v>
      </c>
      <c r="X994" t="s">
        <v>17484</v>
      </c>
      <c r="Y994" t="s">
        <v>17485</v>
      </c>
      <c r="Z994" t="s">
        <v>17486</v>
      </c>
      <c r="AA994" t="s">
        <v>74</v>
      </c>
      <c r="AB994" t="s">
        <v>74</v>
      </c>
      <c r="AC994" t="s">
        <v>74</v>
      </c>
      <c r="AD994" t="s">
        <v>74</v>
      </c>
      <c r="AE994" t="s">
        <v>74</v>
      </c>
      <c r="AF994" t="s">
        <v>74</v>
      </c>
      <c r="AG994">
        <v>99</v>
      </c>
      <c r="AH994">
        <v>0</v>
      </c>
      <c r="AI994">
        <v>0</v>
      </c>
      <c r="AJ994">
        <v>0</v>
      </c>
      <c r="AK994">
        <v>0</v>
      </c>
      <c r="AL994" t="s">
        <v>813</v>
      </c>
      <c r="AM994" t="s">
        <v>225</v>
      </c>
      <c r="AN994" t="s">
        <v>8576</v>
      </c>
      <c r="AO994" t="s">
        <v>74</v>
      </c>
      <c r="AP994" t="s">
        <v>74</v>
      </c>
      <c r="AQ994" t="s">
        <v>17487</v>
      </c>
      <c r="AR994" t="s">
        <v>74</v>
      </c>
      <c r="AS994" t="s">
        <v>74</v>
      </c>
      <c r="AT994" t="s">
        <v>74</v>
      </c>
      <c r="AU994">
        <v>2010</v>
      </c>
      <c r="AV994" t="s">
        <v>74</v>
      </c>
      <c r="AW994" t="s">
        <v>74</v>
      </c>
      <c r="AX994" t="s">
        <v>74</v>
      </c>
      <c r="AY994" t="s">
        <v>74</v>
      </c>
      <c r="AZ994" t="s">
        <v>74</v>
      </c>
      <c r="BA994" t="s">
        <v>74</v>
      </c>
      <c r="BB994">
        <v>145</v>
      </c>
      <c r="BC994">
        <v>172</v>
      </c>
      <c r="BD994" t="s">
        <v>74</v>
      </c>
      <c r="BE994" t="s">
        <v>17488</v>
      </c>
      <c r="BF994" t="str">
        <f>HYPERLINK("http://dx.doi.org/10.1007/978-90-481-9390-5_5","http://dx.doi.org/10.1007/978-90-481-9390-5_5")</f>
        <v>http://dx.doi.org/10.1007/978-90-481-9390-5_5</v>
      </c>
      <c r="BG994" t="s">
        <v>17489</v>
      </c>
      <c r="BH994" t="s">
        <v>74</v>
      </c>
      <c r="BI994">
        <v>28</v>
      </c>
      <c r="BJ994" t="s">
        <v>11568</v>
      </c>
      <c r="BK994" t="s">
        <v>8579</v>
      </c>
      <c r="BL994" t="s">
        <v>914</v>
      </c>
      <c r="BM994" t="s">
        <v>17490</v>
      </c>
      <c r="BN994" t="s">
        <v>74</v>
      </c>
      <c r="BO994" t="s">
        <v>74</v>
      </c>
      <c r="BP994" t="s">
        <v>74</v>
      </c>
      <c r="BQ994" t="s">
        <v>74</v>
      </c>
      <c r="BR994" t="s">
        <v>105</v>
      </c>
      <c r="BS994" t="s">
        <v>17491</v>
      </c>
      <c r="BT994" t="str">
        <f>HYPERLINK("https%3A%2F%2Fwww.webofscience.com%2Fwos%2Fwoscc%2Ffull-record%2FWOS:000285742300005","View Full Record in Web of Science")</f>
        <v>View Full Record in Web of Science</v>
      </c>
    </row>
    <row r="995" spans="1:72" x14ac:dyDescent="0.15">
      <c r="A995" t="s">
        <v>8563</v>
      </c>
      <c r="B995" t="s">
        <v>17478</v>
      </c>
      <c r="C995" t="s">
        <v>17478</v>
      </c>
      <c r="D995" t="s">
        <v>74</v>
      </c>
      <c r="E995" t="s">
        <v>74</v>
      </c>
      <c r="F995" t="s">
        <v>17479</v>
      </c>
      <c r="G995" t="s">
        <v>17478</v>
      </c>
      <c r="H995" t="s">
        <v>74</v>
      </c>
      <c r="I995" t="s">
        <v>17492</v>
      </c>
      <c r="J995" t="s">
        <v>17481</v>
      </c>
      <c r="K995" t="s">
        <v>74</v>
      </c>
      <c r="L995" t="s">
        <v>74</v>
      </c>
      <c r="M995" t="s">
        <v>78</v>
      </c>
      <c r="N995" t="s">
        <v>8859</v>
      </c>
      <c r="O995" t="s">
        <v>74</v>
      </c>
      <c r="P995" t="s">
        <v>74</v>
      </c>
      <c r="Q995" t="s">
        <v>74</v>
      </c>
      <c r="R995" t="s">
        <v>74</v>
      </c>
      <c r="S995" t="s">
        <v>74</v>
      </c>
      <c r="T995" t="s">
        <v>74</v>
      </c>
      <c r="U995" t="s">
        <v>17493</v>
      </c>
      <c r="V995" t="s">
        <v>74</v>
      </c>
      <c r="W995" t="s">
        <v>17483</v>
      </c>
      <c r="X995" t="s">
        <v>17484</v>
      </c>
      <c r="Y995" t="s">
        <v>17485</v>
      </c>
      <c r="Z995" t="s">
        <v>17494</v>
      </c>
      <c r="AA995" t="s">
        <v>74</v>
      </c>
      <c r="AB995" t="s">
        <v>74</v>
      </c>
      <c r="AC995" t="s">
        <v>74</v>
      </c>
      <c r="AD995" t="s">
        <v>74</v>
      </c>
      <c r="AE995" t="s">
        <v>74</v>
      </c>
      <c r="AF995" t="s">
        <v>74</v>
      </c>
      <c r="AG995">
        <v>207</v>
      </c>
      <c r="AH995">
        <v>0</v>
      </c>
      <c r="AI995">
        <v>0</v>
      </c>
      <c r="AJ995">
        <v>0</v>
      </c>
      <c r="AK995">
        <v>0</v>
      </c>
      <c r="AL995" t="s">
        <v>813</v>
      </c>
      <c r="AM995" t="s">
        <v>225</v>
      </c>
      <c r="AN995" t="s">
        <v>8576</v>
      </c>
      <c r="AO995" t="s">
        <v>74</v>
      </c>
      <c r="AP995" t="s">
        <v>74</v>
      </c>
      <c r="AQ995" t="s">
        <v>17487</v>
      </c>
      <c r="AR995" t="s">
        <v>74</v>
      </c>
      <c r="AS995" t="s">
        <v>74</v>
      </c>
      <c r="AT995" t="s">
        <v>74</v>
      </c>
      <c r="AU995">
        <v>2010</v>
      </c>
      <c r="AV995" t="s">
        <v>74</v>
      </c>
      <c r="AW995" t="s">
        <v>74</v>
      </c>
      <c r="AX995" t="s">
        <v>74</v>
      </c>
      <c r="AY995" t="s">
        <v>74</v>
      </c>
      <c r="AZ995" t="s">
        <v>74</v>
      </c>
      <c r="BA995" t="s">
        <v>74</v>
      </c>
      <c r="BB995">
        <v>519</v>
      </c>
      <c r="BC995">
        <v>571</v>
      </c>
      <c r="BD995" t="s">
        <v>74</v>
      </c>
      <c r="BE995" t="s">
        <v>17495</v>
      </c>
      <c r="BF995" t="str">
        <f>HYPERLINK("http://dx.doi.org/10.1007/978-90-481-9390-5_16","http://dx.doi.org/10.1007/978-90-481-9390-5_16")</f>
        <v>http://dx.doi.org/10.1007/978-90-481-9390-5_16</v>
      </c>
      <c r="BG995" t="s">
        <v>17489</v>
      </c>
      <c r="BH995" t="s">
        <v>74</v>
      </c>
      <c r="BI995">
        <v>53</v>
      </c>
      <c r="BJ995" t="s">
        <v>11568</v>
      </c>
      <c r="BK995" t="s">
        <v>8579</v>
      </c>
      <c r="BL995" t="s">
        <v>914</v>
      </c>
      <c r="BM995" t="s">
        <v>17490</v>
      </c>
      <c r="BN995" t="s">
        <v>74</v>
      </c>
      <c r="BO995" t="s">
        <v>74</v>
      </c>
      <c r="BP995" t="s">
        <v>74</v>
      </c>
      <c r="BQ995" t="s">
        <v>74</v>
      </c>
      <c r="BR995" t="s">
        <v>105</v>
      </c>
      <c r="BS995" t="s">
        <v>17496</v>
      </c>
      <c r="BT995" t="str">
        <f>HYPERLINK("https%3A%2F%2Fwww.webofscience.com%2Fwos%2Fwoscc%2Ffull-record%2FWOS:000285742300016","View Full Record in Web of Science")</f>
        <v>View Full Record in Web of Science</v>
      </c>
    </row>
    <row r="996" spans="1:72" x14ac:dyDescent="0.15">
      <c r="A996" t="s">
        <v>8563</v>
      </c>
      <c r="B996" t="s">
        <v>17478</v>
      </c>
      <c r="C996" t="s">
        <v>17478</v>
      </c>
      <c r="D996" t="s">
        <v>74</v>
      </c>
      <c r="E996" t="s">
        <v>74</v>
      </c>
      <c r="F996" t="s">
        <v>17479</v>
      </c>
      <c r="G996" t="s">
        <v>17478</v>
      </c>
      <c r="H996" t="s">
        <v>74</v>
      </c>
      <c r="I996" t="s">
        <v>17497</v>
      </c>
      <c r="J996" t="s">
        <v>17481</v>
      </c>
      <c r="K996" t="s">
        <v>74</v>
      </c>
      <c r="L996" t="s">
        <v>74</v>
      </c>
      <c r="M996" t="s">
        <v>78</v>
      </c>
      <c r="N996" t="s">
        <v>8859</v>
      </c>
      <c r="O996" t="s">
        <v>74</v>
      </c>
      <c r="P996" t="s">
        <v>74</v>
      </c>
      <c r="Q996" t="s">
        <v>74</v>
      </c>
      <c r="R996" t="s">
        <v>74</v>
      </c>
      <c r="S996" t="s">
        <v>74</v>
      </c>
      <c r="T996" t="s">
        <v>74</v>
      </c>
      <c r="U996" t="s">
        <v>17498</v>
      </c>
      <c r="V996" t="s">
        <v>74</v>
      </c>
      <c r="W996" t="s">
        <v>17483</v>
      </c>
      <c r="X996" t="s">
        <v>17484</v>
      </c>
      <c r="Y996" t="s">
        <v>17485</v>
      </c>
      <c r="Z996" t="s">
        <v>17486</v>
      </c>
      <c r="AA996" t="s">
        <v>74</v>
      </c>
      <c r="AB996" t="s">
        <v>74</v>
      </c>
      <c r="AC996" t="s">
        <v>74</v>
      </c>
      <c r="AD996" t="s">
        <v>74</v>
      </c>
      <c r="AE996" t="s">
        <v>74</v>
      </c>
      <c r="AF996" t="s">
        <v>74</v>
      </c>
      <c r="AG996">
        <v>267</v>
      </c>
      <c r="AH996">
        <v>0</v>
      </c>
      <c r="AI996">
        <v>0</v>
      </c>
      <c r="AJ996">
        <v>0</v>
      </c>
      <c r="AK996">
        <v>2</v>
      </c>
      <c r="AL996" t="s">
        <v>813</v>
      </c>
      <c r="AM996" t="s">
        <v>225</v>
      </c>
      <c r="AN996" t="s">
        <v>8576</v>
      </c>
      <c r="AO996" t="s">
        <v>74</v>
      </c>
      <c r="AP996" t="s">
        <v>74</v>
      </c>
      <c r="AQ996" t="s">
        <v>17487</v>
      </c>
      <c r="AR996" t="s">
        <v>74</v>
      </c>
      <c r="AS996" t="s">
        <v>74</v>
      </c>
      <c r="AT996" t="s">
        <v>74</v>
      </c>
      <c r="AU996">
        <v>2010</v>
      </c>
      <c r="AV996" t="s">
        <v>74</v>
      </c>
      <c r="AW996" t="s">
        <v>74</v>
      </c>
      <c r="AX996" t="s">
        <v>74</v>
      </c>
      <c r="AY996" t="s">
        <v>74</v>
      </c>
      <c r="AZ996" t="s">
        <v>74</v>
      </c>
      <c r="BA996" t="s">
        <v>74</v>
      </c>
      <c r="BB996">
        <v>573</v>
      </c>
      <c r="BC996">
        <v>633</v>
      </c>
      <c r="BD996" t="s">
        <v>74</v>
      </c>
      <c r="BE996" t="s">
        <v>17499</v>
      </c>
      <c r="BF996" t="str">
        <f>HYPERLINK("http://dx.doi.org/10.1007/978-90-481-9390-5_17","http://dx.doi.org/10.1007/978-90-481-9390-5_17")</f>
        <v>http://dx.doi.org/10.1007/978-90-481-9390-5_17</v>
      </c>
      <c r="BG996" t="s">
        <v>17489</v>
      </c>
      <c r="BH996" t="s">
        <v>74</v>
      </c>
      <c r="BI996">
        <v>61</v>
      </c>
      <c r="BJ996" t="s">
        <v>11568</v>
      </c>
      <c r="BK996" t="s">
        <v>8579</v>
      </c>
      <c r="BL996" t="s">
        <v>914</v>
      </c>
      <c r="BM996" t="s">
        <v>17490</v>
      </c>
      <c r="BN996" t="s">
        <v>74</v>
      </c>
      <c r="BO996" t="s">
        <v>74</v>
      </c>
      <c r="BP996" t="s">
        <v>74</v>
      </c>
      <c r="BQ996" t="s">
        <v>74</v>
      </c>
      <c r="BR996" t="s">
        <v>105</v>
      </c>
      <c r="BS996" t="s">
        <v>17500</v>
      </c>
      <c r="BT996" t="str">
        <f>HYPERLINK("https%3A%2F%2Fwww.webofscience.com%2Fwos%2Fwoscc%2Ffull-record%2FWOS:000285742300017","View Full Record in Web of Science")</f>
        <v>View Full Record in Web of Science</v>
      </c>
    </row>
    <row r="997" spans="1:72" x14ac:dyDescent="0.15">
      <c r="A997" t="s">
        <v>8563</v>
      </c>
      <c r="B997" t="s">
        <v>17478</v>
      </c>
      <c r="C997" t="s">
        <v>17478</v>
      </c>
      <c r="D997" t="s">
        <v>74</v>
      </c>
      <c r="E997" t="s">
        <v>74</v>
      </c>
      <c r="F997" t="s">
        <v>17479</v>
      </c>
      <c r="G997" t="s">
        <v>17478</v>
      </c>
      <c r="H997" t="s">
        <v>74</v>
      </c>
      <c r="I997" t="s">
        <v>17501</v>
      </c>
      <c r="J997" t="s">
        <v>17481</v>
      </c>
      <c r="K997" t="s">
        <v>74</v>
      </c>
      <c r="L997" t="s">
        <v>74</v>
      </c>
      <c r="M997" t="s">
        <v>78</v>
      </c>
      <c r="N997" t="s">
        <v>8859</v>
      </c>
      <c r="O997" t="s">
        <v>74</v>
      </c>
      <c r="P997" t="s">
        <v>74</v>
      </c>
      <c r="Q997" t="s">
        <v>74</v>
      </c>
      <c r="R997" t="s">
        <v>74</v>
      </c>
      <c r="S997" t="s">
        <v>74</v>
      </c>
      <c r="T997" t="s">
        <v>74</v>
      </c>
      <c r="U997" t="s">
        <v>17502</v>
      </c>
      <c r="V997" t="s">
        <v>74</v>
      </c>
      <c r="W997" t="s">
        <v>17483</v>
      </c>
      <c r="X997" t="s">
        <v>17484</v>
      </c>
      <c r="Y997" t="s">
        <v>17485</v>
      </c>
      <c r="Z997" t="s">
        <v>17486</v>
      </c>
      <c r="AA997" t="s">
        <v>74</v>
      </c>
      <c r="AB997" t="s">
        <v>74</v>
      </c>
      <c r="AC997" t="s">
        <v>74</v>
      </c>
      <c r="AD997" t="s">
        <v>74</v>
      </c>
      <c r="AE997" t="s">
        <v>74</v>
      </c>
      <c r="AF997" t="s">
        <v>74</v>
      </c>
      <c r="AG997">
        <v>316</v>
      </c>
      <c r="AH997">
        <v>0</v>
      </c>
      <c r="AI997">
        <v>0</v>
      </c>
      <c r="AJ997">
        <v>0</v>
      </c>
      <c r="AK997">
        <v>0</v>
      </c>
      <c r="AL997" t="s">
        <v>813</v>
      </c>
      <c r="AM997" t="s">
        <v>225</v>
      </c>
      <c r="AN997" t="s">
        <v>8576</v>
      </c>
      <c r="AO997" t="s">
        <v>74</v>
      </c>
      <c r="AP997" t="s">
        <v>74</v>
      </c>
      <c r="AQ997" t="s">
        <v>17487</v>
      </c>
      <c r="AR997" t="s">
        <v>74</v>
      </c>
      <c r="AS997" t="s">
        <v>74</v>
      </c>
      <c r="AT997" t="s">
        <v>74</v>
      </c>
      <c r="AU997">
        <v>2010</v>
      </c>
      <c r="AV997" t="s">
        <v>74</v>
      </c>
      <c r="AW997" t="s">
        <v>74</v>
      </c>
      <c r="AX997" t="s">
        <v>74</v>
      </c>
      <c r="AY997" t="s">
        <v>74</v>
      </c>
      <c r="AZ997" t="s">
        <v>74</v>
      </c>
      <c r="BA997" t="s">
        <v>74</v>
      </c>
      <c r="BB997">
        <v>693</v>
      </c>
      <c r="BC997">
        <v>758</v>
      </c>
      <c r="BD997" t="s">
        <v>74</v>
      </c>
      <c r="BE997" t="s">
        <v>17503</v>
      </c>
      <c r="BF997" t="str">
        <f>HYPERLINK("http://dx.doi.org/10.1007/978-90-481-9390-5_19","http://dx.doi.org/10.1007/978-90-481-9390-5_19")</f>
        <v>http://dx.doi.org/10.1007/978-90-481-9390-5_19</v>
      </c>
      <c r="BG997" t="s">
        <v>17489</v>
      </c>
      <c r="BH997" t="s">
        <v>74</v>
      </c>
      <c r="BI997">
        <v>66</v>
      </c>
      <c r="BJ997" t="s">
        <v>11568</v>
      </c>
      <c r="BK997" t="s">
        <v>8579</v>
      </c>
      <c r="BL997" t="s">
        <v>914</v>
      </c>
      <c r="BM997" t="s">
        <v>17490</v>
      </c>
      <c r="BN997" t="s">
        <v>74</v>
      </c>
      <c r="BO997" t="s">
        <v>74</v>
      </c>
      <c r="BP997" t="s">
        <v>74</v>
      </c>
      <c r="BQ997" t="s">
        <v>74</v>
      </c>
      <c r="BR997" t="s">
        <v>105</v>
      </c>
      <c r="BS997" t="s">
        <v>17504</v>
      </c>
      <c r="BT997" t="str">
        <f>HYPERLINK("https%3A%2F%2Fwww.webofscience.com%2Fwos%2Fwoscc%2Ffull-record%2FWOS:000285742300019","View Full Record in Web of Science")</f>
        <v>View Full Record in Web of Science</v>
      </c>
    </row>
    <row r="998" spans="1:72" x14ac:dyDescent="0.15">
      <c r="A998" t="s">
        <v>8563</v>
      </c>
      <c r="B998" t="s">
        <v>17505</v>
      </c>
      <c r="C998" t="s">
        <v>74</v>
      </c>
      <c r="D998" t="s">
        <v>17506</v>
      </c>
      <c r="E998" t="s">
        <v>74</v>
      </c>
      <c r="F998" t="s">
        <v>17507</v>
      </c>
      <c r="G998" t="s">
        <v>74</v>
      </c>
      <c r="H998" t="s">
        <v>74</v>
      </c>
      <c r="I998" t="s">
        <v>17508</v>
      </c>
      <c r="J998" t="s">
        <v>17509</v>
      </c>
      <c r="K998" t="s">
        <v>74</v>
      </c>
      <c r="L998" t="s">
        <v>74</v>
      </c>
      <c r="M998" t="s">
        <v>78</v>
      </c>
      <c r="N998" t="s">
        <v>8859</v>
      </c>
      <c r="O998" t="s">
        <v>74</v>
      </c>
      <c r="P998" t="s">
        <v>74</v>
      </c>
      <c r="Q998" t="s">
        <v>74</v>
      </c>
      <c r="R998" t="s">
        <v>74</v>
      </c>
      <c r="S998" t="s">
        <v>74</v>
      </c>
      <c r="T998" t="s">
        <v>74</v>
      </c>
      <c r="U998" t="s">
        <v>17510</v>
      </c>
      <c r="V998" t="s">
        <v>74</v>
      </c>
      <c r="W998" t="s">
        <v>17511</v>
      </c>
      <c r="X998" t="s">
        <v>17512</v>
      </c>
      <c r="Y998" t="s">
        <v>17513</v>
      </c>
      <c r="Z998" t="s">
        <v>17514</v>
      </c>
      <c r="AA998" t="s">
        <v>74</v>
      </c>
      <c r="AB998" t="s">
        <v>74</v>
      </c>
      <c r="AC998" t="s">
        <v>74</v>
      </c>
      <c r="AD998" t="s">
        <v>74</v>
      </c>
      <c r="AE998" t="s">
        <v>74</v>
      </c>
      <c r="AF998" t="s">
        <v>74</v>
      </c>
      <c r="AG998">
        <v>317</v>
      </c>
      <c r="AH998">
        <v>16</v>
      </c>
      <c r="AI998">
        <v>16</v>
      </c>
      <c r="AJ998">
        <v>0</v>
      </c>
      <c r="AK998">
        <v>2</v>
      </c>
      <c r="AL998" t="s">
        <v>10372</v>
      </c>
      <c r="AM998" t="s">
        <v>10373</v>
      </c>
      <c r="AN998" t="s">
        <v>11124</v>
      </c>
      <c r="AO998" t="s">
        <v>74</v>
      </c>
      <c r="AP998" t="s">
        <v>74</v>
      </c>
      <c r="AQ998" t="s">
        <v>17515</v>
      </c>
      <c r="AR998" t="s">
        <v>74</v>
      </c>
      <c r="AS998" t="s">
        <v>74</v>
      </c>
      <c r="AT998" t="s">
        <v>74</v>
      </c>
      <c r="AU998">
        <v>2010</v>
      </c>
      <c r="AV998" t="s">
        <v>74</v>
      </c>
      <c r="AW998" t="s">
        <v>74</v>
      </c>
      <c r="AX998" t="s">
        <v>74</v>
      </c>
      <c r="AY998" t="s">
        <v>74</v>
      </c>
      <c r="AZ998" t="s">
        <v>74</v>
      </c>
      <c r="BA998" t="s">
        <v>74</v>
      </c>
      <c r="BB998">
        <v>5</v>
      </c>
      <c r="BC998">
        <v>82</v>
      </c>
      <c r="BD998" t="s">
        <v>74</v>
      </c>
      <c r="BE998" t="s">
        <v>74</v>
      </c>
      <c r="BF998" t="s">
        <v>74</v>
      </c>
      <c r="BG998" t="s">
        <v>17516</v>
      </c>
      <c r="BH998" t="s">
        <v>74</v>
      </c>
      <c r="BI998">
        <v>78</v>
      </c>
      <c r="BJ998" t="s">
        <v>2318</v>
      </c>
      <c r="BK998" t="s">
        <v>8579</v>
      </c>
      <c r="BL998" t="s">
        <v>2318</v>
      </c>
      <c r="BM998" t="s">
        <v>17517</v>
      </c>
      <c r="BN998" t="s">
        <v>74</v>
      </c>
      <c r="BO998" t="s">
        <v>74</v>
      </c>
      <c r="BP998" t="s">
        <v>74</v>
      </c>
      <c r="BQ998" t="s">
        <v>74</v>
      </c>
      <c r="BR998" t="s">
        <v>105</v>
      </c>
      <c r="BS998" t="s">
        <v>17518</v>
      </c>
      <c r="BT998" t="str">
        <f>HYPERLINK("https%3A%2F%2Fwww.webofscience.com%2Fwos%2Fwoscc%2Ffull-record%2FWOS:000325970300002","View Full Record in Web of Science")</f>
        <v>View Full Record in Web of Science</v>
      </c>
    </row>
    <row r="999" spans="1:72" x14ac:dyDescent="0.15">
      <c r="A999" t="s">
        <v>72</v>
      </c>
      <c r="B999" t="s">
        <v>17519</v>
      </c>
      <c r="C999" t="s">
        <v>74</v>
      </c>
      <c r="D999" t="s">
        <v>74</v>
      </c>
      <c r="E999" t="s">
        <v>74</v>
      </c>
      <c r="F999" t="s">
        <v>17520</v>
      </c>
      <c r="G999" t="s">
        <v>74</v>
      </c>
      <c r="H999" t="s">
        <v>74</v>
      </c>
      <c r="I999" t="s">
        <v>17521</v>
      </c>
      <c r="J999" t="s">
        <v>17522</v>
      </c>
      <c r="K999" t="s">
        <v>74</v>
      </c>
      <c r="L999" t="s">
        <v>74</v>
      </c>
      <c r="M999" t="s">
        <v>78</v>
      </c>
      <c r="N999" t="s">
        <v>79</v>
      </c>
      <c r="O999" t="s">
        <v>74</v>
      </c>
      <c r="P999" t="s">
        <v>74</v>
      </c>
      <c r="Q999" t="s">
        <v>74</v>
      </c>
      <c r="R999" t="s">
        <v>74</v>
      </c>
      <c r="S999" t="s">
        <v>74</v>
      </c>
      <c r="T999" t="s">
        <v>74</v>
      </c>
      <c r="U999" t="s">
        <v>17523</v>
      </c>
      <c r="V999" t="s">
        <v>17524</v>
      </c>
      <c r="W999" t="s">
        <v>17525</v>
      </c>
      <c r="X999" t="s">
        <v>17526</v>
      </c>
      <c r="Y999" t="s">
        <v>17527</v>
      </c>
      <c r="Z999" t="s">
        <v>17528</v>
      </c>
      <c r="AA999" t="s">
        <v>17529</v>
      </c>
      <c r="AB999" t="s">
        <v>17530</v>
      </c>
      <c r="AC999" t="s">
        <v>17531</v>
      </c>
      <c r="AD999" t="s">
        <v>17532</v>
      </c>
      <c r="AE999" t="s">
        <v>17533</v>
      </c>
      <c r="AF999" t="s">
        <v>74</v>
      </c>
      <c r="AG999">
        <v>77</v>
      </c>
      <c r="AH999">
        <v>286</v>
      </c>
      <c r="AI999">
        <v>324</v>
      </c>
      <c r="AJ999">
        <v>8</v>
      </c>
      <c r="AK999">
        <v>310</v>
      </c>
      <c r="AL999" t="s">
        <v>17534</v>
      </c>
      <c r="AM999" t="s">
        <v>407</v>
      </c>
      <c r="AN999" t="s">
        <v>17535</v>
      </c>
      <c r="AO999" t="s">
        <v>17536</v>
      </c>
      <c r="AP999" t="s">
        <v>17537</v>
      </c>
      <c r="AQ999" t="s">
        <v>74</v>
      </c>
      <c r="AR999" t="s">
        <v>17538</v>
      </c>
      <c r="AS999" t="s">
        <v>17539</v>
      </c>
      <c r="AT999" t="s">
        <v>8958</v>
      </c>
      <c r="AU999">
        <v>2010</v>
      </c>
      <c r="AV999">
        <v>25</v>
      </c>
      <c r="AW999">
        <v>1</v>
      </c>
      <c r="AX999" t="s">
        <v>74</v>
      </c>
      <c r="AY999" t="s">
        <v>74</v>
      </c>
      <c r="AZ999" t="s">
        <v>74</v>
      </c>
      <c r="BA999" t="s">
        <v>74</v>
      </c>
      <c r="BB999">
        <v>1</v>
      </c>
      <c r="BC999">
        <v>7</v>
      </c>
      <c r="BD999" t="s">
        <v>74</v>
      </c>
      <c r="BE999" t="s">
        <v>17540</v>
      </c>
      <c r="BF999" t="str">
        <f>HYPERLINK("http://dx.doi.org/10.1016/j.tree.2009.10.003","http://dx.doi.org/10.1016/j.tree.2009.10.003")</f>
        <v>http://dx.doi.org/10.1016/j.tree.2009.10.003</v>
      </c>
      <c r="BG999" t="s">
        <v>74</v>
      </c>
      <c r="BH999" t="s">
        <v>74</v>
      </c>
      <c r="BI999">
        <v>7</v>
      </c>
      <c r="BJ999" t="s">
        <v>17541</v>
      </c>
      <c r="BK999" t="s">
        <v>102</v>
      </c>
      <c r="BL999" t="s">
        <v>17542</v>
      </c>
      <c r="BM999" t="s">
        <v>17543</v>
      </c>
      <c r="BN999">
        <v>19939492</v>
      </c>
      <c r="BO999" t="s">
        <v>1917</v>
      </c>
      <c r="BP999" t="s">
        <v>74</v>
      </c>
      <c r="BQ999" t="s">
        <v>74</v>
      </c>
      <c r="BR999" t="s">
        <v>105</v>
      </c>
      <c r="BS999" t="s">
        <v>17544</v>
      </c>
      <c r="BT999" t="str">
        <f>HYPERLINK("https%3A%2F%2Fwww.webofscience.com%2Fwos%2Fwoscc%2Ffull-record%2FWOS:000274074500001","View Full Record in Web of Science")</f>
        <v>View Full Record in Web of Science</v>
      </c>
    </row>
    <row r="1000" spans="1:72" x14ac:dyDescent="0.15">
      <c r="A1000" t="s">
        <v>8257</v>
      </c>
      <c r="B1000" t="s">
        <v>17545</v>
      </c>
      <c r="C1000" t="s">
        <v>74</v>
      </c>
      <c r="D1000" t="s">
        <v>74</v>
      </c>
      <c r="E1000" t="s">
        <v>17546</v>
      </c>
      <c r="F1000" t="s">
        <v>17547</v>
      </c>
      <c r="G1000" t="s">
        <v>74</v>
      </c>
      <c r="H1000" t="s">
        <v>74</v>
      </c>
      <c r="I1000" t="s">
        <v>17548</v>
      </c>
      <c r="J1000" t="s">
        <v>17549</v>
      </c>
      <c r="K1000" t="s">
        <v>74</v>
      </c>
      <c r="L1000" t="s">
        <v>74</v>
      </c>
      <c r="M1000" t="s">
        <v>78</v>
      </c>
      <c r="N1000" t="s">
        <v>8264</v>
      </c>
      <c r="O1000" t="s">
        <v>17550</v>
      </c>
      <c r="P1000" t="s">
        <v>17551</v>
      </c>
      <c r="Q1000" t="s">
        <v>17552</v>
      </c>
      <c r="R1000" t="s">
        <v>74</v>
      </c>
      <c r="S1000" t="s">
        <v>74</v>
      </c>
      <c r="T1000" t="s">
        <v>74</v>
      </c>
      <c r="U1000" t="s">
        <v>74</v>
      </c>
      <c r="V1000" t="s">
        <v>17553</v>
      </c>
      <c r="W1000" t="s">
        <v>17554</v>
      </c>
      <c r="X1000" t="s">
        <v>17555</v>
      </c>
      <c r="Y1000" t="s">
        <v>17556</v>
      </c>
      <c r="Z1000" t="s">
        <v>17557</v>
      </c>
      <c r="AA1000" t="s">
        <v>17558</v>
      </c>
      <c r="AB1000" t="s">
        <v>17559</v>
      </c>
      <c r="AC1000" t="s">
        <v>74</v>
      </c>
      <c r="AD1000" t="s">
        <v>74</v>
      </c>
      <c r="AE1000" t="s">
        <v>74</v>
      </c>
      <c r="AF1000" t="s">
        <v>74</v>
      </c>
      <c r="AG1000">
        <v>5</v>
      </c>
      <c r="AH1000">
        <v>0</v>
      </c>
      <c r="AI1000">
        <v>0</v>
      </c>
      <c r="AJ1000">
        <v>0</v>
      </c>
      <c r="AK1000">
        <v>2</v>
      </c>
      <c r="AL1000" t="s">
        <v>17560</v>
      </c>
      <c r="AM1000" t="s">
        <v>17561</v>
      </c>
      <c r="AN1000" t="s">
        <v>17562</v>
      </c>
      <c r="AO1000" t="s">
        <v>74</v>
      </c>
      <c r="AP1000" t="s">
        <v>74</v>
      </c>
      <c r="AQ1000" t="s">
        <v>17563</v>
      </c>
      <c r="AR1000" t="s">
        <v>74</v>
      </c>
      <c r="AS1000" t="s">
        <v>74</v>
      </c>
      <c r="AT1000" t="s">
        <v>74</v>
      </c>
      <c r="AU1000">
        <v>2010</v>
      </c>
      <c r="AV1000" t="s">
        <v>74</v>
      </c>
      <c r="AW1000" t="s">
        <v>74</v>
      </c>
      <c r="AX1000" t="s">
        <v>74</v>
      </c>
      <c r="AY1000" t="s">
        <v>74</v>
      </c>
      <c r="AZ1000" t="s">
        <v>74</v>
      </c>
      <c r="BA1000" t="s">
        <v>74</v>
      </c>
      <c r="BB1000">
        <v>219</v>
      </c>
      <c r="BC1000">
        <v>221</v>
      </c>
      <c r="BD1000" t="s">
        <v>74</v>
      </c>
      <c r="BE1000" t="s">
        <v>74</v>
      </c>
      <c r="BF1000" t="s">
        <v>74</v>
      </c>
      <c r="BG1000" t="s">
        <v>74</v>
      </c>
      <c r="BH1000" t="s">
        <v>74</v>
      </c>
      <c r="BI1000">
        <v>3</v>
      </c>
      <c r="BJ1000" t="s">
        <v>17564</v>
      </c>
      <c r="BK1000" t="s">
        <v>8281</v>
      </c>
      <c r="BL1000" t="s">
        <v>17565</v>
      </c>
      <c r="BM1000" t="s">
        <v>17566</v>
      </c>
      <c r="BN1000" t="s">
        <v>74</v>
      </c>
      <c r="BO1000" t="s">
        <v>74</v>
      </c>
      <c r="BP1000" t="s">
        <v>74</v>
      </c>
      <c r="BQ1000" t="s">
        <v>74</v>
      </c>
      <c r="BR1000" t="s">
        <v>105</v>
      </c>
      <c r="BS1000" t="s">
        <v>17567</v>
      </c>
      <c r="BT1000" t="str">
        <f>HYPERLINK("https%3A%2F%2Fwww.webofscience.com%2Fwos%2Fwoscc%2Ffull-record%2FWOS:000290635200048","View Full Record in Web of Science")</f>
        <v>View Full Record in Web of Science</v>
      </c>
    </row>
    <row r="1001" spans="1:72" x14ac:dyDescent="0.15">
      <c r="A1001" t="s">
        <v>8563</v>
      </c>
      <c r="B1001" t="s">
        <v>17568</v>
      </c>
      <c r="C1001" t="s">
        <v>17569</v>
      </c>
      <c r="D1001" t="s">
        <v>74</v>
      </c>
      <c r="E1001" t="s">
        <v>74</v>
      </c>
      <c r="F1001" t="s">
        <v>17570</v>
      </c>
      <c r="G1001" t="s">
        <v>17569</v>
      </c>
      <c r="H1001" t="s">
        <v>74</v>
      </c>
      <c r="I1001" t="s">
        <v>17571</v>
      </c>
      <c r="J1001" t="s">
        <v>17572</v>
      </c>
      <c r="K1001" t="s">
        <v>74</v>
      </c>
      <c r="L1001" t="s">
        <v>74</v>
      </c>
      <c r="M1001" t="s">
        <v>78</v>
      </c>
      <c r="N1001" t="s">
        <v>8859</v>
      </c>
      <c r="O1001" t="s">
        <v>74</v>
      </c>
      <c r="P1001" t="s">
        <v>74</v>
      </c>
      <c r="Q1001" t="s">
        <v>74</v>
      </c>
      <c r="R1001" t="s">
        <v>74</v>
      </c>
      <c r="S1001" t="s">
        <v>74</v>
      </c>
      <c r="T1001" t="s">
        <v>17573</v>
      </c>
      <c r="U1001" t="s">
        <v>17574</v>
      </c>
      <c r="V1001" t="s">
        <v>17575</v>
      </c>
      <c r="W1001" t="s">
        <v>17576</v>
      </c>
      <c r="X1001" t="s">
        <v>74</v>
      </c>
      <c r="Y1001" t="s">
        <v>17577</v>
      </c>
      <c r="Z1001" t="s">
        <v>17578</v>
      </c>
      <c r="AA1001" t="s">
        <v>17579</v>
      </c>
      <c r="AB1001" t="s">
        <v>17580</v>
      </c>
      <c r="AC1001" t="s">
        <v>74</v>
      </c>
      <c r="AD1001" t="s">
        <v>74</v>
      </c>
      <c r="AE1001" t="s">
        <v>74</v>
      </c>
      <c r="AF1001" t="s">
        <v>74</v>
      </c>
      <c r="AG1001">
        <v>34</v>
      </c>
      <c r="AH1001">
        <v>21</v>
      </c>
      <c r="AI1001">
        <v>21</v>
      </c>
      <c r="AJ1001">
        <v>1</v>
      </c>
      <c r="AK1001">
        <v>3</v>
      </c>
      <c r="AL1001" t="s">
        <v>17581</v>
      </c>
      <c r="AM1001" t="s">
        <v>934</v>
      </c>
      <c r="AN1001" t="s">
        <v>17582</v>
      </c>
      <c r="AO1001" t="s">
        <v>74</v>
      </c>
      <c r="AP1001" t="s">
        <v>74</v>
      </c>
      <c r="AQ1001" t="s">
        <v>17583</v>
      </c>
      <c r="AR1001" t="s">
        <v>74</v>
      </c>
      <c r="AS1001" t="s">
        <v>74</v>
      </c>
      <c r="AT1001" t="s">
        <v>74</v>
      </c>
      <c r="AU1001">
        <v>2010</v>
      </c>
      <c r="AV1001" t="s">
        <v>74</v>
      </c>
      <c r="AW1001" t="s">
        <v>74</v>
      </c>
      <c r="AX1001" t="s">
        <v>74</v>
      </c>
      <c r="AY1001" t="s">
        <v>74</v>
      </c>
      <c r="AZ1001" t="s">
        <v>74</v>
      </c>
      <c r="BA1001" t="s">
        <v>74</v>
      </c>
      <c r="BB1001">
        <v>48</v>
      </c>
      <c r="BC1001">
        <v>72</v>
      </c>
      <c r="BD1001" t="s">
        <v>74</v>
      </c>
      <c r="BE1001" t="s">
        <v>17584</v>
      </c>
      <c r="BF1001" t="str">
        <f>HYPERLINK("http://dx.doi.org/10.1007/978-3-642-03313-1_3","http://dx.doi.org/10.1007/978-3-642-03313-1_3")</f>
        <v>http://dx.doi.org/10.1007/978-3-642-03313-1_3</v>
      </c>
      <c r="BG1001" t="s">
        <v>17585</v>
      </c>
      <c r="BH1001" t="s">
        <v>74</v>
      </c>
      <c r="BI1001">
        <v>25</v>
      </c>
      <c r="BJ1001" t="s">
        <v>17586</v>
      </c>
      <c r="BK1001" t="s">
        <v>8579</v>
      </c>
      <c r="BL1001" t="s">
        <v>974</v>
      </c>
      <c r="BM1001" t="s">
        <v>17587</v>
      </c>
      <c r="BN1001" t="s">
        <v>74</v>
      </c>
      <c r="BO1001" t="s">
        <v>555</v>
      </c>
      <c r="BP1001" t="s">
        <v>74</v>
      </c>
      <c r="BQ1001" t="s">
        <v>74</v>
      </c>
      <c r="BR1001" t="s">
        <v>105</v>
      </c>
      <c r="BS1001" t="s">
        <v>17588</v>
      </c>
      <c r="BT1001" t="str">
        <f>HYPERLINK("https%3A%2F%2Fwww.webofscience.com%2Fwos%2Fwoscc%2Ffull-record%2FWOS:000277962100003","View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2024-07-28T15:24:24Z</dcterms:created>
  <dcterms:modified xsi:type="dcterms:W3CDTF">2024-07-28T15:24:24Z</dcterms:modified>
</cp:coreProperties>
</file>